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updateLinks="never" codeName="חוברת_עבודה_זו" defaultThemeVersion="124226"/>
  <mc:AlternateContent xmlns:mc="http://schemas.openxmlformats.org/markup-compatibility/2006">
    <mc:Choice Requires="x15">
      <x15ac:absPath xmlns:x15ac="http://schemas.microsoft.com/office/spreadsheetml/2010/11/ac" url="Z:\גולמי לחלוקה בין הספריות\מודלים לפרסום 2025\"/>
    </mc:Choice>
  </mc:AlternateContent>
  <xr:revisionPtr revIDLastSave="0" documentId="13_ncr:1_{875D5B92-32D3-4759-91B1-C1CA9C775BD4}" xr6:coauthVersionLast="47" xr6:coauthVersionMax="47" xr10:uidLastSave="{00000000-0000-0000-0000-000000000000}"/>
  <bookViews>
    <workbookView xWindow="-120" yWindow="-120" windowWidth="29040" windowHeight="15720" tabRatio="891" firstSheet="17" activeTab="24" xr2:uid="{00000000-000D-0000-FFFF-FFFF00000000}"/>
  </bookViews>
  <sheets>
    <sheet name="ProtectSettings" sheetId="73" state="veryHidden" r:id="rId1"/>
    <sheet name="הדרכה למשתמש" sheetId="119" r:id="rId2"/>
    <sheet name="פרמטרים" sheetId="5" r:id="rId3"/>
    <sheet name="תנאי סף" sheetId="61" r:id="rId4"/>
    <sheet name="סיווג" sheetId="60" r:id="rId5"/>
    <sheet name="היקף החוברות" sheetId="9" r:id="rId6"/>
    <sheet name="רמה הפקתית" sheetId="40" r:id="rId7"/>
    <sheet name="תמורה ליוצרים" sheetId="42" r:id="rId8"/>
    <sheet name="הפצת כתב העת" sheetId="46" r:id="rId9"/>
    <sheet name="הפצה" sheetId="43" state="hidden" r:id="rId10"/>
    <sheet name="וותק" sheetId="44" state="hidden" r:id="rId11"/>
    <sheet name="התחשיב הבסיסי" sheetId="51" r:id="rId12"/>
    <sheet name="ייצוב" sheetId="58" r:id="rId13"/>
    <sheet name="הגנה" sheetId="120" r:id="rId14"/>
    <sheet name="חריגות שכר" sheetId="64" state="hidden" r:id="rId15"/>
    <sheet name="הרכב חברי וועדה" sheetId="77" r:id="rId16"/>
    <sheet name="גירעון" sheetId="65" state="hidden" r:id="rId17"/>
    <sheet name="סכום מבוקש" sheetId="63" r:id="rId18"/>
    <sheet name="סיכום" sheetId="57" r:id="rId19"/>
    <sheet name="הגבלה לסכום מבוקש (1)" sheetId="66" r:id="rId20"/>
    <sheet name="קיזוזים בגין איחורים" sheetId="74" r:id="rId21"/>
    <sheet name="קיזוזים- החלטות ועדה" sheetId="76" r:id="rId22"/>
    <sheet name="הגבלה לסכום מבוקש (2)" sheetId="69" r:id="rId23"/>
    <sheet name="סיכום לועדה- הזנת נתונים" sheetId="70" r:id="rId24"/>
    <sheet name="סיכום לועדה - תוצאות" sheetId="71" r:id="rId25"/>
    <sheet name="ריכוז גיליונות עזר" sheetId="118" r:id="rId26"/>
    <sheet name="מרכבה" sheetId="122" state="hidden" r:id="rId27"/>
    <sheet name="1280 מעלות (אמנים יוצרים)" sheetId="78" r:id="rId28"/>
    <sheet name="יהי (אורי צבי גרינברג)" sheetId="79" r:id="rId29"/>
    <sheet name="3" sheetId="80" r:id="rId30"/>
    <sheet name="דעות (ברית נאמני תורה ועבודה)" sheetId="81" r:id="rId31"/>
    <sheet name="הליקון" sheetId="82" r:id="rId32"/>
    <sheet name="6" sheetId="83" r:id="rId33"/>
    <sheet name="7" sheetId="84" r:id="rId34"/>
    <sheet name="ננפואטיקה (עמותת מקום לשירה)" sheetId="85" r:id="rId35"/>
    <sheet name="מאזניים (אגודת הסופרים העבריים)" sheetId="86" r:id="rId36"/>
    <sheet name="משיב הרוח" sheetId="87" r:id="rId37"/>
    <sheet name="עמדה (עמותת מונטן)" sheetId="88" r:id="rId38"/>
    <sheet name="עתון 77 (אגודת סופרים ואמנים)" sheetId="89" r:id="rId39"/>
    <sheet name="13" sheetId="90" r:id="rId40"/>
    <sheet name="פסיפס" sheetId="91" r:id="rId41"/>
    <sheet name="קתרזיס ( עמותת מצרף)" sheetId="92" r:id="rId42"/>
    <sheet name="16" sheetId="93" r:id="rId43"/>
    <sheet name="הכיוון מזרח (עמותת אחותי)" sheetId="94" r:id="rId44"/>
    <sheet name="18" sheetId="95" r:id="rId45"/>
    <sheet name="הו" sheetId="96" r:id="rId46"/>
    <sheet name="הבא להבא (עמותת מקום לשירה)" sheetId="97" r:id="rId47"/>
    <sheet name="היסטוריה (החברה ההיסטורית הישרא" sheetId="98" r:id="rId48"/>
    <sheet name="מחול עכשיו (תמונע)" sheetId="99" r:id="rId49"/>
    <sheet name="קול אישה שירה (תואר)" sheetId="100" r:id="rId50"/>
    <sheet name="האיגוד העולמי למדעי היהדות" sheetId="101" r:id="rId51"/>
    <sheet name="25" sheetId="102" r:id="rId52"/>
    <sheet name="26" sheetId="103" r:id="rId53"/>
    <sheet name="27" sheetId="104" r:id="rId54"/>
    <sheet name="28" sheetId="105" r:id="rId55"/>
    <sheet name="גופא (נתיב האומן )" sheetId="106" r:id="rId56"/>
    <sheet name="ערב רב (בר קיימא)" sheetId="107" r:id="rId57"/>
    <sheet name="31" sheetId="108" r:id="rId58"/>
    <sheet name="מעלה" sheetId="109" r:id="rId59"/>
    <sheet name="33" sheetId="110" r:id="rId60"/>
    <sheet name="כתב עת ירושלמי" sheetId="111" r:id="rId61"/>
    <sheet name="35" sheetId="112" r:id="rId62"/>
    <sheet name="העמותה ליצירה פנטסטית- אוטופיה" sheetId="113" r:id="rId63"/>
    <sheet name="גיליון1" sheetId="121" r:id="rId64"/>
    <sheet name="37" sheetId="114" r:id="rId65"/>
    <sheet name="38" sheetId="115" r:id="rId66"/>
    <sheet name="39" sheetId="116" r:id="rId67"/>
    <sheet name="40" sheetId="117" r:id="rId68"/>
  </sheets>
  <externalReferences>
    <externalReference r:id="rId69"/>
  </externalReferences>
  <definedNames>
    <definedName name="_xlnm._FilterDatabase" localSheetId="26" hidden="1">מרכבה!$A$1:$K$180</definedName>
    <definedName name="_xlnm._FilterDatabase" localSheetId="23" hidden="1">'סיכום לועדה- הזנת נתונים'!$A$30:$V$30</definedName>
    <definedName name="_xlnm._FilterDatabase" localSheetId="24" hidden="1">'סיכום לועדה - תוצאות'!$A$30:$W$71</definedName>
    <definedName name="_xlnm._FilterDatabase" localSheetId="3" hidden="1">'תנאי סף'!$A$10:$CC$10</definedName>
    <definedName name="a" localSheetId="22">#REF!</definedName>
    <definedName name="a" localSheetId="26">#REF!</definedName>
    <definedName name="a" localSheetId="4">#REF!</definedName>
    <definedName name="a" localSheetId="24">#REF!</definedName>
    <definedName name="a" localSheetId="17">#REF!</definedName>
    <definedName name="a" localSheetId="3">#REF!</definedName>
    <definedName name="a">#REF!</definedName>
    <definedName name="aa">#REF!</definedName>
    <definedName name="b">#REF!</definedName>
    <definedName name="DDDD">#REF!</definedName>
    <definedName name="ee">#REF!</definedName>
    <definedName name="ngf">#REF!</definedName>
    <definedName name="solver_adj" localSheetId="15" hidden="1">'הרכב חברי וועדה'!#REF!</definedName>
    <definedName name="solver_adj" localSheetId="12" hidden="1">ייצוב!#REF!</definedName>
    <definedName name="solver_cvg" localSheetId="15" hidden="1">0.0001</definedName>
    <definedName name="solver_cvg" localSheetId="12" hidden="1">0.0001</definedName>
    <definedName name="solver_drv" localSheetId="15" hidden="1">1</definedName>
    <definedName name="solver_drv" localSheetId="12" hidden="1">1</definedName>
    <definedName name="solver_est" localSheetId="15" hidden="1">1</definedName>
    <definedName name="solver_est" localSheetId="12" hidden="1">1</definedName>
    <definedName name="solver_itr" localSheetId="15" hidden="1">100</definedName>
    <definedName name="solver_itr" localSheetId="12" hidden="1">100</definedName>
    <definedName name="solver_lhs1" localSheetId="15" hidden="1">'הרכב חברי וועדה'!#REF!</definedName>
    <definedName name="solver_lhs1" localSheetId="12" hidden="1">ייצוב!#REF!</definedName>
    <definedName name="solver_lhs2" localSheetId="15" hidden="1">'הרכב חברי וועדה'!#REF!</definedName>
    <definedName name="solver_lhs2" localSheetId="12" hidden="1">ייצוב!#REF!</definedName>
    <definedName name="solver_lhs3" localSheetId="15" hidden="1">'הרכב חברי וועדה'!#REF!</definedName>
    <definedName name="solver_lhs3" localSheetId="12" hidden="1">ייצוב!#REF!</definedName>
    <definedName name="solver_lin" localSheetId="15" hidden="1">2</definedName>
    <definedName name="solver_lin" localSheetId="12" hidden="1">2</definedName>
    <definedName name="solver_neg" localSheetId="15" hidden="1">1</definedName>
    <definedName name="solver_neg" localSheetId="12" hidden="1">1</definedName>
    <definedName name="solver_num" localSheetId="15" hidden="1">3</definedName>
    <definedName name="solver_num" localSheetId="12" hidden="1">3</definedName>
    <definedName name="solver_nwt" localSheetId="15" hidden="1">1</definedName>
    <definedName name="solver_nwt" localSheetId="12" hidden="1">1</definedName>
    <definedName name="solver_opt" localSheetId="15" hidden="1">'הרכב חברי וועדה'!#REF!</definedName>
    <definedName name="solver_opt" localSheetId="12" hidden="1">ייצוב!#REF!</definedName>
    <definedName name="solver_pre" localSheetId="15" hidden="1">0.000001</definedName>
    <definedName name="solver_pre" localSheetId="12" hidden="1">0.000001</definedName>
    <definedName name="solver_rel1" localSheetId="15" hidden="1">3</definedName>
    <definedName name="solver_rel1" localSheetId="12" hidden="1">3</definedName>
    <definedName name="solver_rel2" localSheetId="15" hidden="1">3</definedName>
    <definedName name="solver_rel2" localSheetId="12" hidden="1">3</definedName>
    <definedName name="solver_rel3" localSheetId="15" hidden="1">3</definedName>
    <definedName name="solver_rel3" localSheetId="12" hidden="1">3</definedName>
    <definedName name="solver_rhs1" localSheetId="15" hidden="1">0.8*AVERAGE('הרכב חברי וועדה'!#REF!,'הרכב חברי וועדה'!#REF!)</definedName>
    <definedName name="solver_rhs1" localSheetId="12" hidden="1">0.8*AVERAGE(ייצוב!#REF!,ייצוב!#REF!)</definedName>
    <definedName name="solver_rhs2" localSheetId="15" hidden="1">0.8*AVERAGE('הרכב חברי וועדה'!#REF!,'הרכב חברי וועדה'!#REF!)</definedName>
    <definedName name="solver_rhs2" localSheetId="12" hidden="1">0.8*AVERAGE(ייצוב!#REF!,ייצוב!#REF!)</definedName>
    <definedName name="solver_rhs3" localSheetId="15" hidden="1">0.8*AVERAGE('הרכב חברי וועדה'!#REF!,'הרכב חברי וועדה'!#REF!)</definedName>
    <definedName name="solver_rhs3" localSheetId="12" hidden="1">0.8*AVERAGE(ייצוב!#REF!,ייצוב!#REF!)</definedName>
    <definedName name="solver_scl" localSheetId="15" hidden="1">2</definedName>
    <definedName name="solver_scl" localSheetId="12" hidden="1">2</definedName>
    <definedName name="solver_sho" localSheetId="15" hidden="1">2</definedName>
    <definedName name="solver_sho" localSheetId="12" hidden="1">2</definedName>
    <definedName name="solver_tim" localSheetId="15" hidden="1">100</definedName>
    <definedName name="solver_tim" localSheetId="12" hidden="1">100</definedName>
    <definedName name="solver_tol" localSheetId="15" hidden="1">0.05</definedName>
    <definedName name="solver_tol" localSheetId="12" hidden="1">0.05</definedName>
    <definedName name="solver_typ" localSheetId="15" hidden="1">3</definedName>
    <definedName name="solver_typ" localSheetId="12" hidden="1">3</definedName>
    <definedName name="solver_val" localSheetId="15" hidden="1">1</definedName>
    <definedName name="solver_val" localSheetId="12" hidden="1">1</definedName>
    <definedName name="_xlnm.Print_Area" localSheetId="27">'1280 מעלות (אמנים יוצרים)'!$B$1:$AC$45</definedName>
    <definedName name="_xlnm.Print_Area" localSheetId="39">'13'!$B$1:$AC$45</definedName>
    <definedName name="_xlnm.Print_Area" localSheetId="42">'16'!$B$1:$AC$45</definedName>
    <definedName name="_xlnm.Print_Area" localSheetId="44">'18'!$B$1:$AC$45</definedName>
    <definedName name="_xlnm.Print_Area" localSheetId="51">'25'!$B$1:$AC$45</definedName>
    <definedName name="_xlnm.Print_Area" localSheetId="52">'26'!$B$1:$AC$45</definedName>
    <definedName name="_xlnm.Print_Area" localSheetId="53">'27'!$B$1:$AC$45</definedName>
    <definedName name="_xlnm.Print_Area" localSheetId="54">'28'!$B$1:$AC$45</definedName>
    <definedName name="_xlnm.Print_Area" localSheetId="29">'3'!$B$1:$AC$45</definedName>
    <definedName name="_xlnm.Print_Area" localSheetId="57">'31'!$B$1:$AC$45</definedName>
    <definedName name="_xlnm.Print_Area" localSheetId="59">'33'!$B$1:$AC$45</definedName>
    <definedName name="_xlnm.Print_Area" localSheetId="61">'35'!$B$1:$AC$45</definedName>
    <definedName name="_xlnm.Print_Area" localSheetId="64">'37'!$B$1:$AC$45</definedName>
    <definedName name="_xlnm.Print_Area" localSheetId="65">'38'!$B$1:$AC$45</definedName>
    <definedName name="_xlnm.Print_Area" localSheetId="66">'39'!$B$1:$AC$45</definedName>
    <definedName name="_xlnm.Print_Area" localSheetId="67">'40'!$B$1:$AC$45</definedName>
    <definedName name="_xlnm.Print_Area" localSheetId="32">'6'!$B$1:$AC$45</definedName>
    <definedName name="_xlnm.Print_Area" localSheetId="33">'7'!$B$1:$AC$45</definedName>
    <definedName name="_xlnm.Print_Area" localSheetId="55">'גופא (נתיב האומן )'!$B$1:$AC$45</definedName>
    <definedName name="_xlnm.Print_Area" localSheetId="16">גירעון!$A$1:$P$48</definedName>
    <definedName name="_xlnm.Print_Area" localSheetId="30">'דעות (ברית נאמני תורה ועבודה)'!$B$1:$AC$45</definedName>
    <definedName name="_xlnm.Print_Area" localSheetId="50">'האיגוד העולמי למדעי היהדות'!$B$1:$AC$45</definedName>
    <definedName name="_xlnm.Print_Area" localSheetId="46">'הבא להבא (עמותת מקום לשירה)'!$B$1:$AC$45</definedName>
    <definedName name="_xlnm.Print_Area" localSheetId="19">'הגבלה לסכום מבוקש (1)'!$B$1:$V$71</definedName>
    <definedName name="_xlnm.Print_Area" localSheetId="22">'הגבלה לסכום מבוקש (2)'!$A$1:$W$71</definedName>
    <definedName name="_xlnm.Print_Area" localSheetId="13">הגנה!$B$1:$AV$71</definedName>
    <definedName name="_xlnm.Print_Area" localSheetId="1">'הדרכה למשתמש'!$B$1:$H$18</definedName>
    <definedName name="_xlnm.Print_Area" localSheetId="45">הו!$B$1:$AC$45</definedName>
    <definedName name="_xlnm.Print_Area" localSheetId="47">'היסטוריה (החברה ההיסטורית הישרא'!$B$1:$AC$45</definedName>
    <definedName name="_xlnm.Print_Area" localSheetId="5">'היקף החוברות'!$A$1:$K$51</definedName>
    <definedName name="_xlnm.Print_Area" localSheetId="43">'הכיוון מזרח (עמותת אחותי)'!$B$1:$AC$45</definedName>
    <definedName name="_xlnm.Print_Area" localSheetId="31">הליקון!$B$1:$AC$45</definedName>
    <definedName name="_xlnm.Print_Area" localSheetId="62">'העמותה ליצירה פנטסטית- אוטופיה'!$B$1:$AC$45</definedName>
    <definedName name="_xlnm.Print_Area" localSheetId="9">הפצה!$A$1:$F$48</definedName>
    <definedName name="_xlnm.Print_Area" localSheetId="8">'הפצת כתב העת'!$A$1:$H$51</definedName>
    <definedName name="_xlnm.Print_Area" localSheetId="15">'הרכב חברי וועדה'!$A$1:$I$51</definedName>
    <definedName name="_xlnm.Print_Area" localSheetId="11">'התחשיב הבסיסי'!$A$1:$L$51</definedName>
    <definedName name="_xlnm.Print_Area" localSheetId="10">וותק!$A$1:$E$46</definedName>
    <definedName name="_xlnm.Print_Area" localSheetId="14">'חריגות שכר'!$A$1:$G$45</definedName>
    <definedName name="_xlnm.Print_Area" localSheetId="28">'יהי (אורי צבי גרינברג)'!$B$1:$AC$45</definedName>
    <definedName name="_xlnm.Print_Area" localSheetId="12">ייצוב!$A$1:$I$51</definedName>
    <definedName name="_xlnm.Print_Area" localSheetId="60">'כתב עת ירושלמי'!$B$1:$AC$45</definedName>
    <definedName name="_xlnm.Print_Area" localSheetId="35">'מאזניים (אגודת הסופרים העבריים)'!$B$1:$AC$45</definedName>
    <definedName name="_xlnm.Print_Area" localSheetId="48">'מחול עכשיו (תמונע)'!$B$1:$AC$45</definedName>
    <definedName name="_xlnm.Print_Area" localSheetId="58">מעלה!$B$1:$AC$45</definedName>
    <definedName name="_xlnm.Print_Area" localSheetId="36">'משיב הרוח'!$B$1:$AC$45</definedName>
    <definedName name="_xlnm.Print_Area" localSheetId="34">'ננפואטיקה (עמותת מקום לשירה)'!$B$1:$AC$45</definedName>
    <definedName name="_xlnm.Print_Area" localSheetId="4">סיווג!$A$1:$E$51</definedName>
    <definedName name="_xlnm.Print_Area" localSheetId="18">סיכום!$A$1:$J$51</definedName>
    <definedName name="_xlnm.Print_Area" localSheetId="23">'סיכום לועדה- הזנת נתונים'!$B$1:$U$71</definedName>
    <definedName name="_xlnm.Print_Area" localSheetId="24">'סיכום לועדה - תוצאות'!$B$1:$U$71</definedName>
    <definedName name="_xlnm.Print_Area" localSheetId="17">'סכום מבוקש'!$A$1:$P$51</definedName>
    <definedName name="_xlnm.Print_Area" localSheetId="37">'עמדה (עמותת מונטן)'!$B$1:$AC$45</definedName>
    <definedName name="_xlnm.Print_Area" localSheetId="56">'ערב רב (בר קיימא)'!$B$1:$AC$45</definedName>
    <definedName name="_xlnm.Print_Area" localSheetId="38">'עתון 77 (אגודת סופרים ואמנים)'!$B$1:$AC$45</definedName>
    <definedName name="_xlnm.Print_Area" localSheetId="40">פסיפס!$B$1:$AC$45</definedName>
    <definedName name="_xlnm.Print_Area" localSheetId="2">פרמטרים!$A$1:$N$54</definedName>
    <definedName name="_xlnm.Print_Area" localSheetId="49">'קול אישה שירה (תואר)'!$B$1:$AC$45</definedName>
    <definedName name="_xlnm.Print_Area" localSheetId="21">'קיזוזים- החלטות ועדה'!$B$1:$G$71</definedName>
    <definedName name="_xlnm.Print_Area" localSheetId="20">'קיזוזים בגין איחורים'!$B$1:$H$71</definedName>
    <definedName name="_xlnm.Print_Area" localSheetId="41">'קתרזיס ( עמותת מצרף)'!$B$1:$AC$45</definedName>
    <definedName name="_xlnm.Print_Area" localSheetId="25">'ריכוז גיליונות עזר'!$B$1:$W$51</definedName>
    <definedName name="_xlnm.Print_Area" localSheetId="6">'רמה הפקתית'!$A$1:$F$51</definedName>
    <definedName name="_xlnm.Print_Area" localSheetId="7">'תמורה ליוצרים'!$A$1:$I$51</definedName>
    <definedName name="_xlnm.Print_Area" localSheetId="3">'תנאי סף'!$A$1:$AM$51</definedName>
    <definedName name="_xlnm.Print_Titles" localSheetId="27">'1280 מעלות (אמנים יוצרים)'!$13:$14</definedName>
    <definedName name="_xlnm.Print_Titles" localSheetId="39">'13'!$13:$14</definedName>
    <definedName name="_xlnm.Print_Titles" localSheetId="42">'16'!$13:$14</definedName>
    <definedName name="_xlnm.Print_Titles" localSheetId="44">'18'!$13:$14</definedName>
    <definedName name="_xlnm.Print_Titles" localSheetId="51">'25'!$13:$14</definedName>
    <definedName name="_xlnm.Print_Titles" localSheetId="52">'26'!$13:$14</definedName>
    <definedName name="_xlnm.Print_Titles" localSheetId="53">'27'!$13:$14</definedName>
    <definedName name="_xlnm.Print_Titles" localSheetId="54">'28'!$13:$14</definedName>
    <definedName name="_xlnm.Print_Titles" localSheetId="29">'3'!$13:$14</definedName>
    <definedName name="_xlnm.Print_Titles" localSheetId="57">'31'!$13:$14</definedName>
    <definedName name="_xlnm.Print_Titles" localSheetId="59">'33'!$13:$14</definedName>
    <definedName name="_xlnm.Print_Titles" localSheetId="61">'35'!$13:$14</definedName>
    <definedName name="_xlnm.Print_Titles" localSheetId="64">'37'!$13:$14</definedName>
    <definedName name="_xlnm.Print_Titles" localSheetId="65">'38'!$13:$14</definedName>
    <definedName name="_xlnm.Print_Titles" localSheetId="66">'39'!$13:$14</definedName>
    <definedName name="_xlnm.Print_Titles" localSheetId="67">'40'!$13:$14</definedName>
    <definedName name="_xlnm.Print_Titles" localSheetId="32">'6'!$13:$14</definedName>
    <definedName name="_xlnm.Print_Titles" localSheetId="33">'7'!$13:$14</definedName>
    <definedName name="_xlnm.Print_Titles" localSheetId="55">'גופא (נתיב האומן )'!$13:$14</definedName>
    <definedName name="_xlnm.Print_Titles" localSheetId="30">'דעות (ברית נאמני תורה ועבודה)'!$13:$14</definedName>
    <definedName name="_xlnm.Print_Titles" localSheetId="50">'האיגוד העולמי למדעי היהדות'!$13:$14</definedName>
    <definedName name="_xlnm.Print_Titles" localSheetId="46">'הבא להבא (עמותת מקום לשירה)'!$13:$14</definedName>
    <definedName name="_xlnm.Print_Titles" localSheetId="19">'הגבלה לסכום מבוקש (1)'!$29:$30</definedName>
    <definedName name="_xlnm.Print_Titles" localSheetId="22">'הגבלה לסכום מבוקש (2)'!$29:$30</definedName>
    <definedName name="_xlnm.Print_Titles" localSheetId="13">הגנה!$29:$30</definedName>
    <definedName name="_xlnm.Print_Titles" localSheetId="45">הו!$13:$14</definedName>
    <definedName name="_xlnm.Print_Titles" localSheetId="47">'היסטוריה (החברה ההיסטורית הישרא'!$13:$14</definedName>
    <definedName name="_xlnm.Print_Titles" localSheetId="43">'הכיוון מזרח (עמותת אחותי)'!$13:$14</definedName>
    <definedName name="_xlnm.Print_Titles" localSheetId="31">הליקון!$13:$14</definedName>
    <definedName name="_xlnm.Print_Titles" localSheetId="62">'העמותה ליצירה פנטסטית- אוטופיה'!$13:$14</definedName>
    <definedName name="_xlnm.Print_Titles" localSheetId="28">'יהי (אורי צבי גרינברג)'!$13:$14</definedName>
    <definedName name="_xlnm.Print_Titles" localSheetId="60">'כתב עת ירושלמי'!$13:$14</definedName>
    <definedName name="_xlnm.Print_Titles" localSheetId="35">'מאזניים (אגודת הסופרים העבריים)'!$13:$14</definedName>
    <definedName name="_xlnm.Print_Titles" localSheetId="48">'מחול עכשיו (תמונע)'!$13:$14</definedName>
    <definedName name="_xlnm.Print_Titles" localSheetId="58">מעלה!$13:$14</definedName>
    <definedName name="_xlnm.Print_Titles" localSheetId="36">'משיב הרוח'!$13:$14</definedName>
    <definedName name="_xlnm.Print_Titles" localSheetId="34">'ננפואטיקה (עמותת מקום לשירה)'!$13:$14</definedName>
    <definedName name="_xlnm.Print_Titles" localSheetId="23">'סיכום לועדה- הזנת נתונים'!$29:$30</definedName>
    <definedName name="_xlnm.Print_Titles" localSheetId="24">'סיכום לועדה - תוצאות'!$B:$C,'סיכום לועדה - תוצאות'!$30:$30</definedName>
    <definedName name="_xlnm.Print_Titles" localSheetId="37">'עמדה (עמותת מונטן)'!$13:$14</definedName>
    <definedName name="_xlnm.Print_Titles" localSheetId="56">'ערב רב (בר קיימא)'!$13:$14</definedName>
    <definedName name="_xlnm.Print_Titles" localSheetId="38">'עתון 77 (אגודת סופרים ואמנים)'!$13:$14</definedName>
    <definedName name="_xlnm.Print_Titles" localSheetId="40">פסיפס!$13:$14</definedName>
    <definedName name="_xlnm.Print_Titles" localSheetId="49">'קול אישה שירה (תואר)'!$13:$14</definedName>
    <definedName name="_xlnm.Print_Titles" localSheetId="21">'קיזוזים- החלטות ועדה'!$29:$30</definedName>
    <definedName name="_xlnm.Print_Titles" localSheetId="20">'קיזוזים בגין איחורים'!$29:$30</definedName>
    <definedName name="_xlnm.Print_Titles" localSheetId="41">'קתרזיס ( עמותת מצרף)'!$13:$14</definedName>
    <definedName name="_xlnm.Print_Titles" localSheetId="25">'ריכוז גיליונות עזר'!$9:$10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 i="5" l="1"/>
  <c r="G8" i="5"/>
  <c r="H7" i="5"/>
  <c r="G7" i="5"/>
  <c r="O32" i="70"/>
  <c r="O33" i="70"/>
  <c r="D13" i="58" s="1"/>
  <c r="O34" i="70"/>
  <c r="O35" i="70"/>
  <c r="O36" i="70"/>
  <c r="O37" i="70"/>
  <c r="O37" i="71" s="1"/>
  <c r="O38" i="70"/>
  <c r="O39" i="70"/>
  <c r="O40" i="70"/>
  <c r="O41" i="70"/>
  <c r="D21" i="58" s="1"/>
  <c r="O42" i="70"/>
  <c r="O43" i="70"/>
  <c r="O44" i="70"/>
  <c r="O45" i="70"/>
  <c r="D25" i="58" s="1"/>
  <c r="O46" i="70"/>
  <c r="O47" i="70"/>
  <c r="O48" i="70"/>
  <c r="O49" i="70"/>
  <c r="D29" i="58" s="1"/>
  <c r="O50" i="70"/>
  <c r="O51" i="70"/>
  <c r="O52" i="70"/>
  <c r="O53" i="70"/>
  <c r="D33" i="58" s="1"/>
  <c r="O54" i="70"/>
  <c r="O55" i="70"/>
  <c r="O56" i="70"/>
  <c r="O57" i="70"/>
  <c r="O57" i="71" s="1"/>
  <c r="O58" i="70"/>
  <c r="O59" i="70"/>
  <c r="O60" i="70"/>
  <c r="O61" i="70"/>
  <c r="D41" i="58" s="1"/>
  <c r="O62" i="70"/>
  <c r="O63" i="70"/>
  <c r="O64" i="70"/>
  <c r="O65" i="70"/>
  <c r="D45" i="58" s="1"/>
  <c r="O66" i="70"/>
  <c r="O67" i="70"/>
  <c r="O68" i="70"/>
  <c r="O69" i="70"/>
  <c r="O69" i="71" s="1"/>
  <c r="O70" i="70"/>
  <c r="O31" i="70"/>
  <c r="O31" i="71" s="1"/>
  <c r="T48" i="71"/>
  <c r="U70" i="71"/>
  <c r="T70" i="71"/>
  <c r="F70" i="71"/>
  <c r="E70" i="71"/>
  <c r="D70" i="71"/>
  <c r="U69" i="71"/>
  <c r="T69" i="71"/>
  <c r="F69" i="71"/>
  <c r="E69" i="71"/>
  <c r="D69" i="71"/>
  <c r="U68" i="71"/>
  <c r="T68" i="71"/>
  <c r="F68" i="71"/>
  <c r="E68" i="71"/>
  <c r="D68" i="71"/>
  <c r="U67" i="71"/>
  <c r="T67" i="71"/>
  <c r="F67" i="71"/>
  <c r="E67" i="71"/>
  <c r="D67" i="71"/>
  <c r="U66" i="71"/>
  <c r="T66" i="71"/>
  <c r="F66" i="71"/>
  <c r="E66" i="71"/>
  <c r="D66" i="71"/>
  <c r="U65" i="71"/>
  <c r="T65" i="71"/>
  <c r="F65" i="71"/>
  <c r="E65" i="71"/>
  <c r="D65" i="71"/>
  <c r="U64" i="71"/>
  <c r="T64" i="71"/>
  <c r="F64" i="71"/>
  <c r="E64" i="71"/>
  <c r="D64" i="71"/>
  <c r="U63" i="71"/>
  <c r="T63" i="71"/>
  <c r="F63" i="71"/>
  <c r="E63" i="71"/>
  <c r="D63" i="71"/>
  <c r="U62" i="71"/>
  <c r="T62" i="71"/>
  <c r="F62" i="71"/>
  <c r="E62" i="71"/>
  <c r="D62" i="71"/>
  <c r="U61" i="71"/>
  <c r="T61" i="71"/>
  <c r="F61" i="71"/>
  <c r="E61" i="71"/>
  <c r="D61" i="71"/>
  <c r="U60" i="71"/>
  <c r="T60" i="71"/>
  <c r="F60" i="71"/>
  <c r="E60" i="71"/>
  <c r="D60" i="71"/>
  <c r="U59" i="71"/>
  <c r="T59" i="71"/>
  <c r="F59" i="71"/>
  <c r="E59" i="71"/>
  <c r="D59" i="71"/>
  <c r="U58" i="71"/>
  <c r="T58" i="71"/>
  <c r="F58" i="71"/>
  <c r="E58" i="71"/>
  <c r="D58" i="71"/>
  <c r="U57" i="71"/>
  <c r="T57" i="71"/>
  <c r="F57" i="71"/>
  <c r="E57" i="71"/>
  <c r="D57" i="71"/>
  <c r="U56" i="71"/>
  <c r="T56" i="71"/>
  <c r="F56" i="71"/>
  <c r="E56" i="71"/>
  <c r="D56" i="71"/>
  <c r="U55" i="71"/>
  <c r="T55" i="71"/>
  <c r="F55" i="71"/>
  <c r="E55" i="71"/>
  <c r="D55" i="71"/>
  <c r="U54" i="71"/>
  <c r="T54" i="71"/>
  <c r="F54" i="71"/>
  <c r="E54" i="71"/>
  <c r="D54" i="71"/>
  <c r="U53" i="71"/>
  <c r="T53" i="71"/>
  <c r="F53" i="71"/>
  <c r="E53" i="71"/>
  <c r="D53" i="71"/>
  <c r="U52" i="71"/>
  <c r="T52" i="71"/>
  <c r="F52" i="71"/>
  <c r="E52" i="71"/>
  <c r="D52" i="71"/>
  <c r="U51" i="71"/>
  <c r="T51" i="71"/>
  <c r="F51" i="71"/>
  <c r="E51" i="71"/>
  <c r="D51" i="71"/>
  <c r="U50" i="71"/>
  <c r="T50" i="71"/>
  <c r="F50" i="71"/>
  <c r="E50" i="71"/>
  <c r="D50" i="71"/>
  <c r="U49" i="71"/>
  <c r="T49" i="71"/>
  <c r="F49" i="71"/>
  <c r="E49" i="71"/>
  <c r="D49" i="71"/>
  <c r="U48" i="71"/>
  <c r="F48" i="71"/>
  <c r="E48" i="71"/>
  <c r="D48" i="71"/>
  <c r="U47" i="71"/>
  <c r="T47" i="71"/>
  <c r="F47" i="71"/>
  <c r="E47" i="71"/>
  <c r="D47" i="71"/>
  <c r="U46" i="71"/>
  <c r="T46" i="71"/>
  <c r="F46" i="71"/>
  <c r="E46" i="71"/>
  <c r="D46" i="71"/>
  <c r="U45" i="71"/>
  <c r="T45" i="71"/>
  <c r="F45" i="71"/>
  <c r="E45" i="71"/>
  <c r="D45" i="71"/>
  <c r="U44" i="71"/>
  <c r="T44" i="71"/>
  <c r="F44" i="71"/>
  <c r="E44" i="71"/>
  <c r="D44" i="71"/>
  <c r="U43" i="71"/>
  <c r="T43" i="71"/>
  <c r="F43" i="71"/>
  <c r="E43" i="71"/>
  <c r="D43" i="71"/>
  <c r="U42" i="71"/>
  <c r="T42" i="71"/>
  <c r="F42" i="71"/>
  <c r="E42" i="71"/>
  <c r="D42" i="71"/>
  <c r="U41" i="71"/>
  <c r="T41" i="71"/>
  <c r="F41" i="71"/>
  <c r="E41" i="71"/>
  <c r="D41" i="71"/>
  <c r="U40" i="71"/>
  <c r="T40" i="71"/>
  <c r="F40" i="71"/>
  <c r="E40" i="71"/>
  <c r="D40" i="71"/>
  <c r="U39" i="71"/>
  <c r="T39" i="71"/>
  <c r="F39" i="71"/>
  <c r="E39" i="71"/>
  <c r="D39" i="71"/>
  <c r="U38" i="71"/>
  <c r="T38" i="71"/>
  <c r="F38" i="71"/>
  <c r="E38" i="71"/>
  <c r="D38" i="71"/>
  <c r="U37" i="71"/>
  <c r="T37" i="71"/>
  <c r="F37" i="71"/>
  <c r="E37" i="71"/>
  <c r="D37" i="71"/>
  <c r="U36" i="71"/>
  <c r="T36" i="71"/>
  <c r="F36" i="71"/>
  <c r="E36" i="71"/>
  <c r="D36" i="71"/>
  <c r="U35" i="71"/>
  <c r="T35" i="71"/>
  <c r="F35" i="71"/>
  <c r="E35" i="71"/>
  <c r="D35" i="71"/>
  <c r="U34" i="71"/>
  <c r="T34" i="71"/>
  <c r="F34" i="71"/>
  <c r="E34" i="71"/>
  <c r="D34" i="71"/>
  <c r="U33" i="71"/>
  <c r="T33" i="71"/>
  <c r="F33" i="71"/>
  <c r="E33" i="71"/>
  <c r="D33" i="71"/>
  <c r="U32" i="71"/>
  <c r="T32" i="71"/>
  <c r="F32" i="71"/>
  <c r="E32" i="71"/>
  <c r="D32" i="71"/>
  <c r="U31" i="71"/>
  <c r="T31" i="71"/>
  <c r="F31" i="71"/>
  <c r="E31" i="71"/>
  <c r="D31" i="71"/>
  <c r="U30" i="71"/>
  <c r="T30" i="71"/>
  <c r="S30" i="71"/>
  <c r="R30" i="71"/>
  <c r="Q30" i="71"/>
  <c r="P30" i="71"/>
  <c r="O30" i="71"/>
  <c r="N30" i="71"/>
  <c r="M30" i="71"/>
  <c r="L30" i="71"/>
  <c r="K30" i="71"/>
  <c r="J30" i="71"/>
  <c r="I30" i="71"/>
  <c r="H30" i="71"/>
  <c r="G30" i="71"/>
  <c r="F30" i="71"/>
  <c r="E30" i="71"/>
  <c r="D30" i="71"/>
  <c r="C30" i="71"/>
  <c r="I32" i="70"/>
  <c r="I32" i="71" s="1"/>
  <c r="J32" i="70"/>
  <c r="J32" i="71" s="1"/>
  <c r="K32" i="70"/>
  <c r="H32" i="70" s="1"/>
  <c r="H32" i="71" s="1"/>
  <c r="L32" i="70"/>
  <c r="L32" i="71" s="1"/>
  <c r="M32" i="70"/>
  <c r="M32" i="71" s="1"/>
  <c r="N32" i="70"/>
  <c r="E12" i="63" s="1"/>
  <c r="O32" i="71"/>
  <c r="I33" i="70"/>
  <c r="I33" i="71" s="1"/>
  <c r="J33" i="70"/>
  <c r="J33" i="71" s="1"/>
  <c r="K33" i="70"/>
  <c r="H33" i="70" s="1"/>
  <c r="H33" i="71" s="1"/>
  <c r="L33" i="70"/>
  <c r="L33" i="71" s="1"/>
  <c r="M33" i="70"/>
  <c r="M33" i="71" s="1"/>
  <c r="N33" i="70"/>
  <c r="N33" i="71" s="1"/>
  <c r="I34" i="70"/>
  <c r="I34" i="71" s="1"/>
  <c r="J34" i="70"/>
  <c r="J34" i="71" s="1"/>
  <c r="K34" i="70"/>
  <c r="K34" i="71" s="1"/>
  <c r="L34" i="70"/>
  <c r="L34" i="71" s="1"/>
  <c r="M34" i="70"/>
  <c r="M34" i="71" s="1"/>
  <c r="N34" i="70"/>
  <c r="E14" i="63" s="1"/>
  <c r="D14" i="58"/>
  <c r="I35" i="70"/>
  <c r="I35" i="71" s="1"/>
  <c r="J35" i="70"/>
  <c r="J35" i="71" s="1"/>
  <c r="K35" i="70"/>
  <c r="H35" i="70" s="1"/>
  <c r="H35" i="71" s="1"/>
  <c r="L35" i="70"/>
  <c r="L35" i="71" s="1"/>
  <c r="M35" i="70"/>
  <c r="M35" i="71" s="1"/>
  <c r="N35" i="70"/>
  <c r="E15" i="63" s="1"/>
  <c r="D15" i="58"/>
  <c r="I36" i="70"/>
  <c r="I36" i="71" s="1"/>
  <c r="J36" i="70"/>
  <c r="J36" i="71" s="1"/>
  <c r="K36" i="70"/>
  <c r="H36" i="70" s="1"/>
  <c r="H36" i="71" s="1"/>
  <c r="L36" i="70"/>
  <c r="L36" i="71" s="1"/>
  <c r="M36" i="70"/>
  <c r="M36" i="71" s="1"/>
  <c r="N36" i="70"/>
  <c r="E16" i="63" s="1"/>
  <c r="D16" i="58"/>
  <c r="I37" i="70"/>
  <c r="I37" i="71" s="1"/>
  <c r="J37" i="70"/>
  <c r="J37" i="71" s="1"/>
  <c r="K37" i="70"/>
  <c r="H37" i="70" s="1"/>
  <c r="H37" i="71" s="1"/>
  <c r="L37" i="70"/>
  <c r="L37" i="71" s="1"/>
  <c r="M37" i="70"/>
  <c r="M37" i="71" s="1"/>
  <c r="N37" i="70"/>
  <c r="E17" i="63" s="1"/>
  <c r="I38" i="70"/>
  <c r="I38" i="71" s="1"/>
  <c r="J38" i="70"/>
  <c r="J38" i="71" s="1"/>
  <c r="K38" i="70"/>
  <c r="H38" i="70" s="1"/>
  <c r="H38" i="71" s="1"/>
  <c r="L38" i="70"/>
  <c r="L38" i="71" s="1"/>
  <c r="M38" i="70"/>
  <c r="M38" i="71" s="1"/>
  <c r="N38" i="70"/>
  <c r="E18" i="63" s="1"/>
  <c r="O38" i="71"/>
  <c r="I39" i="70"/>
  <c r="I39" i="71" s="1"/>
  <c r="J39" i="70"/>
  <c r="J39" i="71" s="1"/>
  <c r="K39" i="70"/>
  <c r="H39" i="70" s="1"/>
  <c r="H39" i="71" s="1"/>
  <c r="L39" i="70"/>
  <c r="L39" i="71" s="1"/>
  <c r="M39" i="70"/>
  <c r="M39" i="71" s="1"/>
  <c r="N39" i="70"/>
  <c r="N39" i="71" s="1"/>
  <c r="O39" i="71"/>
  <c r="I40" i="70"/>
  <c r="I40" i="71" s="1"/>
  <c r="J40" i="70"/>
  <c r="J40" i="71" s="1"/>
  <c r="K40" i="70"/>
  <c r="H40" i="70" s="1"/>
  <c r="H40" i="71" s="1"/>
  <c r="L40" i="70"/>
  <c r="L40" i="71" s="1"/>
  <c r="M40" i="70"/>
  <c r="M40" i="71" s="1"/>
  <c r="N40" i="70"/>
  <c r="N40" i="71" s="1"/>
  <c r="O40" i="71"/>
  <c r="I41" i="70"/>
  <c r="I41" i="71" s="1"/>
  <c r="J41" i="70"/>
  <c r="J41" i="71" s="1"/>
  <c r="K41" i="70"/>
  <c r="H41" i="70" s="1"/>
  <c r="H41" i="71" s="1"/>
  <c r="L41" i="70"/>
  <c r="L41" i="71" s="1"/>
  <c r="M41" i="70"/>
  <c r="M41" i="71" s="1"/>
  <c r="N41" i="70"/>
  <c r="N41" i="71" s="1"/>
  <c r="I42" i="70"/>
  <c r="I42" i="71" s="1"/>
  <c r="J42" i="70"/>
  <c r="J42" i="71" s="1"/>
  <c r="K42" i="70"/>
  <c r="K42" i="71" s="1"/>
  <c r="L42" i="70"/>
  <c r="L42" i="71" s="1"/>
  <c r="M42" i="70"/>
  <c r="M42" i="71" s="1"/>
  <c r="N42" i="70"/>
  <c r="N42" i="71" s="1"/>
  <c r="D22" i="58"/>
  <c r="I43" i="70"/>
  <c r="I43" i="71" s="1"/>
  <c r="J43" i="70"/>
  <c r="J43" i="71" s="1"/>
  <c r="K43" i="70"/>
  <c r="K43" i="71" s="1"/>
  <c r="L43" i="70"/>
  <c r="L43" i="71" s="1"/>
  <c r="M43" i="70"/>
  <c r="M43" i="71" s="1"/>
  <c r="N43" i="70"/>
  <c r="N43" i="71" s="1"/>
  <c r="O43" i="71"/>
  <c r="I44" i="70"/>
  <c r="I44" i="71" s="1"/>
  <c r="J44" i="70"/>
  <c r="J44" i="71" s="1"/>
  <c r="K44" i="70"/>
  <c r="K44" i="71" s="1"/>
  <c r="L44" i="70"/>
  <c r="L44" i="71" s="1"/>
  <c r="M44" i="70"/>
  <c r="M44" i="71" s="1"/>
  <c r="N44" i="70"/>
  <c r="E24" i="63" s="1"/>
  <c r="O44" i="71"/>
  <c r="I45" i="70"/>
  <c r="I45" i="71" s="1"/>
  <c r="J45" i="70"/>
  <c r="J45" i="71" s="1"/>
  <c r="K45" i="70"/>
  <c r="H45" i="70" s="1"/>
  <c r="H45" i="71" s="1"/>
  <c r="L45" i="70"/>
  <c r="L45" i="71" s="1"/>
  <c r="M45" i="70"/>
  <c r="M45" i="71" s="1"/>
  <c r="N45" i="70"/>
  <c r="N45" i="71" s="1"/>
  <c r="I46" i="70"/>
  <c r="I46" i="71" s="1"/>
  <c r="J46" i="70"/>
  <c r="J46" i="71" s="1"/>
  <c r="K46" i="70"/>
  <c r="K46" i="71" s="1"/>
  <c r="L46" i="70"/>
  <c r="L46" i="71" s="1"/>
  <c r="M46" i="70"/>
  <c r="M46" i="71" s="1"/>
  <c r="N46" i="70"/>
  <c r="E26" i="63" s="1"/>
  <c r="D26" i="58"/>
  <c r="I47" i="70"/>
  <c r="I47" i="71" s="1"/>
  <c r="J47" i="70"/>
  <c r="J47" i="71" s="1"/>
  <c r="K47" i="70"/>
  <c r="K47" i="71" s="1"/>
  <c r="L47" i="70"/>
  <c r="L47" i="71" s="1"/>
  <c r="M47" i="70"/>
  <c r="M47" i="71" s="1"/>
  <c r="N47" i="70"/>
  <c r="E27" i="63" s="1"/>
  <c r="D27" i="58"/>
  <c r="I48" i="70"/>
  <c r="I48" i="71" s="1"/>
  <c r="J48" i="70"/>
  <c r="J48" i="71" s="1"/>
  <c r="K48" i="70"/>
  <c r="K48" i="71" s="1"/>
  <c r="L48" i="70"/>
  <c r="L48" i="71" s="1"/>
  <c r="M48" i="70"/>
  <c r="M48" i="71" s="1"/>
  <c r="N48" i="70"/>
  <c r="E28" i="63" s="1"/>
  <c r="D28" i="58"/>
  <c r="I49" i="70"/>
  <c r="I49" i="71" s="1"/>
  <c r="J49" i="70"/>
  <c r="J49" i="71" s="1"/>
  <c r="K49" i="70"/>
  <c r="H49" i="70" s="1"/>
  <c r="H49" i="71" s="1"/>
  <c r="L49" i="70"/>
  <c r="L49" i="71" s="1"/>
  <c r="M49" i="70"/>
  <c r="M49" i="71" s="1"/>
  <c r="N49" i="70"/>
  <c r="E29" i="63" s="1"/>
  <c r="I50" i="70"/>
  <c r="I50" i="71" s="1"/>
  <c r="J50" i="70"/>
  <c r="J50" i="71" s="1"/>
  <c r="K50" i="70"/>
  <c r="H50" i="70" s="1"/>
  <c r="H50" i="71" s="1"/>
  <c r="L50" i="70"/>
  <c r="L50" i="71" s="1"/>
  <c r="M50" i="70"/>
  <c r="M50" i="71" s="1"/>
  <c r="N50" i="70"/>
  <c r="E30" i="63" s="1"/>
  <c r="O50" i="71"/>
  <c r="I51" i="70"/>
  <c r="I51" i="71" s="1"/>
  <c r="J51" i="70"/>
  <c r="J51" i="71" s="1"/>
  <c r="K51" i="70"/>
  <c r="K51" i="71" s="1"/>
  <c r="L51" i="70"/>
  <c r="L51" i="71" s="1"/>
  <c r="M51" i="70"/>
  <c r="M51" i="71" s="1"/>
  <c r="N51" i="70"/>
  <c r="E31" i="63" s="1"/>
  <c r="O51" i="71"/>
  <c r="I52" i="70"/>
  <c r="I52" i="71" s="1"/>
  <c r="J52" i="70"/>
  <c r="J52" i="71" s="1"/>
  <c r="K52" i="70"/>
  <c r="H52" i="70" s="1"/>
  <c r="H52" i="71" s="1"/>
  <c r="L52" i="70"/>
  <c r="L52" i="71" s="1"/>
  <c r="M52" i="70"/>
  <c r="M52" i="71" s="1"/>
  <c r="N52" i="70"/>
  <c r="N52" i="71" s="1"/>
  <c r="O52" i="71"/>
  <c r="I53" i="70"/>
  <c r="I53" i="71" s="1"/>
  <c r="J53" i="70"/>
  <c r="J53" i="71" s="1"/>
  <c r="K53" i="70"/>
  <c r="H53" i="70" s="1"/>
  <c r="H53" i="71" s="1"/>
  <c r="L53" i="70"/>
  <c r="L53" i="71" s="1"/>
  <c r="M53" i="70"/>
  <c r="M53" i="71" s="1"/>
  <c r="N53" i="70"/>
  <c r="N53" i="71" s="1"/>
  <c r="I54" i="70"/>
  <c r="I54" i="71" s="1"/>
  <c r="J54" i="70"/>
  <c r="J54" i="71" s="1"/>
  <c r="K54" i="70"/>
  <c r="H54" i="70" s="1"/>
  <c r="H54" i="71" s="1"/>
  <c r="L54" i="70"/>
  <c r="L54" i="71" s="1"/>
  <c r="M54" i="70"/>
  <c r="M54" i="71" s="1"/>
  <c r="N54" i="70"/>
  <c r="N54" i="71" s="1"/>
  <c r="D34" i="58"/>
  <c r="I55" i="70"/>
  <c r="I55" i="71" s="1"/>
  <c r="J55" i="70"/>
  <c r="J55" i="71" s="1"/>
  <c r="K55" i="70"/>
  <c r="K55" i="71" s="1"/>
  <c r="L55" i="70"/>
  <c r="L55" i="71" s="1"/>
  <c r="M55" i="70"/>
  <c r="M55" i="71" s="1"/>
  <c r="N55" i="70"/>
  <c r="N55" i="71" s="1"/>
  <c r="D35" i="58"/>
  <c r="I56" i="70"/>
  <c r="I56" i="71" s="1"/>
  <c r="J56" i="70"/>
  <c r="J56" i="71" s="1"/>
  <c r="K56" i="70"/>
  <c r="K56" i="71" s="1"/>
  <c r="L56" i="70"/>
  <c r="L56" i="71" s="1"/>
  <c r="M56" i="70"/>
  <c r="M56" i="71" s="1"/>
  <c r="N56" i="70"/>
  <c r="E36" i="63" s="1"/>
  <c r="O56" i="71"/>
  <c r="I57" i="70"/>
  <c r="I57" i="71" s="1"/>
  <c r="J57" i="70"/>
  <c r="J57" i="71" s="1"/>
  <c r="K57" i="70"/>
  <c r="H57" i="70" s="1"/>
  <c r="H57" i="71" s="1"/>
  <c r="L57" i="70"/>
  <c r="L57" i="71" s="1"/>
  <c r="M57" i="70"/>
  <c r="M57" i="71" s="1"/>
  <c r="N57" i="70"/>
  <c r="E37" i="63" s="1"/>
  <c r="I58" i="70"/>
  <c r="I58" i="71" s="1"/>
  <c r="J58" i="70"/>
  <c r="J58" i="71" s="1"/>
  <c r="K58" i="70"/>
  <c r="K58" i="71" s="1"/>
  <c r="L58" i="70"/>
  <c r="L58" i="71" s="1"/>
  <c r="M58" i="70"/>
  <c r="M58" i="71" s="1"/>
  <c r="N58" i="70"/>
  <c r="N58" i="71" s="1"/>
  <c r="D38" i="58"/>
  <c r="I59" i="70"/>
  <c r="I59" i="71" s="1"/>
  <c r="J59" i="70"/>
  <c r="J59" i="71" s="1"/>
  <c r="K59" i="70"/>
  <c r="K59" i="71" s="1"/>
  <c r="L59" i="70"/>
  <c r="L59" i="71" s="1"/>
  <c r="M59" i="70"/>
  <c r="M59" i="71" s="1"/>
  <c r="N59" i="70"/>
  <c r="E39" i="63" s="1"/>
  <c r="D39" i="58"/>
  <c r="I60" i="70"/>
  <c r="I60" i="71" s="1"/>
  <c r="J60" i="70"/>
  <c r="J60" i="71" s="1"/>
  <c r="K60" i="70"/>
  <c r="K60" i="71" s="1"/>
  <c r="L60" i="70"/>
  <c r="L60" i="71" s="1"/>
  <c r="M60" i="70"/>
  <c r="M60" i="71" s="1"/>
  <c r="N60" i="70"/>
  <c r="E40" i="63" s="1"/>
  <c r="D40" i="58"/>
  <c r="I61" i="70"/>
  <c r="I61" i="71" s="1"/>
  <c r="J61" i="70"/>
  <c r="J61" i="71" s="1"/>
  <c r="K61" i="70"/>
  <c r="H61" i="70" s="1"/>
  <c r="H61" i="71" s="1"/>
  <c r="L61" i="70"/>
  <c r="L61" i="71" s="1"/>
  <c r="M61" i="70"/>
  <c r="M61" i="71" s="1"/>
  <c r="N61" i="70"/>
  <c r="E41" i="63" s="1"/>
  <c r="I62" i="70"/>
  <c r="I62" i="71" s="1"/>
  <c r="J62" i="70"/>
  <c r="J62" i="71" s="1"/>
  <c r="K62" i="70"/>
  <c r="H62" i="70" s="1"/>
  <c r="H62" i="71" s="1"/>
  <c r="L62" i="70"/>
  <c r="L62" i="71" s="1"/>
  <c r="M62" i="70"/>
  <c r="M62" i="71" s="1"/>
  <c r="N62" i="70"/>
  <c r="E42" i="63" s="1"/>
  <c r="O62" i="71"/>
  <c r="I63" i="70"/>
  <c r="I63" i="71" s="1"/>
  <c r="J63" i="70"/>
  <c r="J63" i="71" s="1"/>
  <c r="K63" i="70"/>
  <c r="H63" i="70" s="1"/>
  <c r="H63" i="71" s="1"/>
  <c r="L63" i="70"/>
  <c r="L63" i="71" s="1"/>
  <c r="M63" i="70"/>
  <c r="M63" i="71" s="1"/>
  <c r="N63" i="70"/>
  <c r="E43" i="63" s="1"/>
  <c r="O63" i="71"/>
  <c r="I64" i="70"/>
  <c r="I64" i="71" s="1"/>
  <c r="J64" i="70"/>
  <c r="J64" i="71" s="1"/>
  <c r="K64" i="70"/>
  <c r="K64" i="71" s="1"/>
  <c r="L64" i="70"/>
  <c r="L64" i="71" s="1"/>
  <c r="M64" i="70"/>
  <c r="M64" i="71" s="1"/>
  <c r="N64" i="70"/>
  <c r="N64" i="71" s="1"/>
  <c r="O64" i="71"/>
  <c r="I65" i="70"/>
  <c r="I65" i="71" s="1"/>
  <c r="J65" i="70"/>
  <c r="J65" i="71" s="1"/>
  <c r="K65" i="70"/>
  <c r="H65" i="70" s="1"/>
  <c r="H65" i="71" s="1"/>
  <c r="L65" i="70"/>
  <c r="L65" i="71" s="1"/>
  <c r="M65" i="70"/>
  <c r="M65" i="71" s="1"/>
  <c r="N65" i="70"/>
  <c r="N65" i="71" s="1"/>
  <c r="I66" i="70"/>
  <c r="I66" i="71" s="1"/>
  <c r="J66" i="70"/>
  <c r="J66" i="71" s="1"/>
  <c r="K66" i="70"/>
  <c r="H66" i="70" s="1"/>
  <c r="H66" i="71" s="1"/>
  <c r="L66" i="70"/>
  <c r="L66" i="71" s="1"/>
  <c r="M66" i="70"/>
  <c r="M66" i="71" s="1"/>
  <c r="N66" i="70"/>
  <c r="N66" i="71" s="1"/>
  <c r="D46" i="58"/>
  <c r="I67" i="70"/>
  <c r="I67" i="71" s="1"/>
  <c r="J67" i="70"/>
  <c r="J67" i="71" s="1"/>
  <c r="K67" i="70"/>
  <c r="H67" i="70" s="1"/>
  <c r="H67" i="71" s="1"/>
  <c r="L67" i="70"/>
  <c r="L67" i="71" s="1"/>
  <c r="M67" i="70"/>
  <c r="M67" i="71" s="1"/>
  <c r="N67" i="70"/>
  <c r="N67" i="71" s="1"/>
  <c r="D47" i="58"/>
  <c r="I68" i="70"/>
  <c r="I68" i="71" s="1"/>
  <c r="J68" i="70"/>
  <c r="J68" i="71" s="1"/>
  <c r="K68" i="70"/>
  <c r="H68" i="70" s="1"/>
  <c r="H68" i="71" s="1"/>
  <c r="L68" i="70"/>
  <c r="L68" i="71" s="1"/>
  <c r="M68" i="70"/>
  <c r="M68" i="71" s="1"/>
  <c r="N68" i="70"/>
  <c r="E48" i="63" s="1"/>
  <c r="O68" i="71"/>
  <c r="I69" i="70"/>
  <c r="I69" i="71" s="1"/>
  <c r="J69" i="70"/>
  <c r="J69" i="71" s="1"/>
  <c r="K69" i="70"/>
  <c r="H69" i="70" s="1"/>
  <c r="H69" i="71" s="1"/>
  <c r="L69" i="70"/>
  <c r="L69" i="71" s="1"/>
  <c r="M69" i="70"/>
  <c r="M69" i="71" s="1"/>
  <c r="N69" i="70"/>
  <c r="E49" i="63" s="1"/>
  <c r="I70" i="70"/>
  <c r="I70" i="71" s="1"/>
  <c r="J70" i="70"/>
  <c r="J70" i="71" s="1"/>
  <c r="K70" i="70"/>
  <c r="H70" i="70" s="1"/>
  <c r="H70" i="71" s="1"/>
  <c r="L70" i="70"/>
  <c r="L70" i="71" s="1"/>
  <c r="M70" i="70"/>
  <c r="M70" i="71" s="1"/>
  <c r="N70" i="70"/>
  <c r="N70" i="71" s="1"/>
  <c r="D50" i="58"/>
  <c r="N31" i="70"/>
  <c r="N31" i="71" s="1"/>
  <c r="M31" i="70"/>
  <c r="M31" i="71" s="1"/>
  <c r="L31" i="70"/>
  <c r="L31" i="71" s="1"/>
  <c r="K31" i="70"/>
  <c r="H31" i="70" s="1"/>
  <c r="H31" i="71" s="1"/>
  <c r="J31" i="70"/>
  <c r="J31" i="71" s="1"/>
  <c r="I31" i="70"/>
  <c r="I31" i="71" s="1"/>
  <c r="H47" i="70" l="1"/>
  <c r="H47" i="71" s="1"/>
  <c r="H55" i="70"/>
  <c r="H55" i="71" s="1"/>
  <c r="H48" i="70"/>
  <c r="H48" i="71" s="1"/>
  <c r="H58" i="70"/>
  <c r="H58" i="71" s="1"/>
  <c r="H51" i="70"/>
  <c r="H51" i="71" s="1"/>
  <c r="H43" i="70"/>
  <c r="H43" i="71" s="1"/>
  <c r="H44" i="70"/>
  <c r="H44" i="71" s="1"/>
  <c r="H64" i="70"/>
  <c r="H64" i="71" s="1"/>
  <c r="O33" i="71"/>
  <c r="N34" i="71"/>
  <c r="K37" i="71"/>
  <c r="O45" i="71"/>
  <c r="N46" i="71"/>
  <c r="K50" i="71"/>
  <c r="O58" i="71"/>
  <c r="N59" i="71"/>
  <c r="K62" i="71"/>
  <c r="O70" i="71"/>
  <c r="D44" i="58"/>
  <c r="D32" i="58"/>
  <c r="D20" i="58"/>
  <c r="E47" i="63"/>
  <c r="E35" i="63"/>
  <c r="E23" i="63"/>
  <c r="H34" i="70"/>
  <c r="H34" i="71" s="1"/>
  <c r="O34" i="71"/>
  <c r="N35" i="71"/>
  <c r="K38" i="71"/>
  <c r="O46" i="71"/>
  <c r="N47" i="71"/>
  <c r="O59" i="71"/>
  <c r="N60" i="71"/>
  <c r="K63" i="71"/>
  <c r="D43" i="58"/>
  <c r="D31" i="58"/>
  <c r="D19" i="58"/>
  <c r="E46" i="63"/>
  <c r="E34" i="63"/>
  <c r="E22" i="63"/>
  <c r="H56" i="70"/>
  <c r="H56" i="71" s="1"/>
  <c r="O35" i="71"/>
  <c r="N36" i="71"/>
  <c r="K39" i="71"/>
  <c r="O47" i="71"/>
  <c r="N48" i="71"/>
  <c r="N49" i="71"/>
  <c r="K52" i="71"/>
  <c r="O60" i="71"/>
  <c r="N61" i="71"/>
  <c r="D42" i="58"/>
  <c r="D30" i="58"/>
  <c r="D18" i="58"/>
  <c r="E45" i="63"/>
  <c r="E33" i="63"/>
  <c r="E21" i="63"/>
  <c r="H42" i="70"/>
  <c r="H42" i="71" s="1"/>
  <c r="O36" i="71"/>
  <c r="N37" i="71"/>
  <c r="K40" i="71"/>
  <c r="O48" i="71"/>
  <c r="O49" i="71"/>
  <c r="N50" i="71"/>
  <c r="K53" i="71"/>
  <c r="O61" i="71"/>
  <c r="N62" i="71"/>
  <c r="K65" i="71"/>
  <c r="D17" i="58"/>
  <c r="E44" i="63"/>
  <c r="E32" i="63"/>
  <c r="E20" i="63"/>
  <c r="O71" i="70"/>
  <c r="N38" i="71"/>
  <c r="K41" i="71"/>
  <c r="N51" i="71"/>
  <c r="K54" i="71"/>
  <c r="N63" i="71"/>
  <c r="K66" i="71"/>
  <c r="D11" i="58"/>
  <c r="E19" i="63"/>
  <c r="K67" i="71"/>
  <c r="D12" i="58"/>
  <c r="K31" i="71"/>
  <c r="K68" i="71"/>
  <c r="K32" i="71"/>
  <c r="O53" i="71"/>
  <c r="K57" i="71"/>
  <c r="O65" i="71"/>
  <c r="K69" i="71"/>
  <c r="D49" i="58"/>
  <c r="D37" i="58"/>
  <c r="H46" i="70"/>
  <c r="H46" i="71" s="1"/>
  <c r="K33" i="71"/>
  <c r="O41" i="71"/>
  <c r="K45" i="71"/>
  <c r="O54" i="71"/>
  <c r="O66" i="71"/>
  <c r="K70" i="71"/>
  <c r="D48" i="58"/>
  <c r="D36" i="58"/>
  <c r="D24" i="58"/>
  <c r="E11" i="63"/>
  <c r="H59" i="70"/>
  <c r="H59" i="71" s="1"/>
  <c r="H60" i="70"/>
  <c r="H60" i="71" s="1"/>
  <c r="O42" i="71"/>
  <c r="O55" i="71"/>
  <c r="N56" i="71"/>
  <c r="O67" i="71"/>
  <c r="N68" i="71"/>
  <c r="D23" i="58"/>
  <c r="E50" i="63"/>
  <c r="E38" i="63"/>
  <c r="N32" i="71"/>
  <c r="K35" i="71"/>
  <c r="N44" i="71"/>
  <c r="N57" i="71"/>
  <c r="N69" i="71"/>
  <c r="E25" i="63"/>
  <c r="E13" i="63"/>
  <c r="K36" i="71"/>
  <c r="K49" i="71"/>
  <c r="K61" i="71"/>
  <c r="BH12" i="61"/>
  <c r="BI12" i="61"/>
  <c r="BK12" i="61"/>
  <c r="BL12" i="61"/>
  <c r="BM12" i="61"/>
  <c r="BU12" i="61"/>
  <c r="BH13" i="61"/>
  <c r="BI13" i="61"/>
  <c r="BK13" i="61"/>
  <c r="BL13" i="61"/>
  <c r="BM13" i="61"/>
  <c r="BU13" i="61"/>
  <c r="BH14" i="61"/>
  <c r="BI14" i="61"/>
  <c r="BK14" i="61"/>
  <c r="BL14" i="61"/>
  <c r="BM14" i="61"/>
  <c r="BU14" i="61"/>
  <c r="BH15" i="61"/>
  <c r="BI15" i="61"/>
  <c r="BK15" i="61"/>
  <c r="BL15" i="61"/>
  <c r="BM15" i="61"/>
  <c r="BU15" i="61"/>
  <c r="BH16" i="61"/>
  <c r="BI16" i="61"/>
  <c r="BK16" i="61"/>
  <c r="BL16" i="61"/>
  <c r="BM16" i="61"/>
  <c r="BU16" i="61"/>
  <c r="BH17" i="61"/>
  <c r="BI17" i="61"/>
  <c r="BK17" i="61"/>
  <c r="BL17" i="61"/>
  <c r="BM17" i="61"/>
  <c r="BU17" i="61"/>
  <c r="BH18" i="61"/>
  <c r="BI18" i="61"/>
  <c r="BK18" i="61"/>
  <c r="BL18" i="61"/>
  <c r="BM18" i="61"/>
  <c r="BU18" i="61"/>
  <c r="BH19" i="61"/>
  <c r="BI19" i="61"/>
  <c r="BK19" i="61"/>
  <c r="BL19" i="61"/>
  <c r="BM19" i="61"/>
  <c r="BU19" i="61"/>
  <c r="BH20" i="61"/>
  <c r="BI20" i="61"/>
  <c r="BK20" i="61"/>
  <c r="BL20" i="61"/>
  <c r="BM20" i="61"/>
  <c r="BU20" i="61"/>
  <c r="BH21" i="61"/>
  <c r="BI21" i="61"/>
  <c r="BK21" i="61"/>
  <c r="BL21" i="61"/>
  <c r="BM21" i="61"/>
  <c r="BU21" i="61"/>
  <c r="BH22" i="61"/>
  <c r="BI22" i="61"/>
  <c r="BK22" i="61"/>
  <c r="BL22" i="61"/>
  <c r="BM22" i="61"/>
  <c r="BU22" i="61"/>
  <c r="BH23" i="61"/>
  <c r="BI23" i="61"/>
  <c r="BK23" i="61"/>
  <c r="BL23" i="61"/>
  <c r="BM23" i="61"/>
  <c r="BU23" i="61"/>
  <c r="BH24" i="61"/>
  <c r="BI24" i="61"/>
  <c r="BK24" i="61"/>
  <c r="BL24" i="61"/>
  <c r="BM24" i="61"/>
  <c r="BU24" i="61"/>
  <c r="BH25" i="61"/>
  <c r="BI25" i="61"/>
  <c r="BK25" i="61"/>
  <c r="BL25" i="61"/>
  <c r="BM25" i="61"/>
  <c r="BU25" i="61"/>
  <c r="BH26" i="61"/>
  <c r="BI26" i="61"/>
  <c r="BK26" i="61"/>
  <c r="BL26" i="61"/>
  <c r="BM26" i="61"/>
  <c r="BU26" i="61"/>
  <c r="BH27" i="61"/>
  <c r="BI27" i="61"/>
  <c r="BK27" i="61"/>
  <c r="BL27" i="61"/>
  <c r="BM27" i="61"/>
  <c r="BU27" i="61"/>
  <c r="BH28" i="61"/>
  <c r="BI28" i="61"/>
  <c r="BK28" i="61"/>
  <c r="BL28" i="61"/>
  <c r="BM28" i="61"/>
  <c r="BU28" i="61"/>
  <c r="BH29" i="61"/>
  <c r="BI29" i="61"/>
  <c r="BK29" i="61"/>
  <c r="BL29" i="61"/>
  <c r="BM29" i="61"/>
  <c r="BU29" i="61"/>
  <c r="BH30" i="61"/>
  <c r="BI30" i="61"/>
  <c r="BK30" i="61"/>
  <c r="BL30" i="61"/>
  <c r="BM30" i="61"/>
  <c r="BU30" i="61"/>
  <c r="BH31" i="61"/>
  <c r="BI31" i="61"/>
  <c r="BK31" i="61"/>
  <c r="BL31" i="61"/>
  <c r="BM31" i="61"/>
  <c r="BU31" i="61"/>
  <c r="BH32" i="61"/>
  <c r="BI32" i="61"/>
  <c r="BK32" i="61"/>
  <c r="BL32" i="61"/>
  <c r="BM32" i="61"/>
  <c r="BU32" i="61"/>
  <c r="BH33" i="61"/>
  <c r="BI33" i="61"/>
  <c r="BK33" i="61"/>
  <c r="BL33" i="61"/>
  <c r="BM33" i="61"/>
  <c r="BU33" i="61"/>
  <c r="BH34" i="61"/>
  <c r="BI34" i="61"/>
  <c r="BK34" i="61"/>
  <c r="BL34" i="61"/>
  <c r="BM34" i="61"/>
  <c r="BU34" i="61"/>
  <c r="BH35" i="61"/>
  <c r="BI35" i="61"/>
  <c r="BK35" i="61"/>
  <c r="BL35" i="61"/>
  <c r="BM35" i="61"/>
  <c r="BU35" i="61"/>
  <c r="BH36" i="61"/>
  <c r="BI36" i="61"/>
  <c r="BK36" i="61"/>
  <c r="BL36" i="61"/>
  <c r="BM36" i="61"/>
  <c r="BU36" i="61"/>
  <c r="BH37" i="61"/>
  <c r="BI37" i="61"/>
  <c r="BK37" i="61"/>
  <c r="BL37" i="61"/>
  <c r="BM37" i="61"/>
  <c r="BU37" i="61"/>
  <c r="BH38" i="61"/>
  <c r="BI38" i="61"/>
  <c r="BK38" i="61"/>
  <c r="BL38" i="61"/>
  <c r="BM38" i="61"/>
  <c r="BU38" i="61"/>
  <c r="BH39" i="61"/>
  <c r="BI39" i="61"/>
  <c r="BK39" i="61"/>
  <c r="BL39" i="61"/>
  <c r="BM39" i="61"/>
  <c r="BU39" i="61"/>
  <c r="BH40" i="61"/>
  <c r="BI40" i="61"/>
  <c r="BK40" i="61"/>
  <c r="BL40" i="61"/>
  <c r="BM40" i="61"/>
  <c r="BU40" i="61"/>
  <c r="BH41" i="61"/>
  <c r="BI41" i="61"/>
  <c r="BK41" i="61"/>
  <c r="BL41" i="61"/>
  <c r="BM41" i="61"/>
  <c r="BU41" i="61"/>
  <c r="BH42" i="61"/>
  <c r="BI42" i="61"/>
  <c r="BK42" i="61"/>
  <c r="BL42" i="61"/>
  <c r="BM42" i="61"/>
  <c r="BU42" i="61"/>
  <c r="BH43" i="61"/>
  <c r="BI43" i="61"/>
  <c r="BK43" i="61"/>
  <c r="BL43" i="61"/>
  <c r="BM43" i="61"/>
  <c r="BU43" i="61"/>
  <c r="BH44" i="61"/>
  <c r="BI44" i="61"/>
  <c r="BK44" i="61"/>
  <c r="BL44" i="61"/>
  <c r="BM44" i="61"/>
  <c r="BU44" i="61"/>
  <c r="BH45" i="61"/>
  <c r="BI45" i="61"/>
  <c r="BK45" i="61"/>
  <c r="BL45" i="61"/>
  <c r="BM45" i="61"/>
  <c r="BU45" i="61"/>
  <c r="BH46" i="61"/>
  <c r="BI46" i="61"/>
  <c r="BK46" i="61"/>
  <c r="BL46" i="61"/>
  <c r="BM46" i="61"/>
  <c r="BU46" i="61"/>
  <c r="BH47" i="61"/>
  <c r="BI47" i="61"/>
  <c r="BK47" i="61"/>
  <c r="BL47" i="61"/>
  <c r="BM47" i="61"/>
  <c r="BU47" i="61"/>
  <c r="BH48" i="61"/>
  <c r="BI48" i="61"/>
  <c r="BK48" i="61"/>
  <c r="BL48" i="61"/>
  <c r="BM48" i="61"/>
  <c r="BU48" i="61"/>
  <c r="BH49" i="61"/>
  <c r="BI49" i="61"/>
  <c r="BK49" i="61"/>
  <c r="BL49" i="61"/>
  <c r="BM49" i="61"/>
  <c r="BU49" i="61"/>
  <c r="BH50" i="61"/>
  <c r="BI50" i="61"/>
  <c r="BK50" i="61"/>
  <c r="BL50" i="61"/>
  <c r="BM50" i="61"/>
  <c r="BU50" i="61"/>
  <c r="BH11" i="61"/>
  <c r="BI11" i="61"/>
  <c r="BK11" i="61"/>
  <c r="BL11" i="61"/>
  <c r="BM11" i="61"/>
  <c r="BU11" i="61"/>
  <c r="AK51" i="61"/>
  <c r="T17" i="78" l="1"/>
  <c r="T18" i="78"/>
  <c r="T19" i="78"/>
  <c r="T20" i="78"/>
  <c r="T21" i="78"/>
  <c r="T22" i="78"/>
  <c r="T23" i="78"/>
  <c r="T24" i="78"/>
  <c r="T25" i="78"/>
  <c r="T26" i="78"/>
  <c r="T27" i="78"/>
  <c r="T28" i="78"/>
  <c r="T29" i="78"/>
  <c r="T30" i="78"/>
  <c r="T31" i="78"/>
  <c r="T32" i="78"/>
  <c r="T33" i="78"/>
  <c r="T34" i="78"/>
  <c r="T35" i="78"/>
  <c r="T36" i="78"/>
  <c r="T37" i="78"/>
  <c r="T38" i="78"/>
  <c r="T39" i="78"/>
  <c r="T40" i="78"/>
  <c r="T41" i="78"/>
  <c r="T42" i="78"/>
  <c r="T43" i="78"/>
  <c r="T44" i="78"/>
  <c r="T18" i="79"/>
  <c r="T19" i="79"/>
  <c r="T20" i="79"/>
  <c r="T21" i="79"/>
  <c r="T22" i="79"/>
  <c r="T23" i="79"/>
  <c r="T24" i="79"/>
  <c r="T25" i="79"/>
  <c r="T26" i="79"/>
  <c r="T27" i="79"/>
  <c r="T28" i="79"/>
  <c r="T29" i="79"/>
  <c r="T30" i="79"/>
  <c r="T31" i="79"/>
  <c r="T32" i="79"/>
  <c r="T33" i="79"/>
  <c r="T34" i="79"/>
  <c r="T35" i="79"/>
  <c r="T36" i="79"/>
  <c r="T37" i="79"/>
  <c r="T38" i="79"/>
  <c r="T39" i="79"/>
  <c r="T40" i="79"/>
  <c r="T41" i="79"/>
  <c r="T42" i="79"/>
  <c r="T43" i="79"/>
  <c r="T44" i="79"/>
  <c r="T16" i="80"/>
  <c r="T17" i="80"/>
  <c r="T18" i="80"/>
  <c r="T19" i="80"/>
  <c r="T20" i="80"/>
  <c r="T21" i="80"/>
  <c r="T22" i="80"/>
  <c r="T23" i="80"/>
  <c r="T24" i="80"/>
  <c r="T25" i="80"/>
  <c r="T26" i="80"/>
  <c r="T27" i="80"/>
  <c r="T28" i="80"/>
  <c r="T29" i="80"/>
  <c r="T30" i="80"/>
  <c r="T31" i="80"/>
  <c r="T32" i="80"/>
  <c r="T33" i="80"/>
  <c r="T34" i="80"/>
  <c r="T35" i="80"/>
  <c r="T36" i="80"/>
  <c r="T37" i="80"/>
  <c r="T38" i="80"/>
  <c r="T39" i="80"/>
  <c r="T40" i="80"/>
  <c r="T41" i="80"/>
  <c r="T42" i="80"/>
  <c r="T43" i="80"/>
  <c r="T44" i="80"/>
  <c r="T20" i="81"/>
  <c r="T21" i="81"/>
  <c r="T22" i="81"/>
  <c r="T23" i="81"/>
  <c r="T24" i="81"/>
  <c r="T25" i="81"/>
  <c r="T26" i="81"/>
  <c r="T27" i="81"/>
  <c r="T28" i="81"/>
  <c r="T29" i="81"/>
  <c r="T30" i="81"/>
  <c r="T31" i="81"/>
  <c r="T32" i="81"/>
  <c r="T33" i="81"/>
  <c r="T34" i="81"/>
  <c r="T35" i="81"/>
  <c r="T36" i="81"/>
  <c r="T37" i="81"/>
  <c r="T38" i="81"/>
  <c r="T39" i="81"/>
  <c r="T40" i="81"/>
  <c r="T41" i="81"/>
  <c r="T42" i="81"/>
  <c r="T43" i="81"/>
  <c r="T44" i="81"/>
  <c r="T19" i="82"/>
  <c r="T20" i="82"/>
  <c r="T21" i="82"/>
  <c r="T22" i="82"/>
  <c r="T23" i="82"/>
  <c r="T24" i="82"/>
  <c r="T25" i="82"/>
  <c r="T26" i="82"/>
  <c r="T27" i="82"/>
  <c r="T28" i="82"/>
  <c r="T29" i="82"/>
  <c r="T30" i="82"/>
  <c r="T31" i="82"/>
  <c r="T32" i="82"/>
  <c r="T33" i="82"/>
  <c r="T34" i="82"/>
  <c r="T35" i="82"/>
  <c r="T36" i="82"/>
  <c r="T37" i="82"/>
  <c r="T38" i="82"/>
  <c r="T39" i="82"/>
  <c r="T40" i="82"/>
  <c r="T41" i="82"/>
  <c r="T42" i="82"/>
  <c r="T43" i="82"/>
  <c r="T44" i="82"/>
  <c r="T18" i="83"/>
  <c r="T19" i="83"/>
  <c r="T20" i="83"/>
  <c r="T21" i="83"/>
  <c r="T22" i="83"/>
  <c r="T23" i="83"/>
  <c r="T24" i="83"/>
  <c r="T25" i="83"/>
  <c r="T26" i="83"/>
  <c r="T27" i="83"/>
  <c r="T28" i="83"/>
  <c r="T29" i="83"/>
  <c r="T30" i="83"/>
  <c r="T31" i="83"/>
  <c r="T32" i="83"/>
  <c r="T33" i="83"/>
  <c r="T34" i="83"/>
  <c r="T35" i="83"/>
  <c r="T36" i="83"/>
  <c r="T37" i="83"/>
  <c r="T38" i="83"/>
  <c r="T39" i="83"/>
  <c r="T40" i="83"/>
  <c r="T41" i="83"/>
  <c r="T42" i="83"/>
  <c r="T43" i="83"/>
  <c r="T44" i="83"/>
  <c r="T16" i="84"/>
  <c r="T17" i="84"/>
  <c r="T18" i="84"/>
  <c r="T19" i="84"/>
  <c r="T20" i="84"/>
  <c r="T21" i="84"/>
  <c r="T22" i="84"/>
  <c r="T23" i="84"/>
  <c r="T24" i="84"/>
  <c r="T25" i="84"/>
  <c r="T26" i="84"/>
  <c r="T27" i="84"/>
  <c r="T28" i="84"/>
  <c r="T29" i="84"/>
  <c r="T30" i="84"/>
  <c r="T31" i="84"/>
  <c r="T32" i="84"/>
  <c r="T33" i="84"/>
  <c r="T34" i="84"/>
  <c r="T35" i="84"/>
  <c r="T36" i="84"/>
  <c r="T37" i="84"/>
  <c r="T38" i="84"/>
  <c r="T39" i="84"/>
  <c r="T40" i="84"/>
  <c r="T41" i="84"/>
  <c r="T42" i="84"/>
  <c r="T43" i="84"/>
  <c r="T44" i="84"/>
  <c r="T20" i="85"/>
  <c r="T21" i="85"/>
  <c r="T22" i="85"/>
  <c r="T23" i="85"/>
  <c r="T24" i="85"/>
  <c r="T25" i="85"/>
  <c r="T26" i="85"/>
  <c r="T27" i="85"/>
  <c r="T28" i="85"/>
  <c r="T29" i="85"/>
  <c r="T30" i="85"/>
  <c r="T31" i="85"/>
  <c r="T32" i="85"/>
  <c r="T33" i="85"/>
  <c r="T34" i="85"/>
  <c r="T35" i="85"/>
  <c r="T36" i="85"/>
  <c r="T37" i="85"/>
  <c r="T38" i="85"/>
  <c r="T39" i="85"/>
  <c r="T40" i="85"/>
  <c r="T41" i="85"/>
  <c r="T42" i="85"/>
  <c r="T43" i="85"/>
  <c r="T44" i="85"/>
  <c r="T21" i="86"/>
  <c r="T22" i="86"/>
  <c r="T23" i="86"/>
  <c r="T24" i="86"/>
  <c r="T25" i="86"/>
  <c r="T26" i="86"/>
  <c r="T27" i="86"/>
  <c r="T28" i="86"/>
  <c r="T29" i="86"/>
  <c r="T30" i="86"/>
  <c r="T31" i="86"/>
  <c r="T32" i="86"/>
  <c r="T33" i="86"/>
  <c r="T34" i="86"/>
  <c r="T35" i="86"/>
  <c r="T36" i="86"/>
  <c r="T37" i="86"/>
  <c r="T38" i="86"/>
  <c r="T39" i="86"/>
  <c r="T40" i="86"/>
  <c r="T41" i="86"/>
  <c r="T42" i="86"/>
  <c r="T43" i="86"/>
  <c r="T44" i="86"/>
  <c r="T20" i="87"/>
  <c r="T21" i="87"/>
  <c r="T22" i="87"/>
  <c r="T23" i="87"/>
  <c r="T24" i="87"/>
  <c r="T25" i="87"/>
  <c r="T26" i="87"/>
  <c r="T27" i="87"/>
  <c r="T28" i="87"/>
  <c r="T29" i="87"/>
  <c r="T30" i="87"/>
  <c r="T31" i="87"/>
  <c r="T32" i="87"/>
  <c r="T33" i="87"/>
  <c r="T34" i="87"/>
  <c r="T35" i="87"/>
  <c r="T36" i="87"/>
  <c r="T37" i="87"/>
  <c r="T38" i="87"/>
  <c r="T39" i="87"/>
  <c r="T40" i="87"/>
  <c r="T41" i="87"/>
  <c r="T42" i="87"/>
  <c r="T43" i="87"/>
  <c r="T44" i="87"/>
  <c r="T17" i="88"/>
  <c r="T18" i="88"/>
  <c r="T19" i="88"/>
  <c r="T20" i="88"/>
  <c r="T21" i="88"/>
  <c r="T22" i="88"/>
  <c r="T23" i="88"/>
  <c r="T24" i="88"/>
  <c r="T25" i="88"/>
  <c r="T26" i="88"/>
  <c r="T27" i="88"/>
  <c r="T28" i="88"/>
  <c r="T29" i="88"/>
  <c r="T30" i="88"/>
  <c r="T31" i="88"/>
  <c r="T32" i="88"/>
  <c r="T33" i="88"/>
  <c r="T34" i="88"/>
  <c r="T35" i="88"/>
  <c r="T36" i="88"/>
  <c r="T37" i="88"/>
  <c r="T38" i="88"/>
  <c r="T39" i="88"/>
  <c r="T40" i="88"/>
  <c r="T41" i="88"/>
  <c r="T42" i="88"/>
  <c r="T43" i="88"/>
  <c r="T44" i="88"/>
  <c r="T21" i="89"/>
  <c r="T22" i="89"/>
  <c r="T23" i="89"/>
  <c r="T24" i="89"/>
  <c r="T25" i="89"/>
  <c r="T26" i="89"/>
  <c r="T27" i="89"/>
  <c r="T28" i="89"/>
  <c r="T29" i="89"/>
  <c r="T30" i="89"/>
  <c r="T31" i="89"/>
  <c r="T32" i="89"/>
  <c r="T33" i="89"/>
  <c r="T34" i="89"/>
  <c r="T35" i="89"/>
  <c r="T36" i="89"/>
  <c r="T37" i="89"/>
  <c r="T38" i="89"/>
  <c r="T39" i="89"/>
  <c r="T40" i="89"/>
  <c r="T41" i="89"/>
  <c r="T42" i="89"/>
  <c r="T43" i="89"/>
  <c r="T44" i="89"/>
  <c r="T16" i="90"/>
  <c r="T17" i="90"/>
  <c r="T18" i="90"/>
  <c r="T19" i="90"/>
  <c r="T20" i="90"/>
  <c r="T21" i="90"/>
  <c r="T22" i="90"/>
  <c r="T23" i="90"/>
  <c r="T24" i="90"/>
  <c r="T25" i="90"/>
  <c r="T26" i="90"/>
  <c r="T27" i="90"/>
  <c r="T28" i="90"/>
  <c r="T29" i="90"/>
  <c r="T30" i="90"/>
  <c r="T31" i="90"/>
  <c r="T32" i="90"/>
  <c r="T33" i="90"/>
  <c r="T34" i="90"/>
  <c r="T35" i="90"/>
  <c r="T36" i="90"/>
  <c r="T37" i="90"/>
  <c r="T38" i="90"/>
  <c r="T39" i="90"/>
  <c r="T40" i="90"/>
  <c r="T41" i="90"/>
  <c r="T42" i="90"/>
  <c r="T43" i="90"/>
  <c r="T44" i="90"/>
  <c r="T17" i="91"/>
  <c r="T18" i="91"/>
  <c r="T19" i="91"/>
  <c r="T20" i="91"/>
  <c r="T21" i="91"/>
  <c r="T22" i="91"/>
  <c r="T23" i="91"/>
  <c r="T24" i="91"/>
  <c r="T25" i="91"/>
  <c r="T26" i="91"/>
  <c r="T27" i="91"/>
  <c r="T28" i="91"/>
  <c r="T29" i="91"/>
  <c r="T30" i="91"/>
  <c r="T31" i="91"/>
  <c r="T32" i="91"/>
  <c r="T33" i="91"/>
  <c r="T34" i="91"/>
  <c r="T35" i="91"/>
  <c r="T36" i="91"/>
  <c r="T37" i="91"/>
  <c r="T38" i="91"/>
  <c r="T39" i="91"/>
  <c r="T40" i="91"/>
  <c r="T41" i="91"/>
  <c r="T42" i="91"/>
  <c r="T43" i="91"/>
  <c r="T44" i="91"/>
  <c r="T17" i="92"/>
  <c r="T18" i="92"/>
  <c r="T19" i="92"/>
  <c r="T20" i="92"/>
  <c r="T21" i="92"/>
  <c r="T22" i="92"/>
  <c r="T23" i="92"/>
  <c r="T24" i="92"/>
  <c r="T25" i="92"/>
  <c r="T26" i="92"/>
  <c r="T27" i="92"/>
  <c r="T28" i="92"/>
  <c r="T29" i="92"/>
  <c r="T30" i="92"/>
  <c r="T31" i="92"/>
  <c r="T32" i="92"/>
  <c r="T33" i="92"/>
  <c r="T34" i="92"/>
  <c r="T35" i="92"/>
  <c r="T36" i="92"/>
  <c r="T37" i="92"/>
  <c r="T38" i="92"/>
  <c r="T39" i="92"/>
  <c r="T40" i="92"/>
  <c r="T41" i="92"/>
  <c r="T42" i="92"/>
  <c r="T43" i="92"/>
  <c r="T44" i="92"/>
  <c r="T16" i="93"/>
  <c r="T17" i="93"/>
  <c r="T18" i="93"/>
  <c r="T19" i="93"/>
  <c r="T20" i="93"/>
  <c r="T21" i="93"/>
  <c r="T22" i="93"/>
  <c r="T23" i="93"/>
  <c r="T24" i="93"/>
  <c r="T25" i="93"/>
  <c r="T26" i="93"/>
  <c r="T27" i="93"/>
  <c r="T28" i="93"/>
  <c r="T29" i="93"/>
  <c r="T30" i="93"/>
  <c r="T31" i="93"/>
  <c r="T32" i="93"/>
  <c r="T33" i="93"/>
  <c r="T34" i="93"/>
  <c r="T35" i="93"/>
  <c r="T36" i="93"/>
  <c r="T37" i="93"/>
  <c r="T38" i="93"/>
  <c r="T39" i="93"/>
  <c r="T40" i="93"/>
  <c r="T41" i="93"/>
  <c r="T42" i="93"/>
  <c r="T43" i="93"/>
  <c r="T44" i="93"/>
  <c r="T16" i="95"/>
  <c r="T17" i="95"/>
  <c r="T18" i="95"/>
  <c r="T19" i="95"/>
  <c r="T20" i="95"/>
  <c r="T21" i="95"/>
  <c r="T22" i="95"/>
  <c r="T23" i="95"/>
  <c r="T24" i="95"/>
  <c r="T25" i="95"/>
  <c r="T26" i="95"/>
  <c r="T27" i="95"/>
  <c r="T28" i="95"/>
  <c r="T29" i="95"/>
  <c r="T30" i="95"/>
  <c r="T31" i="95"/>
  <c r="T32" i="95"/>
  <c r="T33" i="95"/>
  <c r="T34" i="95"/>
  <c r="T35" i="95"/>
  <c r="T36" i="95"/>
  <c r="T37" i="95"/>
  <c r="T38" i="95"/>
  <c r="T39" i="95"/>
  <c r="T40" i="95"/>
  <c r="T41" i="95"/>
  <c r="T42" i="95"/>
  <c r="T43" i="95"/>
  <c r="T44" i="95"/>
  <c r="T17" i="96"/>
  <c r="T18" i="96"/>
  <c r="T19" i="96"/>
  <c r="T20" i="96"/>
  <c r="T21" i="96"/>
  <c r="T22" i="96"/>
  <c r="T23" i="96"/>
  <c r="T24" i="96"/>
  <c r="T25" i="96"/>
  <c r="T26" i="96"/>
  <c r="T27" i="96"/>
  <c r="T28" i="96"/>
  <c r="T29" i="96"/>
  <c r="T30" i="96"/>
  <c r="T31" i="96"/>
  <c r="T32" i="96"/>
  <c r="T33" i="96"/>
  <c r="T34" i="96"/>
  <c r="T35" i="96"/>
  <c r="T36" i="96"/>
  <c r="T37" i="96"/>
  <c r="T38" i="96"/>
  <c r="T39" i="96"/>
  <c r="T40" i="96"/>
  <c r="T41" i="96"/>
  <c r="T42" i="96"/>
  <c r="T43" i="96"/>
  <c r="T44" i="96"/>
  <c r="T18" i="97"/>
  <c r="T19" i="97"/>
  <c r="T20" i="97"/>
  <c r="T21" i="97"/>
  <c r="T22" i="97"/>
  <c r="T23" i="97"/>
  <c r="T24" i="97"/>
  <c r="T25" i="97"/>
  <c r="T26" i="97"/>
  <c r="T27" i="97"/>
  <c r="T28" i="97"/>
  <c r="T29" i="97"/>
  <c r="T30" i="97"/>
  <c r="T31" i="97"/>
  <c r="T32" i="97"/>
  <c r="T33" i="97"/>
  <c r="T34" i="97"/>
  <c r="T35" i="97"/>
  <c r="T36" i="97"/>
  <c r="T37" i="97"/>
  <c r="T38" i="97"/>
  <c r="T39" i="97"/>
  <c r="T40" i="97"/>
  <c r="T41" i="97"/>
  <c r="T42" i="97"/>
  <c r="T43" i="97"/>
  <c r="T44" i="97"/>
  <c r="T17" i="98"/>
  <c r="T18" i="98"/>
  <c r="T19" i="98"/>
  <c r="T20" i="98"/>
  <c r="T21" i="98"/>
  <c r="T22" i="98"/>
  <c r="T23" i="98"/>
  <c r="T24" i="98"/>
  <c r="T25" i="98"/>
  <c r="T26" i="98"/>
  <c r="T27" i="98"/>
  <c r="T28" i="98"/>
  <c r="T29" i="98"/>
  <c r="T30" i="98"/>
  <c r="T31" i="98"/>
  <c r="T32" i="98"/>
  <c r="T33" i="98"/>
  <c r="T34" i="98"/>
  <c r="T35" i="98"/>
  <c r="T36" i="98"/>
  <c r="T37" i="98"/>
  <c r="T38" i="98"/>
  <c r="T39" i="98"/>
  <c r="T40" i="98"/>
  <c r="T41" i="98"/>
  <c r="T42" i="98"/>
  <c r="T43" i="98"/>
  <c r="T44" i="98"/>
  <c r="T17" i="99"/>
  <c r="T18" i="99"/>
  <c r="T19" i="99"/>
  <c r="T20" i="99"/>
  <c r="T21" i="99"/>
  <c r="T22" i="99"/>
  <c r="T23" i="99"/>
  <c r="T24" i="99"/>
  <c r="T25" i="99"/>
  <c r="T26" i="99"/>
  <c r="T27" i="99"/>
  <c r="T28" i="99"/>
  <c r="T29" i="99"/>
  <c r="T30" i="99"/>
  <c r="T31" i="99"/>
  <c r="T32" i="99"/>
  <c r="T33" i="99"/>
  <c r="T34" i="99"/>
  <c r="T35" i="99"/>
  <c r="T36" i="99"/>
  <c r="T37" i="99"/>
  <c r="T38" i="99"/>
  <c r="T39" i="99"/>
  <c r="T40" i="99"/>
  <c r="T41" i="99"/>
  <c r="T42" i="99"/>
  <c r="T43" i="99"/>
  <c r="T44" i="99"/>
  <c r="T17" i="100"/>
  <c r="T18" i="100"/>
  <c r="T19" i="100"/>
  <c r="T20" i="100"/>
  <c r="T21" i="100"/>
  <c r="T22" i="100"/>
  <c r="T23" i="100"/>
  <c r="T24" i="100"/>
  <c r="T25" i="100"/>
  <c r="T26" i="100"/>
  <c r="T27" i="100"/>
  <c r="T28" i="100"/>
  <c r="T29" i="100"/>
  <c r="T30" i="100"/>
  <c r="T31" i="100"/>
  <c r="T32" i="100"/>
  <c r="T33" i="100"/>
  <c r="T34" i="100"/>
  <c r="T35" i="100"/>
  <c r="T36" i="100"/>
  <c r="T37" i="100"/>
  <c r="T38" i="100"/>
  <c r="T39" i="100"/>
  <c r="T40" i="100"/>
  <c r="T41" i="100"/>
  <c r="T42" i="100"/>
  <c r="T43" i="100"/>
  <c r="T44" i="100"/>
  <c r="T17" i="101"/>
  <c r="T18" i="101"/>
  <c r="T19" i="101"/>
  <c r="T20" i="101"/>
  <c r="T21" i="101"/>
  <c r="T22" i="101"/>
  <c r="T23" i="101"/>
  <c r="T24" i="101"/>
  <c r="T25" i="101"/>
  <c r="T26" i="101"/>
  <c r="T27" i="101"/>
  <c r="T28" i="101"/>
  <c r="T29" i="101"/>
  <c r="T30" i="101"/>
  <c r="T31" i="101"/>
  <c r="T32" i="101"/>
  <c r="T33" i="101"/>
  <c r="T34" i="101"/>
  <c r="T35" i="101"/>
  <c r="T36" i="101"/>
  <c r="T37" i="101"/>
  <c r="T38" i="101"/>
  <c r="T39" i="101"/>
  <c r="T40" i="101"/>
  <c r="T41" i="101"/>
  <c r="T42" i="101"/>
  <c r="T43" i="101"/>
  <c r="T44" i="101"/>
  <c r="T17" i="102"/>
  <c r="T18" i="102"/>
  <c r="T19" i="102"/>
  <c r="T20" i="102"/>
  <c r="T21" i="102"/>
  <c r="T22" i="102"/>
  <c r="T23" i="102"/>
  <c r="T24" i="102"/>
  <c r="T25" i="102"/>
  <c r="T26" i="102"/>
  <c r="T27" i="102"/>
  <c r="T28" i="102"/>
  <c r="T29" i="102"/>
  <c r="T30" i="102"/>
  <c r="T31" i="102"/>
  <c r="T32" i="102"/>
  <c r="T33" i="102"/>
  <c r="T34" i="102"/>
  <c r="T35" i="102"/>
  <c r="T36" i="102"/>
  <c r="T37" i="102"/>
  <c r="T38" i="102"/>
  <c r="T39" i="102"/>
  <c r="T40" i="102"/>
  <c r="T41" i="102"/>
  <c r="T42" i="102"/>
  <c r="T43" i="102"/>
  <c r="T44" i="102"/>
  <c r="T16" i="103"/>
  <c r="T17" i="103"/>
  <c r="T18" i="103"/>
  <c r="T19" i="103"/>
  <c r="T20" i="103"/>
  <c r="T21" i="103"/>
  <c r="T22" i="103"/>
  <c r="T23" i="103"/>
  <c r="T24" i="103"/>
  <c r="T25" i="103"/>
  <c r="T26" i="103"/>
  <c r="T27" i="103"/>
  <c r="T28" i="103"/>
  <c r="T29" i="103"/>
  <c r="T30" i="103"/>
  <c r="T31" i="103"/>
  <c r="T32" i="103"/>
  <c r="T33" i="103"/>
  <c r="T34" i="103"/>
  <c r="T35" i="103"/>
  <c r="T36" i="103"/>
  <c r="T37" i="103"/>
  <c r="T38" i="103"/>
  <c r="T39" i="103"/>
  <c r="T40" i="103"/>
  <c r="T41" i="103"/>
  <c r="T42" i="103"/>
  <c r="T43" i="103"/>
  <c r="T44" i="103"/>
  <c r="T18" i="104"/>
  <c r="T19" i="104"/>
  <c r="T20" i="104"/>
  <c r="T21" i="104"/>
  <c r="T22" i="104"/>
  <c r="T23" i="104"/>
  <c r="T24" i="104"/>
  <c r="T25" i="104"/>
  <c r="T26" i="104"/>
  <c r="T27" i="104"/>
  <c r="T28" i="104"/>
  <c r="T29" i="104"/>
  <c r="T30" i="104"/>
  <c r="T31" i="104"/>
  <c r="T32" i="104"/>
  <c r="T33" i="104"/>
  <c r="T34" i="104"/>
  <c r="T35" i="104"/>
  <c r="T36" i="104"/>
  <c r="T37" i="104"/>
  <c r="T38" i="104"/>
  <c r="T39" i="104"/>
  <c r="T40" i="104"/>
  <c r="T41" i="104"/>
  <c r="T42" i="104"/>
  <c r="T43" i="104"/>
  <c r="T44" i="104"/>
  <c r="T16" i="105"/>
  <c r="T17" i="105"/>
  <c r="T18" i="105"/>
  <c r="T19" i="105"/>
  <c r="T20" i="105"/>
  <c r="T21" i="105"/>
  <c r="T22" i="105"/>
  <c r="T23" i="105"/>
  <c r="T24" i="105"/>
  <c r="T25" i="105"/>
  <c r="T26" i="105"/>
  <c r="T27" i="105"/>
  <c r="T28" i="105"/>
  <c r="T29" i="105"/>
  <c r="T30" i="105"/>
  <c r="T31" i="105"/>
  <c r="T32" i="105"/>
  <c r="T33" i="105"/>
  <c r="T34" i="105"/>
  <c r="T35" i="105"/>
  <c r="T36" i="105"/>
  <c r="T37" i="105"/>
  <c r="T38" i="105"/>
  <c r="T39" i="105"/>
  <c r="T40" i="105"/>
  <c r="T41" i="105"/>
  <c r="T42" i="105"/>
  <c r="T43" i="105"/>
  <c r="T44" i="105"/>
  <c r="T17" i="106"/>
  <c r="T18" i="106"/>
  <c r="T19" i="106"/>
  <c r="T20" i="106"/>
  <c r="T21" i="106"/>
  <c r="T22" i="106"/>
  <c r="T23" i="106"/>
  <c r="T24" i="106"/>
  <c r="T25" i="106"/>
  <c r="T26" i="106"/>
  <c r="T27" i="106"/>
  <c r="T28" i="106"/>
  <c r="T29" i="106"/>
  <c r="T30" i="106"/>
  <c r="T31" i="106"/>
  <c r="T32" i="106"/>
  <c r="T33" i="106"/>
  <c r="T34" i="106"/>
  <c r="T35" i="106"/>
  <c r="T36" i="106"/>
  <c r="T37" i="106"/>
  <c r="T38" i="106"/>
  <c r="T39" i="106"/>
  <c r="T40" i="106"/>
  <c r="T41" i="106"/>
  <c r="T42" i="106"/>
  <c r="T43" i="106"/>
  <c r="T44" i="106"/>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16" i="108"/>
  <c r="T17" i="108"/>
  <c r="T18" i="108"/>
  <c r="T19" i="108"/>
  <c r="T20" i="108"/>
  <c r="T21" i="108"/>
  <c r="T22" i="108"/>
  <c r="T23" i="108"/>
  <c r="T24" i="108"/>
  <c r="T25" i="108"/>
  <c r="T26" i="108"/>
  <c r="T27" i="108"/>
  <c r="T28" i="108"/>
  <c r="T29" i="108"/>
  <c r="T30" i="108"/>
  <c r="T31" i="108"/>
  <c r="T32" i="108"/>
  <c r="T33" i="108"/>
  <c r="T34" i="108"/>
  <c r="T35" i="108"/>
  <c r="T36" i="108"/>
  <c r="T37" i="108"/>
  <c r="T38" i="108"/>
  <c r="T39" i="108"/>
  <c r="T40" i="108"/>
  <c r="T41" i="108"/>
  <c r="T42" i="108"/>
  <c r="T43" i="108"/>
  <c r="T44" i="108"/>
  <c r="T19" i="109"/>
  <c r="T20" i="109"/>
  <c r="T21" i="109"/>
  <c r="T22" i="109"/>
  <c r="T23" i="109"/>
  <c r="T24" i="109"/>
  <c r="T25" i="109"/>
  <c r="T26" i="109"/>
  <c r="T27" i="109"/>
  <c r="T28" i="109"/>
  <c r="T29" i="109"/>
  <c r="T30" i="109"/>
  <c r="T31" i="109"/>
  <c r="T32" i="109"/>
  <c r="T33" i="109"/>
  <c r="T34" i="109"/>
  <c r="T35" i="109"/>
  <c r="T36" i="109"/>
  <c r="T37" i="109"/>
  <c r="T38" i="109"/>
  <c r="T39" i="109"/>
  <c r="T40" i="109"/>
  <c r="T41" i="109"/>
  <c r="T42" i="109"/>
  <c r="T43" i="109"/>
  <c r="T44" i="109"/>
  <c r="T17" i="110"/>
  <c r="T18" i="110"/>
  <c r="T19" i="110"/>
  <c r="T20" i="110"/>
  <c r="T21" i="110"/>
  <c r="T22" i="110"/>
  <c r="T23" i="110"/>
  <c r="T24" i="110"/>
  <c r="T25" i="110"/>
  <c r="T26" i="110"/>
  <c r="T27" i="110"/>
  <c r="T28" i="110"/>
  <c r="T29" i="110"/>
  <c r="T30" i="110"/>
  <c r="T31" i="110"/>
  <c r="T32" i="110"/>
  <c r="T33" i="110"/>
  <c r="T34" i="110"/>
  <c r="T35" i="110"/>
  <c r="T36" i="110"/>
  <c r="T37" i="110"/>
  <c r="T38" i="110"/>
  <c r="T39" i="110"/>
  <c r="T40" i="110"/>
  <c r="T41" i="110"/>
  <c r="T42" i="110"/>
  <c r="T43" i="110"/>
  <c r="T44" i="110"/>
  <c r="T17" i="111"/>
  <c r="T18" i="111"/>
  <c r="T19" i="111"/>
  <c r="T20" i="111"/>
  <c r="T21" i="111"/>
  <c r="T22" i="111"/>
  <c r="T23" i="111"/>
  <c r="T24" i="111"/>
  <c r="T25" i="111"/>
  <c r="T26" i="111"/>
  <c r="T27" i="111"/>
  <c r="T28" i="111"/>
  <c r="T29" i="111"/>
  <c r="T30" i="111"/>
  <c r="T31" i="111"/>
  <c r="T32" i="111"/>
  <c r="T33" i="111"/>
  <c r="T34" i="111"/>
  <c r="T35" i="111"/>
  <c r="T36" i="111"/>
  <c r="T37" i="111"/>
  <c r="T38" i="111"/>
  <c r="T39" i="111"/>
  <c r="T40" i="111"/>
  <c r="T41" i="111"/>
  <c r="T42" i="111"/>
  <c r="T43" i="111"/>
  <c r="T44" i="111"/>
  <c r="T16" i="112"/>
  <c r="T17" i="112"/>
  <c r="T18" i="112"/>
  <c r="T19" i="112"/>
  <c r="T20" i="112"/>
  <c r="T21" i="112"/>
  <c r="T22" i="112"/>
  <c r="T23" i="112"/>
  <c r="T24" i="112"/>
  <c r="T25" i="112"/>
  <c r="T26" i="112"/>
  <c r="T27" i="112"/>
  <c r="T28" i="112"/>
  <c r="T29" i="112"/>
  <c r="T30" i="112"/>
  <c r="T31" i="112"/>
  <c r="T32" i="112"/>
  <c r="T33" i="112"/>
  <c r="T34" i="112"/>
  <c r="T35" i="112"/>
  <c r="T36" i="112"/>
  <c r="T37" i="112"/>
  <c r="T38" i="112"/>
  <c r="T39" i="112"/>
  <c r="T40" i="112"/>
  <c r="T41" i="112"/>
  <c r="T42" i="112"/>
  <c r="T43" i="112"/>
  <c r="T44" i="112"/>
  <c r="T17" i="113"/>
  <c r="T18" i="113"/>
  <c r="T19" i="113"/>
  <c r="T20" i="113"/>
  <c r="T21" i="113"/>
  <c r="T22" i="113"/>
  <c r="T23" i="113"/>
  <c r="T24" i="113"/>
  <c r="T25" i="113"/>
  <c r="T26" i="113"/>
  <c r="T27" i="113"/>
  <c r="T28" i="113"/>
  <c r="T29" i="113"/>
  <c r="T30" i="113"/>
  <c r="T31" i="113"/>
  <c r="T32" i="113"/>
  <c r="T33" i="113"/>
  <c r="T34" i="113"/>
  <c r="T35" i="113"/>
  <c r="T36" i="113"/>
  <c r="T37" i="113"/>
  <c r="T38" i="113"/>
  <c r="T39" i="113"/>
  <c r="T40" i="113"/>
  <c r="T41" i="113"/>
  <c r="T42" i="113"/>
  <c r="T43" i="113"/>
  <c r="T44" i="113"/>
  <c r="T32" i="114"/>
  <c r="T33" i="114"/>
  <c r="T34" i="114"/>
  <c r="T35" i="114"/>
  <c r="T36" i="114"/>
  <c r="T37" i="114"/>
  <c r="T38" i="114"/>
  <c r="T39" i="114"/>
  <c r="T40" i="114"/>
  <c r="T41" i="114"/>
  <c r="T42" i="114"/>
  <c r="T43" i="114"/>
  <c r="T44" i="114"/>
  <c r="T16" i="115"/>
  <c r="T17" i="115"/>
  <c r="T18" i="115"/>
  <c r="T19" i="115"/>
  <c r="T20" i="115"/>
  <c r="T21" i="115"/>
  <c r="T22" i="115"/>
  <c r="T23" i="115"/>
  <c r="T24" i="115"/>
  <c r="T25" i="115"/>
  <c r="T26" i="115"/>
  <c r="T27" i="115"/>
  <c r="T28" i="115"/>
  <c r="T29" i="115"/>
  <c r="T30" i="115"/>
  <c r="T31" i="115"/>
  <c r="T32" i="115"/>
  <c r="T33" i="115"/>
  <c r="T34" i="115"/>
  <c r="T35" i="115"/>
  <c r="T36" i="115"/>
  <c r="T37" i="115"/>
  <c r="T38" i="115"/>
  <c r="T39" i="115"/>
  <c r="T40" i="115"/>
  <c r="T41" i="115"/>
  <c r="T42" i="115"/>
  <c r="T43" i="115"/>
  <c r="T44" i="115"/>
  <c r="T18" i="116"/>
  <c r="T19" i="116"/>
  <c r="T20" i="116"/>
  <c r="T21" i="116"/>
  <c r="T22" i="116"/>
  <c r="T23" i="116"/>
  <c r="T24" i="116"/>
  <c r="T25" i="116"/>
  <c r="T26" i="116"/>
  <c r="T27" i="116"/>
  <c r="T28" i="116"/>
  <c r="T29" i="116"/>
  <c r="T30" i="116"/>
  <c r="T31" i="116"/>
  <c r="T32" i="116"/>
  <c r="T33" i="116"/>
  <c r="T34" i="116"/>
  <c r="T35" i="116"/>
  <c r="T36" i="116"/>
  <c r="T37" i="116"/>
  <c r="T38" i="116"/>
  <c r="T39" i="116"/>
  <c r="T40" i="116"/>
  <c r="T41" i="116"/>
  <c r="T42" i="116"/>
  <c r="T43" i="116"/>
  <c r="T44" i="116"/>
  <c r="T16" i="117"/>
  <c r="T17" i="117"/>
  <c r="T18" i="117"/>
  <c r="T19" i="117"/>
  <c r="T20" i="117"/>
  <c r="T21" i="117"/>
  <c r="T22" i="117"/>
  <c r="T23" i="117"/>
  <c r="T24" i="117"/>
  <c r="T25" i="117"/>
  <c r="T26" i="117"/>
  <c r="T27" i="117"/>
  <c r="T28" i="117"/>
  <c r="T29" i="117"/>
  <c r="T30" i="117"/>
  <c r="T31" i="117"/>
  <c r="T32" i="117"/>
  <c r="T33" i="117"/>
  <c r="T34" i="117"/>
  <c r="T35" i="117"/>
  <c r="T36" i="117"/>
  <c r="T37" i="117"/>
  <c r="T38" i="117"/>
  <c r="T39" i="117"/>
  <c r="T40" i="117"/>
  <c r="T41" i="117"/>
  <c r="T42" i="117"/>
  <c r="T43" i="117"/>
  <c r="T44" i="117"/>
  <c r="T17" i="94"/>
  <c r="T18" i="94"/>
  <c r="T19" i="94"/>
  <c r="T20" i="94"/>
  <c r="T21" i="94"/>
  <c r="T22" i="94"/>
  <c r="T23" i="94"/>
  <c r="T24" i="94"/>
  <c r="T25" i="94"/>
  <c r="T26" i="94"/>
  <c r="T27" i="94"/>
  <c r="T28" i="94"/>
  <c r="T29" i="94"/>
  <c r="T30" i="94"/>
  <c r="T31" i="94"/>
  <c r="T32" i="94"/>
  <c r="T33" i="94"/>
  <c r="T34" i="94"/>
  <c r="T35" i="94"/>
  <c r="T36" i="94"/>
  <c r="T37" i="94"/>
  <c r="T38" i="94"/>
  <c r="T39" i="94"/>
  <c r="T40" i="94"/>
  <c r="T41" i="94"/>
  <c r="T42" i="94"/>
  <c r="T43" i="94"/>
  <c r="T44" i="94"/>
  <c r="T15" i="80"/>
  <c r="T15" i="84"/>
  <c r="T15" i="90"/>
  <c r="T15" i="93"/>
  <c r="T15" i="95"/>
  <c r="T15" i="117"/>
  <c r="F6" i="120"/>
  <c r="F5" i="120"/>
  <c r="F3" i="120"/>
  <c r="G4" i="120"/>
  <c r="F4" i="120"/>
  <c r="G6" i="120"/>
  <c r="C2" i="120"/>
  <c r="C1" i="120"/>
  <c r="B28" i="120"/>
  <c r="B2" i="120"/>
  <c r="B1" i="120"/>
  <c r="F2" i="58" l="1"/>
  <c r="D51" i="58"/>
  <c r="D51" i="77" l="1"/>
  <c r="B43" i="5" l="1"/>
  <c r="R9" i="118"/>
  <c r="T9" i="118"/>
  <c r="AI51" i="61"/>
  <c r="AC51" i="61"/>
  <c r="AF51" i="61"/>
  <c r="O51" i="61"/>
  <c r="N51" i="61"/>
  <c r="L51" i="61"/>
  <c r="K51" i="61"/>
  <c r="J51" i="61"/>
  <c r="I51" i="61"/>
  <c r="H51" i="61"/>
  <c r="G51" i="61"/>
  <c r="F51" i="61"/>
  <c r="E51" i="61"/>
  <c r="BG44" i="80"/>
  <c r="BF44" i="80"/>
  <c r="BE44" i="80"/>
  <c r="BD44" i="80"/>
  <c r="BC44" i="80"/>
  <c r="BB44" i="80"/>
  <c r="BA44" i="80"/>
  <c r="AZ44" i="80"/>
  <c r="AY44" i="80"/>
  <c r="AX44" i="80"/>
  <c r="AW44" i="80"/>
  <c r="AV44" i="80"/>
  <c r="AU44" i="80"/>
  <c r="AT44" i="80"/>
  <c r="AS44" i="80"/>
  <c r="AR44" i="80"/>
  <c r="AQ44" i="80"/>
  <c r="AP44" i="80"/>
  <c r="AO44" i="80"/>
  <c r="AN44" i="80"/>
  <c r="AM44" i="80"/>
  <c r="AL44" i="80"/>
  <c r="AK44" i="80"/>
  <c r="AJ44" i="80"/>
  <c r="BG43" i="80"/>
  <c r="BF43" i="80"/>
  <c r="BE43" i="80"/>
  <c r="BD43" i="80"/>
  <c r="BC43" i="80"/>
  <c r="BB43" i="80"/>
  <c r="BA43" i="80"/>
  <c r="AZ43" i="80"/>
  <c r="AY43" i="80"/>
  <c r="AX43" i="80"/>
  <c r="AW43" i="80"/>
  <c r="AV43" i="80"/>
  <c r="AU43" i="80"/>
  <c r="AT43" i="80"/>
  <c r="AS43" i="80"/>
  <c r="AR43" i="80"/>
  <c r="AQ43" i="80"/>
  <c r="AP43" i="80"/>
  <c r="AO43" i="80"/>
  <c r="AN43" i="80"/>
  <c r="AM43" i="80"/>
  <c r="AL43" i="80"/>
  <c r="AK43" i="80"/>
  <c r="AJ43" i="80"/>
  <c r="BG42" i="80"/>
  <c r="BF42" i="80"/>
  <c r="BE42" i="80"/>
  <c r="BD42" i="80"/>
  <c r="BC42" i="80"/>
  <c r="BB42" i="80"/>
  <c r="BA42" i="80"/>
  <c r="AZ42" i="80"/>
  <c r="AY42" i="80"/>
  <c r="AX42" i="80"/>
  <c r="AW42" i="80"/>
  <c r="AV42" i="80"/>
  <c r="AU42" i="80"/>
  <c r="AT42" i="80"/>
  <c r="AS42" i="80"/>
  <c r="AR42" i="80"/>
  <c r="AQ42" i="80"/>
  <c r="AP42" i="80"/>
  <c r="AO42" i="80"/>
  <c r="AN42" i="80"/>
  <c r="AM42" i="80"/>
  <c r="AL42" i="80"/>
  <c r="AK42" i="80"/>
  <c r="AJ42" i="80"/>
  <c r="BG41" i="80"/>
  <c r="BF41" i="80"/>
  <c r="BE41" i="80"/>
  <c r="BD41" i="80"/>
  <c r="BC41" i="80"/>
  <c r="BB41" i="80"/>
  <c r="BA41" i="80"/>
  <c r="AZ41" i="80"/>
  <c r="AY41" i="80"/>
  <c r="AX41" i="80"/>
  <c r="AW41" i="80"/>
  <c r="AV41" i="80"/>
  <c r="AU41" i="80"/>
  <c r="AT41" i="80"/>
  <c r="AS41" i="80"/>
  <c r="AR41" i="80"/>
  <c r="AQ41" i="80"/>
  <c r="AP41" i="80"/>
  <c r="AO41" i="80"/>
  <c r="AN41" i="80"/>
  <c r="AM41" i="80"/>
  <c r="AL41" i="80"/>
  <c r="AK41" i="80"/>
  <c r="AJ41" i="80"/>
  <c r="BG40" i="80"/>
  <c r="BF40" i="80"/>
  <c r="BE40" i="80"/>
  <c r="BD40" i="80"/>
  <c r="BC40" i="80"/>
  <c r="BB40" i="80"/>
  <c r="BA40" i="80"/>
  <c r="AZ40" i="80"/>
  <c r="AY40" i="80"/>
  <c r="AX40" i="80"/>
  <c r="AW40" i="80"/>
  <c r="AV40" i="80"/>
  <c r="AU40" i="80"/>
  <c r="AT40" i="80"/>
  <c r="AS40" i="80"/>
  <c r="AR40" i="80"/>
  <c r="AQ40" i="80"/>
  <c r="AP40" i="80"/>
  <c r="AO40" i="80"/>
  <c r="AN40" i="80"/>
  <c r="AM40" i="80"/>
  <c r="AL40" i="80"/>
  <c r="AK40" i="80"/>
  <c r="AJ40" i="80"/>
  <c r="BG39" i="80"/>
  <c r="BF39" i="80"/>
  <c r="BE39" i="80"/>
  <c r="BD39" i="80"/>
  <c r="BC39" i="80"/>
  <c r="BB39" i="80"/>
  <c r="BA39" i="80"/>
  <c r="AZ39" i="80"/>
  <c r="AY39" i="80"/>
  <c r="AX39" i="80"/>
  <c r="AW39" i="80"/>
  <c r="AV39" i="80"/>
  <c r="AU39" i="80"/>
  <c r="AT39" i="80"/>
  <c r="AS39" i="80"/>
  <c r="AR39" i="80"/>
  <c r="AQ39" i="80"/>
  <c r="AP39" i="80"/>
  <c r="AO39" i="80"/>
  <c r="AN39" i="80"/>
  <c r="AM39" i="80"/>
  <c r="AL39" i="80"/>
  <c r="AK39" i="80"/>
  <c r="AJ39" i="80"/>
  <c r="BG38" i="80"/>
  <c r="BF38" i="80"/>
  <c r="BE38" i="80"/>
  <c r="BD38" i="80"/>
  <c r="BC38" i="80"/>
  <c r="BB38" i="80"/>
  <c r="BA38" i="80"/>
  <c r="AZ38" i="80"/>
  <c r="AY38" i="80"/>
  <c r="AX38" i="80"/>
  <c r="AW38" i="80"/>
  <c r="AV38" i="80"/>
  <c r="AU38" i="80"/>
  <c r="AT38" i="80"/>
  <c r="AS38" i="80"/>
  <c r="AR38" i="80"/>
  <c r="AQ38" i="80"/>
  <c r="AP38" i="80"/>
  <c r="AO38" i="80"/>
  <c r="AN38" i="80"/>
  <c r="AM38" i="80"/>
  <c r="AL38" i="80"/>
  <c r="AK38" i="80"/>
  <c r="AJ38" i="80"/>
  <c r="BG37" i="80"/>
  <c r="BF37" i="80"/>
  <c r="BE37" i="80"/>
  <c r="BD37" i="80"/>
  <c r="BC37" i="80"/>
  <c r="BB37" i="80"/>
  <c r="BA37" i="80"/>
  <c r="AZ37" i="80"/>
  <c r="AY37" i="80"/>
  <c r="AX37" i="80"/>
  <c r="AW37" i="80"/>
  <c r="AV37" i="80"/>
  <c r="AU37" i="80"/>
  <c r="AT37" i="80"/>
  <c r="AS37" i="80"/>
  <c r="AR37" i="80"/>
  <c r="AQ37" i="80"/>
  <c r="AP37" i="80"/>
  <c r="AO37" i="80"/>
  <c r="AN37" i="80"/>
  <c r="AM37" i="80"/>
  <c r="AL37" i="80"/>
  <c r="AK37" i="80"/>
  <c r="AJ37" i="80"/>
  <c r="BG36" i="80"/>
  <c r="BF36" i="80"/>
  <c r="BE36" i="80"/>
  <c r="BD36" i="80"/>
  <c r="BC36" i="80"/>
  <c r="BB36" i="80"/>
  <c r="BA36" i="80"/>
  <c r="AZ36" i="80"/>
  <c r="AY36" i="80"/>
  <c r="AX36" i="80"/>
  <c r="AW36" i="80"/>
  <c r="AV36" i="80"/>
  <c r="AU36" i="80"/>
  <c r="AT36" i="80"/>
  <c r="AS36" i="80"/>
  <c r="AR36" i="80"/>
  <c r="AQ36" i="80"/>
  <c r="AP36" i="80"/>
  <c r="AO36" i="80"/>
  <c r="AN36" i="80"/>
  <c r="AM36" i="80"/>
  <c r="AL36" i="80"/>
  <c r="AK36" i="80"/>
  <c r="AJ36" i="80"/>
  <c r="BG35" i="80"/>
  <c r="BF35" i="80"/>
  <c r="BE35" i="80"/>
  <c r="BD35" i="80"/>
  <c r="BC35" i="80"/>
  <c r="BB35" i="80"/>
  <c r="BA35" i="80"/>
  <c r="AZ35" i="80"/>
  <c r="AY35" i="80"/>
  <c r="AX35" i="80"/>
  <c r="AW35" i="80"/>
  <c r="AV35" i="80"/>
  <c r="AU35" i="80"/>
  <c r="AT35" i="80"/>
  <c r="AS35" i="80"/>
  <c r="AR35" i="80"/>
  <c r="AQ35" i="80"/>
  <c r="AP35" i="80"/>
  <c r="AO35" i="80"/>
  <c r="AN35" i="80"/>
  <c r="AM35" i="80"/>
  <c r="AL35" i="80"/>
  <c r="AK35" i="80"/>
  <c r="AJ35" i="80"/>
  <c r="BG34" i="80"/>
  <c r="BF34" i="80"/>
  <c r="BE34" i="80"/>
  <c r="BD34" i="80"/>
  <c r="BC34" i="80"/>
  <c r="BB34" i="80"/>
  <c r="BA34" i="80"/>
  <c r="AZ34" i="80"/>
  <c r="AY34" i="80"/>
  <c r="AX34" i="80"/>
  <c r="AW34" i="80"/>
  <c r="AV34" i="80"/>
  <c r="AU34" i="80"/>
  <c r="AT34" i="80"/>
  <c r="AS34" i="80"/>
  <c r="AR34" i="80"/>
  <c r="AQ34" i="80"/>
  <c r="AP34" i="80"/>
  <c r="AO34" i="80"/>
  <c r="AN34" i="80"/>
  <c r="AM34" i="80"/>
  <c r="AL34" i="80"/>
  <c r="AK34" i="80"/>
  <c r="AJ34" i="80"/>
  <c r="BG33" i="80"/>
  <c r="BF33" i="80"/>
  <c r="BE33" i="80"/>
  <c r="BD33" i="80"/>
  <c r="BC33" i="80"/>
  <c r="BB33" i="80"/>
  <c r="BA33" i="80"/>
  <c r="AZ33" i="80"/>
  <c r="AY33" i="80"/>
  <c r="AX33" i="80"/>
  <c r="AW33" i="80"/>
  <c r="AV33" i="80"/>
  <c r="AU33" i="80"/>
  <c r="AT33" i="80"/>
  <c r="AS33" i="80"/>
  <c r="AR33" i="80"/>
  <c r="AQ33" i="80"/>
  <c r="AP33" i="80"/>
  <c r="AO33" i="80"/>
  <c r="AN33" i="80"/>
  <c r="AM33" i="80"/>
  <c r="AL33" i="80"/>
  <c r="AK33" i="80"/>
  <c r="AJ33" i="80"/>
  <c r="BG32" i="80"/>
  <c r="BF32" i="80"/>
  <c r="BE32" i="80"/>
  <c r="BD32" i="80"/>
  <c r="BC32" i="80"/>
  <c r="BB32" i="80"/>
  <c r="BA32" i="80"/>
  <c r="AZ32" i="80"/>
  <c r="AY32" i="80"/>
  <c r="AX32" i="80"/>
  <c r="AW32" i="80"/>
  <c r="AV32" i="80"/>
  <c r="AU32" i="80"/>
  <c r="AT32" i="80"/>
  <c r="AS32" i="80"/>
  <c r="AR32" i="80"/>
  <c r="AQ32" i="80"/>
  <c r="AP32" i="80"/>
  <c r="AO32" i="80"/>
  <c r="AN32" i="80"/>
  <c r="AM32" i="80"/>
  <c r="AL32" i="80"/>
  <c r="AK32" i="80"/>
  <c r="AJ32" i="80"/>
  <c r="BG31" i="80"/>
  <c r="BF31" i="80"/>
  <c r="BE31" i="80"/>
  <c r="BD31" i="80"/>
  <c r="BC31" i="80"/>
  <c r="BB31" i="80"/>
  <c r="BA31" i="80"/>
  <c r="AZ31" i="80"/>
  <c r="AY31" i="80"/>
  <c r="AX31" i="80"/>
  <c r="AW31" i="80"/>
  <c r="AV31" i="80"/>
  <c r="AU31" i="80"/>
  <c r="AT31" i="80"/>
  <c r="AS31" i="80"/>
  <c r="AR31" i="80"/>
  <c r="AQ31" i="80"/>
  <c r="AP31" i="80"/>
  <c r="AO31" i="80"/>
  <c r="AN31" i="80"/>
  <c r="AM31" i="80"/>
  <c r="AL31" i="80"/>
  <c r="AK31" i="80"/>
  <c r="AJ31" i="80"/>
  <c r="BG30" i="80"/>
  <c r="BF30" i="80"/>
  <c r="BE30" i="80"/>
  <c r="BD30" i="80"/>
  <c r="BC30" i="80"/>
  <c r="BB30" i="80"/>
  <c r="BA30" i="80"/>
  <c r="AZ30" i="80"/>
  <c r="AY30" i="80"/>
  <c r="AX30" i="80"/>
  <c r="AW30" i="80"/>
  <c r="AV30" i="80"/>
  <c r="AU30" i="80"/>
  <c r="AT30" i="80"/>
  <c r="AS30" i="80"/>
  <c r="AR30" i="80"/>
  <c r="AQ30" i="80"/>
  <c r="AP30" i="80"/>
  <c r="AO30" i="80"/>
  <c r="AN30" i="80"/>
  <c r="AM30" i="80"/>
  <c r="AL30" i="80"/>
  <c r="AK30" i="80"/>
  <c r="AJ30" i="80"/>
  <c r="BG29" i="80"/>
  <c r="BF29" i="80"/>
  <c r="BE29" i="80"/>
  <c r="BD29" i="80"/>
  <c r="BC29" i="80"/>
  <c r="BB29" i="80"/>
  <c r="BA29" i="80"/>
  <c r="AZ29" i="80"/>
  <c r="AY29" i="80"/>
  <c r="AX29" i="80"/>
  <c r="AW29" i="80"/>
  <c r="AV29" i="80"/>
  <c r="AU29" i="80"/>
  <c r="AT29" i="80"/>
  <c r="AS29" i="80"/>
  <c r="AR29" i="80"/>
  <c r="AQ29" i="80"/>
  <c r="AP29" i="80"/>
  <c r="AO29" i="80"/>
  <c r="AN29" i="80"/>
  <c r="AM29" i="80"/>
  <c r="AL29" i="80"/>
  <c r="AK29" i="80"/>
  <c r="AJ29" i="80"/>
  <c r="BG28" i="80"/>
  <c r="BF28" i="80"/>
  <c r="BE28" i="80"/>
  <c r="BD28" i="80"/>
  <c r="BC28" i="80"/>
  <c r="BB28" i="80"/>
  <c r="BA28" i="80"/>
  <c r="AZ28" i="80"/>
  <c r="AY28" i="80"/>
  <c r="AX28" i="80"/>
  <c r="AW28" i="80"/>
  <c r="AV28" i="80"/>
  <c r="AU28" i="80"/>
  <c r="AT28" i="80"/>
  <c r="AS28" i="80"/>
  <c r="AR28" i="80"/>
  <c r="AQ28" i="80"/>
  <c r="AP28" i="80"/>
  <c r="AO28" i="80"/>
  <c r="AN28" i="80"/>
  <c r="AM28" i="80"/>
  <c r="AL28" i="80"/>
  <c r="AK28" i="80"/>
  <c r="AJ28" i="80"/>
  <c r="BG27" i="80"/>
  <c r="BF27" i="80"/>
  <c r="BE27" i="80"/>
  <c r="BD27" i="80"/>
  <c r="BC27" i="80"/>
  <c r="BB27" i="80"/>
  <c r="BA27" i="80"/>
  <c r="AZ27" i="80"/>
  <c r="AY27" i="80"/>
  <c r="AX27" i="80"/>
  <c r="AW27" i="80"/>
  <c r="AV27" i="80"/>
  <c r="AU27" i="80"/>
  <c r="AT27" i="80"/>
  <c r="AS27" i="80"/>
  <c r="AR27" i="80"/>
  <c r="AQ27" i="80"/>
  <c r="AP27" i="80"/>
  <c r="AO27" i="80"/>
  <c r="AN27" i="80"/>
  <c r="AM27" i="80"/>
  <c r="AL27" i="80"/>
  <c r="AK27" i="80"/>
  <c r="AJ27" i="80"/>
  <c r="BG26" i="80"/>
  <c r="BF26" i="80"/>
  <c r="BE26" i="80"/>
  <c r="BD26" i="80"/>
  <c r="BC26" i="80"/>
  <c r="BB26" i="80"/>
  <c r="BA26" i="80"/>
  <c r="AZ26" i="80"/>
  <c r="AY26" i="80"/>
  <c r="AX26" i="80"/>
  <c r="AW26" i="80"/>
  <c r="AV26" i="80"/>
  <c r="AU26" i="80"/>
  <c r="AT26" i="80"/>
  <c r="AS26" i="80"/>
  <c r="AR26" i="80"/>
  <c r="AQ26" i="80"/>
  <c r="AP26" i="80"/>
  <c r="AO26" i="80"/>
  <c r="AN26" i="80"/>
  <c r="AM26" i="80"/>
  <c r="AL26" i="80"/>
  <c r="AK26" i="80"/>
  <c r="AJ26" i="80"/>
  <c r="BG25" i="80"/>
  <c r="BF25" i="80"/>
  <c r="BE25" i="80"/>
  <c r="BD25" i="80"/>
  <c r="BC25" i="80"/>
  <c r="BB25" i="80"/>
  <c r="BA25" i="80"/>
  <c r="AZ25" i="80"/>
  <c r="AY25" i="80"/>
  <c r="AX25" i="80"/>
  <c r="AW25" i="80"/>
  <c r="AV25" i="80"/>
  <c r="AU25" i="80"/>
  <c r="AT25" i="80"/>
  <c r="AS25" i="80"/>
  <c r="AR25" i="80"/>
  <c r="AQ25" i="80"/>
  <c r="AP25" i="80"/>
  <c r="AO25" i="80"/>
  <c r="AN25" i="80"/>
  <c r="AM25" i="80"/>
  <c r="AL25" i="80"/>
  <c r="AK25" i="80"/>
  <c r="AJ25" i="80"/>
  <c r="BG24" i="80"/>
  <c r="BF24" i="80"/>
  <c r="BE24" i="80"/>
  <c r="BD24" i="80"/>
  <c r="BC24" i="80"/>
  <c r="BB24" i="80"/>
  <c r="BA24" i="80"/>
  <c r="AZ24" i="80"/>
  <c r="AY24" i="80"/>
  <c r="AX24" i="80"/>
  <c r="AW24" i="80"/>
  <c r="AV24" i="80"/>
  <c r="AU24" i="80"/>
  <c r="AT24" i="80"/>
  <c r="AS24" i="80"/>
  <c r="AR24" i="80"/>
  <c r="AQ24" i="80"/>
  <c r="AP24" i="80"/>
  <c r="AO24" i="80"/>
  <c r="AN24" i="80"/>
  <c r="AM24" i="80"/>
  <c r="AL24" i="80"/>
  <c r="AK24" i="80"/>
  <c r="AJ24" i="80"/>
  <c r="BG23" i="80"/>
  <c r="BF23" i="80"/>
  <c r="BE23" i="80"/>
  <c r="BD23" i="80"/>
  <c r="BC23" i="80"/>
  <c r="BB23" i="80"/>
  <c r="BA23" i="80"/>
  <c r="AZ23" i="80"/>
  <c r="AY23" i="80"/>
  <c r="AX23" i="80"/>
  <c r="AW23" i="80"/>
  <c r="AV23" i="80"/>
  <c r="AU23" i="80"/>
  <c r="AT23" i="80"/>
  <c r="AS23" i="80"/>
  <c r="AR23" i="80"/>
  <c r="AQ23" i="80"/>
  <c r="AP23" i="80"/>
  <c r="AO23" i="80"/>
  <c r="AN23" i="80"/>
  <c r="AM23" i="80"/>
  <c r="AL23" i="80"/>
  <c r="AK23" i="80"/>
  <c r="AJ23" i="80"/>
  <c r="BG22" i="80"/>
  <c r="BF22" i="80"/>
  <c r="BE22" i="80"/>
  <c r="BD22" i="80"/>
  <c r="BC22" i="80"/>
  <c r="BB22" i="80"/>
  <c r="BA22" i="80"/>
  <c r="AZ22" i="80"/>
  <c r="AY22" i="80"/>
  <c r="AX22" i="80"/>
  <c r="AW22" i="80"/>
  <c r="AV22" i="80"/>
  <c r="AU22" i="80"/>
  <c r="AT22" i="80"/>
  <c r="AS22" i="80"/>
  <c r="AR22" i="80"/>
  <c r="AQ22" i="80"/>
  <c r="AP22" i="80"/>
  <c r="AO22" i="80"/>
  <c r="AN22" i="80"/>
  <c r="AM22" i="80"/>
  <c r="AL22" i="80"/>
  <c r="AK22" i="80"/>
  <c r="AJ22" i="80"/>
  <c r="BG21" i="80"/>
  <c r="BF21" i="80"/>
  <c r="BE21" i="80"/>
  <c r="BD21" i="80"/>
  <c r="BC21" i="80"/>
  <c r="BB21" i="80"/>
  <c r="BA21" i="80"/>
  <c r="AZ21" i="80"/>
  <c r="AY21" i="80"/>
  <c r="AX21" i="80"/>
  <c r="AW21" i="80"/>
  <c r="AV21" i="80"/>
  <c r="AU21" i="80"/>
  <c r="AT21" i="80"/>
  <c r="AS21" i="80"/>
  <c r="AR21" i="80"/>
  <c r="AQ21" i="80"/>
  <c r="AP21" i="80"/>
  <c r="AO21" i="80"/>
  <c r="AN21" i="80"/>
  <c r="AM21" i="80"/>
  <c r="AL21" i="80"/>
  <c r="AK21" i="80"/>
  <c r="AJ21" i="80"/>
  <c r="BG20" i="80"/>
  <c r="BF20" i="80"/>
  <c r="BE20" i="80"/>
  <c r="BD20" i="80"/>
  <c r="BC20" i="80"/>
  <c r="BB20" i="80"/>
  <c r="BA20" i="80"/>
  <c r="AZ20" i="80"/>
  <c r="AY20" i="80"/>
  <c r="AX20" i="80"/>
  <c r="AW20" i="80"/>
  <c r="AV20" i="80"/>
  <c r="AU20" i="80"/>
  <c r="AT20" i="80"/>
  <c r="AS20" i="80"/>
  <c r="AR20" i="80"/>
  <c r="AQ20" i="80"/>
  <c r="AP20" i="80"/>
  <c r="AO20" i="80"/>
  <c r="AN20" i="80"/>
  <c r="AM20" i="80"/>
  <c r="AL20" i="80"/>
  <c r="AK20" i="80"/>
  <c r="AJ20" i="80"/>
  <c r="BG19" i="80"/>
  <c r="BF19" i="80"/>
  <c r="BE19" i="80"/>
  <c r="BD19" i="80"/>
  <c r="BC19" i="80"/>
  <c r="BB19" i="80"/>
  <c r="BA19" i="80"/>
  <c r="AZ19" i="80"/>
  <c r="AY19" i="80"/>
  <c r="AX19" i="80"/>
  <c r="AW19" i="80"/>
  <c r="AV19" i="80"/>
  <c r="AU19" i="80"/>
  <c r="AT19" i="80"/>
  <c r="AS19" i="80"/>
  <c r="AR19" i="80"/>
  <c r="AQ19" i="80"/>
  <c r="AP19" i="80"/>
  <c r="AO19" i="80"/>
  <c r="AN19" i="80"/>
  <c r="AM19" i="80"/>
  <c r="AL19" i="80"/>
  <c r="AK19" i="80"/>
  <c r="AJ19" i="80"/>
  <c r="BG18" i="80"/>
  <c r="BF18" i="80"/>
  <c r="BE18" i="80"/>
  <c r="BD18" i="80"/>
  <c r="BC18" i="80"/>
  <c r="BB18" i="80"/>
  <c r="BA18" i="80"/>
  <c r="AZ18" i="80"/>
  <c r="AY18" i="80"/>
  <c r="AX18" i="80"/>
  <c r="AW18" i="80"/>
  <c r="AV18" i="80"/>
  <c r="AU18" i="80"/>
  <c r="AT18" i="80"/>
  <c r="AS18" i="80"/>
  <c r="AR18" i="80"/>
  <c r="AQ18" i="80"/>
  <c r="AP18" i="80"/>
  <c r="AO18" i="80"/>
  <c r="AN18" i="80"/>
  <c r="AM18" i="80"/>
  <c r="AL18" i="80"/>
  <c r="AK18" i="80"/>
  <c r="AJ18" i="80"/>
  <c r="BG17" i="80"/>
  <c r="BF17" i="80"/>
  <c r="BE17" i="80"/>
  <c r="BD17" i="80"/>
  <c r="BC17" i="80"/>
  <c r="BB17" i="80"/>
  <c r="BA17" i="80"/>
  <c r="AZ17" i="80"/>
  <c r="AY17" i="80"/>
  <c r="AX17" i="80"/>
  <c r="AW17" i="80"/>
  <c r="AV17" i="80"/>
  <c r="AU17" i="80"/>
  <c r="AT17" i="80"/>
  <c r="AS17" i="80"/>
  <c r="AR17" i="80"/>
  <c r="AQ17" i="80"/>
  <c r="AP17" i="80"/>
  <c r="AO17" i="80"/>
  <c r="AN17" i="80"/>
  <c r="AM17" i="80"/>
  <c r="AL17" i="80"/>
  <c r="AK17" i="80"/>
  <c r="AJ17" i="80"/>
  <c r="BG16" i="80"/>
  <c r="BF16" i="80"/>
  <c r="BE16" i="80"/>
  <c r="BD16" i="80"/>
  <c r="BC16" i="80"/>
  <c r="BB16" i="80"/>
  <c r="BA16" i="80"/>
  <c r="AZ16" i="80"/>
  <c r="AY16" i="80"/>
  <c r="AX16" i="80"/>
  <c r="AW16" i="80"/>
  <c r="AV16" i="80"/>
  <c r="AU16" i="80"/>
  <c r="AT16" i="80"/>
  <c r="AS16" i="80"/>
  <c r="AR16" i="80"/>
  <c r="AQ16" i="80"/>
  <c r="AP16" i="80"/>
  <c r="AO16" i="80"/>
  <c r="AN16" i="80"/>
  <c r="AM16" i="80"/>
  <c r="AL16" i="80"/>
  <c r="AK16" i="80"/>
  <c r="AJ16" i="80"/>
  <c r="BG15" i="80"/>
  <c r="BF15" i="80"/>
  <c r="BE15" i="80"/>
  <c r="BD15" i="80"/>
  <c r="BC15" i="80"/>
  <c r="BB15" i="80"/>
  <c r="BA15" i="80"/>
  <c r="AZ15" i="80"/>
  <c r="AY15" i="80"/>
  <c r="AX15" i="80"/>
  <c r="AW15" i="80"/>
  <c r="AV15" i="80"/>
  <c r="AU15" i="80"/>
  <c r="AT15" i="80"/>
  <c r="AS15" i="80"/>
  <c r="AR15" i="80"/>
  <c r="AQ15" i="80"/>
  <c r="AP15" i="80"/>
  <c r="AO15" i="80"/>
  <c r="AN15" i="80"/>
  <c r="AM15" i="80"/>
  <c r="AL15" i="80"/>
  <c r="AK15" i="80"/>
  <c r="AJ15" i="80"/>
  <c r="BL14" i="80"/>
  <c r="BK14" i="80"/>
  <c r="BJ14" i="80"/>
  <c r="BI14" i="80"/>
  <c r="BH14" i="80"/>
  <c r="BG14" i="80"/>
  <c r="BF14" i="80"/>
  <c r="BE14" i="80"/>
  <c r="BD14" i="80"/>
  <c r="BC14" i="80"/>
  <c r="BB14" i="80"/>
  <c r="BA14" i="80"/>
  <c r="AZ14" i="80"/>
  <c r="AY14" i="80"/>
  <c r="AX14" i="80"/>
  <c r="AW14" i="80"/>
  <c r="AV14" i="80"/>
  <c r="AU14" i="80"/>
  <c r="AT14" i="80"/>
  <c r="AS14" i="80"/>
  <c r="AR14" i="80"/>
  <c r="AQ14" i="80"/>
  <c r="AP14" i="80"/>
  <c r="AO14" i="80"/>
  <c r="AN14" i="80"/>
  <c r="AM14" i="80"/>
  <c r="AL14" i="80"/>
  <c r="BL13" i="80"/>
  <c r="BK13" i="80"/>
  <c r="BJ13" i="80"/>
  <c r="BI13" i="80"/>
  <c r="BH13" i="80"/>
  <c r="BG13" i="80"/>
  <c r="BF13" i="80"/>
  <c r="BE13" i="80"/>
  <c r="BD13" i="80"/>
  <c r="BA13" i="80"/>
  <c r="AZ13" i="80"/>
  <c r="AY13" i="80"/>
  <c r="AX13" i="80"/>
  <c r="AW13" i="80"/>
  <c r="AV13" i="80"/>
  <c r="AU13" i="80"/>
  <c r="AT13" i="80"/>
  <c r="AS13" i="80"/>
  <c r="AR13" i="80"/>
  <c r="AQ13" i="80"/>
  <c r="AP13" i="80"/>
  <c r="AO13" i="80"/>
  <c r="AN13" i="80"/>
  <c r="AM13" i="80"/>
  <c r="AL13" i="80"/>
  <c r="BG44" i="81"/>
  <c r="BF44" i="81"/>
  <c r="BE44" i="81"/>
  <c r="BD44" i="81"/>
  <c r="BC44" i="81"/>
  <c r="BB44" i="81"/>
  <c r="BA44" i="81"/>
  <c r="AZ44" i="81"/>
  <c r="AY44" i="81"/>
  <c r="AX44" i="81"/>
  <c r="AW44" i="81"/>
  <c r="AV44" i="81"/>
  <c r="AU44" i="81"/>
  <c r="AT44" i="81"/>
  <c r="AS44" i="81"/>
  <c r="AR44" i="81"/>
  <c r="AQ44" i="81"/>
  <c r="AP44" i="81"/>
  <c r="AO44" i="81"/>
  <c r="AN44" i="81"/>
  <c r="AM44" i="81"/>
  <c r="AL44" i="81"/>
  <c r="AK44" i="81"/>
  <c r="AJ44" i="81"/>
  <c r="BG43" i="81"/>
  <c r="BF43" i="81"/>
  <c r="BE43" i="81"/>
  <c r="BD43" i="81"/>
  <c r="BC43" i="81"/>
  <c r="BB43" i="81"/>
  <c r="BA43" i="81"/>
  <c r="AZ43" i="81"/>
  <c r="AY43" i="81"/>
  <c r="AX43" i="81"/>
  <c r="AW43" i="81"/>
  <c r="AV43" i="81"/>
  <c r="AU43" i="81"/>
  <c r="AT43" i="81"/>
  <c r="AS43" i="81"/>
  <c r="AR43" i="81"/>
  <c r="AQ43" i="81"/>
  <c r="AP43" i="81"/>
  <c r="AO43" i="81"/>
  <c r="AN43" i="81"/>
  <c r="AM43" i="81"/>
  <c r="AL43" i="81"/>
  <c r="AK43" i="81"/>
  <c r="AJ43" i="81"/>
  <c r="BG42" i="81"/>
  <c r="BF42" i="81"/>
  <c r="BE42" i="81"/>
  <c r="BD42" i="81"/>
  <c r="BC42" i="81"/>
  <c r="BB42" i="81"/>
  <c r="BA42" i="81"/>
  <c r="AZ42" i="81"/>
  <c r="AY42" i="81"/>
  <c r="AX42" i="81"/>
  <c r="AW42" i="81"/>
  <c r="AV42" i="81"/>
  <c r="AU42" i="81"/>
  <c r="AT42" i="81"/>
  <c r="AS42" i="81"/>
  <c r="AR42" i="81"/>
  <c r="AQ42" i="81"/>
  <c r="AP42" i="81"/>
  <c r="AO42" i="81"/>
  <c r="AN42" i="81"/>
  <c r="AM42" i="81"/>
  <c r="AL42" i="81"/>
  <c r="AK42" i="81"/>
  <c r="AJ42" i="81"/>
  <c r="BG41" i="81"/>
  <c r="BF41" i="81"/>
  <c r="BE41" i="81"/>
  <c r="BD41" i="81"/>
  <c r="BC41" i="81"/>
  <c r="BB41" i="81"/>
  <c r="BA41" i="81"/>
  <c r="AZ41" i="81"/>
  <c r="AY41" i="81"/>
  <c r="AX41" i="81"/>
  <c r="AW41" i="81"/>
  <c r="AV41" i="81"/>
  <c r="AU41" i="81"/>
  <c r="AT41" i="81"/>
  <c r="AS41" i="81"/>
  <c r="AR41" i="81"/>
  <c r="AQ41" i="81"/>
  <c r="AP41" i="81"/>
  <c r="AO41" i="81"/>
  <c r="AN41" i="81"/>
  <c r="AM41" i="81"/>
  <c r="AL41" i="81"/>
  <c r="AK41" i="81"/>
  <c r="AJ41" i="81"/>
  <c r="BG40" i="81"/>
  <c r="BF40" i="81"/>
  <c r="BE40" i="81"/>
  <c r="BD40" i="81"/>
  <c r="BC40" i="81"/>
  <c r="BB40" i="81"/>
  <c r="BA40" i="81"/>
  <c r="AZ40" i="81"/>
  <c r="AY40" i="81"/>
  <c r="AX40" i="81"/>
  <c r="AW40" i="81"/>
  <c r="AV40" i="81"/>
  <c r="AU40" i="81"/>
  <c r="AT40" i="81"/>
  <c r="AS40" i="81"/>
  <c r="AR40" i="81"/>
  <c r="AQ40" i="81"/>
  <c r="AP40" i="81"/>
  <c r="AO40" i="81"/>
  <c r="AN40" i="81"/>
  <c r="AM40" i="81"/>
  <c r="AL40" i="81"/>
  <c r="AK40" i="81"/>
  <c r="AJ40" i="81"/>
  <c r="BG39" i="81"/>
  <c r="BF39" i="81"/>
  <c r="BE39" i="81"/>
  <c r="BD39" i="81"/>
  <c r="BC39" i="81"/>
  <c r="BB39" i="81"/>
  <c r="BA39" i="81"/>
  <c r="AZ39" i="81"/>
  <c r="AY39" i="81"/>
  <c r="AX39" i="81"/>
  <c r="AW39" i="81"/>
  <c r="AV39" i="81"/>
  <c r="AU39" i="81"/>
  <c r="AT39" i="81"/>
  <c r="AS39" i="81"/>
  <c r="AR39" i="81"/>
  <c r="AQ39" i="81"/>
  <c r="AP39" i="81"/>
  <c r="AO39" i="81"/>
  <c r="AN39" i="81"/>
  <c r="AM39" i="81"/>
  <c r="AL39" i="81"/>
  <c r="AK39" i="81"/>
  <c r="AJ39" i="81"/>
  <c r="BG38" i="81"/>
  <c r="BF38" i="81"/>
  <c r="BE38" i="81"/>
  <c r="BD38" i="81"/>
  <c r="BC38" i="81"/>
  <c r="BB38" i="81"/>
  <c r="BA38" i="81"/>
  <c r="AZ38" i="81"/>
  <c r="AY38" i="81"/>
  <c r="AX38" i="81"/>
  <c r="AW38" i="81"/>
  <c r="AV38" i="81"/>
  <c r="AU38" i="81"/>
  <c r="AT38" i="81"/>
  <c r="AS38" i="81"/>
  <c r="AR38" i="81"/>
  <c r="AQ38" i="81"/>
  <c r="AP38" i="81"/>
  <c r="AO38" i="81"/>
  <c r="AN38" i="81"/>
  <c r="AM38" i="81"/>
  <c r="AL38" i="81"/>
  <c r="AK38" i="81"/>
  <c r="AJ38" i="81"/>
  <c r="BG37" i="81"/>
  <c r="BF37" i="81"/>
  <c r="BE37" i="81"/>
  <c r="BD37" i="81"/>
  <c r="BC37" i="81"/>
  <c r="BB37" i="81"/>
  <c r="BA37" i="81"/>
  <c r="AZ37" i="81"/>
  <c r="AY37" i="81"/>
  <c r="AX37" i="81"/>
  <c r="AW37" i="81"/>
  <c r="AV37" i="81"/>
  <c r="AU37" i="81"/>
  <c r="AT37" i="81"/>
  <c r="AS37" i="81"/>
  <c r="AR37" i="81"/>
  <c r="AQ37" i="81"/>
  <c r="AP37" i="81"/>
  <c r="AO37" i="81"/>
  <c r="AN37" i="81"/>
  <c r="AM37" i="81"/>
  <c r="AL37" i="81"/>
  <c r="AK37" i="81"/>
  <c r="AJ37" i="81"/>
  <c r="BG36" i="81"/>
  <c r="BF36" i="81"/>
  <c r="BE36" i="81"/>
  <c r="BD36" i="81"/>
  <c r="BC36" i="81"/>
  <c r="BB36" i="81"/>
  <c r="BA36" i="81"/>
  <c r="AZ36" i="81"/>
  <c r="AY36" i="81"/>
  <c r="AX36" i="81"/>
  <c r="AW36" i="81"/>
  <c r="AV36" i="81"/>
  <c r="AU36" i="81"/>
  <c r="AT36" i="81"/>
  <c r="AS36" i="81"/>
  <c r="AR36" i="81"/>
  <c r="AQ36" i="81"/>
  <c r="AP36" i="81"/>
  <c r="AO36" i="81"/>
  <c r="AN36" i="81"/>
  <c r="AM36" i="81"/>
  <c r="AL36" i="81"/>
  <c r="AK36" i="81"/>
  <c r="AJ36" i="81"/>
  <c r="BG35" i="81"/>
  <c r="BF35" i="81"/>
  <c r="BE35" i="81"/>
  <c r="BD35" i="81"/>
  <c r="BC35" i="81"/>
  <c r="BB35" i="81"/>
  <c r="BA35" i="81"/>
  <c r="AZ35" i="81"/>
  <c r="AY35" i="81"/>
  <c r="AX35" i="81"/>
  <c r="AW35" i="81"/>
  <c r="AV35" i="81"/>
  <c r="AU35" i="81"/>
  <c r="AT35" i="81"/>
  <c r="AS35" i="81"/>
  <c r="AR35" i="81"/>
  <c r="AQ35" i="81"/>
  <c r="AP35" i="81"/>
  <c r="AO35" i="81"/>
  <c r="AN35" i="81"/>
  <c r="AM35" i="81"/>
  <c r="AL35" i="81"/>
  <c r="AK35" i="81"/>
  <c r="AJ35" i="81"/>
  <c r="BG34" i="81"/>
  <c r="BF34" i="81"/>
  <c r="BE34" i="81"/>
  <c r="BD34" i="81"/>
  <c r="BC34" i="81"/>
  <c r="BB34" i="81"/>
  <c r="BA34" i="81"/>
  <c r="AZ34" i="81"/>
  <c r="AY34" i="81"/>
  <c r="AX34" i="81"/>
  <c r="AW34" i="81"/>
  <c r="AV34" i="81"/>
  <c r="AU34" i="81"/>
  <c r="AT34" i="81"/>
  <c r="AS34" i="81"/>
  <c r="AR34" i="81"/>
  <c r="AQ34" i="81"/>
  <c r="AP34" i="81"/>
  <c r="AO34" i="81"/>
  <c r="AN34" i="81"/>
  <c r="AM34" i="81"/>
  <c r="AL34" i="81"/>
  <c r="AK34" i="81"/>
  <c r="AJ34" i="81"/>
  <c r="BG33" i="81"/>
  <c r="BF33" i="81"/>
  <c r="BE33" i="81"/>
  <c r="BD33" i="81"/>
  <c r="BC33" i="81"/>
  <c r="BB33" i="81"/>
  <c r="BA33" i="81"/>
  <c r="AZ33" i="81"/>
  <c r="AY33" i="81"/>
  <c r="AX33" i="81"/>
  <c r="AW33" i="81"/>
  <c r="AV33" i="81"/>
  <c r="AU33" i="81"/>
  <c r="AT33" i="81"/>
  <c r="AS33" i="81"/>
  <c r="AR33" i="81"/>
  <c r="AQ33" i="81"/>
  <c r="AP33" i="81"/>
  <c r="AO33" i="81"/>
  <c r="AN33" i="81"/>
  <c r="AM33" i="81"/>
  <c r="AL33" i="81"/>
  <c r="AK33" i="81"/>
  <c r="AJ33" i="81"/>
  <c r="BG32" i="81"/>
  <c r="BF32" i="81"/>
  <c r="BE32" i="81"/>
  <c r="BD32" i="81"/>
  <c r="BC32" i="81"/>
  <c r="BB32" i="81"/>
  <c r="BA32" i="81"/>
  <c r="AZ32" i="81"/>
  <c r="AY32" i="81"/>
  <c r="AX32" i="81"/>
  <c r="AW32" i="81"/>
  <c r="AV32" i="81"/>
  <c r="AU32" i="81"/>
  <c r="AT32" i="81"/>
  <c r="AS32" i="81"/>
  <c r="AR32" i="81"/>
  <c r="AQ32" i="81"/>
  <c r="AP32" i="81"/>
  <c r="AO32" i="81"/>
  <c r="AN32" i="81"/>
  <c r="AM32" i="81"/>
  <c r="AL32" i="81"/>
  <c r="AK32" i="81"/>
  <c r="AJ32" i="81"/>
  <c r="BG31" i="81"/>
  <c r="BF31" i="81"/>
  <c r="BE31" i="81"/>
  <c r="BD31" i="81"/>
  <c r="BC31" i="81"/>
  <c r="BB31" i="81"/>
  <c r="BA31" i="81"/>
  <c r="AZ31" i="81"/>
  <c r="AY31" i="81"/>
  <c r="AX31" i="81"/>
  <c r="AW31" i="81"/>
  <c r="AV31" i="81"/>
  <c r="AU31" i="81"/>
  <c r="AT31" i="81"/>
  <c r="AS31" i="81"/>
  <c r="AR31" i="81"/>
  <c r="AQ31" i="81"/>
  <c r="AP31" i="81"/>
  <c r="AO31" i="81"/>
  <c r="AN31" i="81"/>
  <c r="AM31" i="81"/>
  <c r="AL31" i="81"/>
  <c r="AK31" i="81"/>
  <c r="AJ31" i="81"/>
  <c r="BG30" i="81"/>
  <c r="BF30" i="81"/>
  <c r="BE30" i="81"/>
  <c r="BD30" i="81"/>
  <c r="BC30" i="81"/>
  <c r="BB30" i="81"/>
  <c r="BA30" i="81"/>
  <c r="AZ30" i="81"/>
  <c r="AY30" i="81"/>
  <c r="AX30" i="81"/>
  <c r="AW30" i="81"/>
  <c r="AV30" i="81"/>
  <c r="AU30" i="81"/>
  <c r="AT30" i="81"/>
  <c r="AS30" i="81"/>
  <c r="AR30" i="81"/>
  <c r="AQ30" i="81"/>
  <c r="AP30" i="81"/>
  <c r="AO30" i="81"/>
  <c r="AN30" i="81"/>
  <c r="AM30" i="81"/>
  <c r="AL30" i="81"/>
  <c r="AK30" i="81"/>
  <c r="AJ30" i="81"/>
  <c r="BG29" i="81"/>
  <c r="BF29" i="81"/>
  <c r="BE29" i="81"/>
  <c r="BD29" i="81"/>
  <c r="BC29" i="81"/>
  <c r="BB29" i="81"/>
  <c r="BA29" i="81"/>
  <c r="AZ29" i="81"/>
  <c r="AY29" i="81"/>
  <c r="AX29" i="81"/>
  <c r="AW29" i="81"/>
  <c r="AV29" i="81"/>
  <c r="AU29" i="81"/>
  <c r="AT29" i="81"/>
  <c r="AS29" i="81"/>
  <c r="AR29" i="81"/>
  <c r="AQ29" i="81"/>
  <c r="AP29" i="81"/>
  <c r="AO29" i="81"/>
  <c r="AN29" i="81"/>
  <c r="AM29" i="81"/>
  <c r="AL29" i="81"/>
  <c r="AK29" i="81"/>
  <c r="AJ29" i="81"/>
  <c r="BG28" i="81"/>
  <c r="BF28" i="81"/>
  <c r="BE28" i="81"/>
  <c r="BD28" i="81"/>
  <c r="BC28" i="81"/>
  <c r="BB28" i="81"/>
  <c r="BA28" i="81"/>
  <c r="AZ28" i="81"/>
  <c r="AY28" i="81"/>
  <c r="AX28" i="81"/>
  <c r="AW28" i="81"/>
  <c r="AV28" i="81"/>
  <c r="AU28" i="81"/>
  <c r="AT28" i="81"/>
  <c r="AS28" i="81"/>
  <c r="AR28" i="81"/>
  <c r="AQ28" i="81"/>
  <c r="AP28" i="81"/>
  <c r="AO28" i="81"/>
  <c r="AN28" i="81"/>
  <c r="AM28" i="81"/>
  <c r="AL28" i="81"/>
  <c r="AK28" i="81"/>
  <c r="AJ28" i="81"/>
  <c r="BG27" i="81"/>
  <c r="BF27" i="81"/>
  <c r="BE27" i="81"/>
  <c r="BD27" i="81"/>
  <c r="BC27" i="81"/>
  <c r="BB27" i="81"/>
  <c r="BA27" i="81"/>
  <c r="AZ27" i="81"/>
  <c r="AY27" i="81"/>
  <c r="AX27" i="81"/>
  <c r="AW27" i="81"/>
  <c r="AV27" i="81"/>
  <c r="AU27" i="81"/>
  <c r="AT27" i="81"/>
  <c r="AS27" i="81"/>
  <c r="AR27" i="81"/>
  <c r="AQ27" i="81"/>
  <c r="AP27" i="81"/>
  <c r="AO27" i="81"/>
  <c r="AN27" i="81"/>
  <c r="AM27" i="81"/>
  <c r="AL27" i="81"/>
  <c r="AK27" i="81"/>
  <c r="AJ27" i="81"/>
  <c r="BG26" i="81"/>
  <c r="BF26" i="81"/>
  <c r="BE26" i="81"/>
  <c r="BD26" i="81"/>
  <c r="BC26" i="81"/>
  <c r="BB26" i="81"/>
  <c r="BA26" i="81"/>
  <c r="AZ26" i="81"/>
  <c r="AY26" i="81"/>
  <c r="AX26" i="81"/>
  <c r="AW26" i="81"/>
  <c r="AV26" i="81"/>
  <c r="AU26" i="81"/>
  <c r="AT26" i="81"/>
  <c r="AS26" i="81"/>
  <c r="AR26" i="81"/>
  <c r="AQ26" i="81"/>
  <c r="AP26" i="81"/>
  <c r="AO26" i="81"/>
  <c r="AN26" i="81"/>
  <c r="AM26" i="81"/>
  <c r="AL26" i="81"/>
  <c r="AK26" i="81"/>
  <c r="AJ26" i="81"/>
  <c r="BG25" i="81"/>
  <c r="BF25" i="81"/>
  <c r="BE25" i="81"/>
  <c r="BD25" i="81"/>
  <c r="BC25" i="81"/>
  <c r="BB25" i="81"/>
  <c r="BA25" i="81"/>
  <c r="AZ25" i="81"/>
  <c r="AY25" i="81"/>
  <c r="AX25" i="81"/>
  <c r="AW25" i="81"/>
  <c r="AV25" i="81"/>
  <c r="AU25" i="81"/>
  <c r="AT25" i="81"/>
  <c r="AS25" i="81"/>
  <c r="AR25" i="81"/>
  <c r="AQ25" i="81"/>
  <c r="AP25" i="81"/>
  <c r="AO25" i="81"/>
  <c r="AN25" i="81"/>
  <c r="AM25" i="81"/>
  <c r="AL25" i="81"/>
  <c r="AK25" i="81"/>
  <c r="AJ25" i="81"/>
  <c r="BG24" i="81"/>
  <c r="BF24" i="81"/>
  <c r="BE24" i="81"/>
  <c r="BD24" i="81"/>
  <c r="BC24" i="81"/>
  <c r="BB24" i="81"/>
  <c r="BA24" i="81"/>
  <c r="AZ24" i="81"/>
  <c r="AY24" i="81"/>
  <c r="AX24" i="81"/>
  <c r="AW24" i="81"/>
  <c r="AV24" i="81"/>
  <c r="AU24" i="81"/>
  <c r="AT24" i="81"/>
  <c r="AS24" i="81"/>
  <c r="AR24" i="81"/>
  <c r="AQ24" i="81"/>
  <c r="AP24" i="81"/>
  <c r="AO24" i="81"/>
  <c r="AN24" i="81"/>
  <c r="AM24" i="81"/>
  <c r="AL24" i="81"/>
  <c r="AK24" i="81"/>
  <c r="AJ24" i="81"/>
  <c r="BG23" i="81"/>
  <c r="BF23" i="81"/>
  <c r="BE23" i="81"/>
  <c r="BD23" i="81"/>
  <c r="BC23" i="81"/>
  <c r="BB23" i="81"/>
  <c r="BA23" i="81"/>
  <c r="AZ23" i="81"/>
  <c r="AY23" i="81"/>
  <c r="AX23" i="81"/>
  <c r="AW23" i="81"/>
  <c r="AV23" i="81"/>
  <c r="AU23" i="81"/>
  <c r="AT23" i="81"/>
  <c r="AS23" i="81"/>
  <c r="AR23" i="81"/>
  <c r="AQ23" i="81"/>
  <c r="AP23" i="81"/>
  <c r="AO23" i="81"/>
  <c r="AN23" i="81"/>
  <c r="AM23" i="81"/>
  <c r="AL23" i="81"/>
  <c r="AK23" i="81"/>
  <c r="AJ23" i="81"/>
  <c r="BG22" i="81"/>
  <c r="BF22" i="81"/>
  <c r="BE22" i="81"/>
  <c r="BD22" i="81"/>
  <c r="BC22" i="81"/>
  <c r="BB22" i="81"/>
  <c r="BA22" i="81"/>
  <c r="AZ22" i="81"/>
  <c r="AY22" i="81"/>
  <c r="AX22" i="81"/>
  <c r="AW22" i="81"/>
  <c r="AV22" i="81"/>
  <c r="AU22" i="81"/>
  <c r="AT22" i="81"/>
  <c r="AS22" i="81"/>
  <c r="AR22" i="81"/>
  <c r="AQ22" i="81"/>
  <c r="AP22" i="81"/>
  <c r="AO22" i="81"/>
  <c r="AN22" i="81"/>
  <c r="AM22" i="81"/>
  <c r="AL22" i="81"/>
  <c r="AK22" i="81"/>
  <c r="AJ22" i="81"/>
  <c r="BG21" i="81"/>
  <c r="BF21" i="81"/>
  <c r="BE21" i="81"/>
  <c r="BD21" i="81"/>
  <c r="BC21" i="81"/>
  <c r="BB21" i="81"/>
  <c r="BA21" i="81"/>
  <c r="AZ21" i="81"/>
  <c r="AY21" i="81"/>
  <c r="AX21" i="81"/>
  <c r="AW21" i="81"/>
  <c r="AV21" i="81"/>
  <c r="AU21" i="81"/>
  <c r="AT21" i="81"/>
  <c r="AS21" i="81"/>
  <c r="AR21" i="81"/>
  <c r="AQ21" i="81"/>
  <c r="AP21" i="81"/>
  <c r="AO21" i="81"/>
  <c r="AN21" i="81"/>
  <c r="AM21" i="81"/>
  <c r="AL21" i="81"/>
  <c r="AK21" i="81"/>
  <c r="AJ21" i="81"/>
  <c r="BG20" i="81"/>
  <c r="BF20" i="81"/>
  <c r="BE20" i="81"/>
  <c r="BD20" i="81"/>
  <c r="BC20" i="81"/>
  <c r="BB20" i="81"/>
  <c r="BA20" i="81"/>
  <c r="AZ20" i="81"/>
  <c r="AY20" i="81"/>
  <c r="AX20" i="81"/>
  <c r="AW20" i="81"/>
  <c r="AV20" i="81"/>
  <c r="AU20" i="81"/>
  <c r="AT20" i="81"/>
  <c r="AS20" i="81"/>
  <c r="AR20" i="81"/>
  <c r="AQ20" i="81"/>
  <c r="AP20" i="81"/>
  <c r="AO20" i="81"/>
  <c r="AN20" i="81"/>
  <c r="AM20" i="81"/>
  <c r="AL20" i="81"/>
  <c r="AK20" i="81"/>
  <c r="AJ20" i="81"/>
  <c r="BG19" i="81"/>
  <c r="BF19" i="81"/>
  <c r="BE19" i="81"/>
  <c r="BD19" i="81"/>
  <c r="BC19" i="81"/>
  <c r="BB19" i="81"/>
  <c r="BA19" i="81"/>
  <c r="AZ19" i="81"/>
  <c r="AY19" i="81"/>
  <c r="AX19" i="81"/>
  <c r="AW19" i="81"/>
  <c r="AV19" i="81"/>
  <c r="AU19" i="81"/>
  <c r="AT19" i="81"/>
  <c r="AS19" i="81"/>
  <c r="AR19" i="81"/>
  <c r="AQ19" i="81"/>
  <c r="AP19" i="81"/>
  <c r="AO19" i="81"/>
  <c r="AN19" i="81"/>
  <c r="AM19" i="81"/>
  <c r="AL19" i="81"/>
  <c r="AK19" i="81"/>
  <c r="AJ19" i="81"/>
  <c r="BG18" i="81"/>
  <c r="BF18" i="81"/>
  <c r="BE18" i="81"/>
  <c r="BD18" i="81"/>
  <c r="BC18" i="81"/>
  <c r="BB18" i="81"/>
  <c r="BA18" i="81"/>
  <c r="AZ18" i="81"/>
  <c r="AY18" i="81"/>
  <c r="AX18" i="81"/>
  <c r="AW18" i="81"/>
  <c r="AV18" i="81"/>
  <c r="AU18" i="81"/>
  <c r="AT18" i="81"/>
  <c r="AS18" i="81"/>
  <c r="AR18" i="81"/>
  <c r="AQ18" i="81"/>
  <c r="AP18" i="81"/>
  <c r="AO18" i="81"/>
  <c r="AN18" i="81"/>
  <c r="AM18" i="81"/>
  <c r="AL18" i="81"/>
  <c r="AK18" i="81"/>
  <c r="AJ18" i="81"/>
  <c r="BG17" i="81"/>
  <c r="BF17" i="81"/>
  <c r="BE17" i="81"/>
  <c r="BD17" i="81"/>
  <c r="BC17" i="81"/>
  <c r="BB17" i="81"/>
  <c r="BA17" i="81"/>
  <c r="AZ17" i="81"/>
  <c r="AY17" i="81"/>
  <c r="AX17" i="81"/>
  <c r="AW17" i="81"/>
  <c r="AV17" i="81"/>
  <c r="AU17" i="81"/>
  <c r="AT17" i="81"/>
  <c r="AS17" i="81"/>
  <c r="AR17" i="81"/>
  <c r="AQ17" i="81"/>
  <c r="AP17" i="81"/>
  <c r="AO17" i="81"/>
  <c r="AN17" i="81"/>
  <c r="AM17" i="81"/>
  <c r="AL17" i="81"/>
  <c r="AK17" i="81"/>
  <c r="AJ17" i="81"/>
  <c r="BG16" i="81"/>
  <c r="BF16" i="81"/>
  <c r="BE16" i="81"/>
  <c r="BD16" i="81"/>
  <c r="BC16" i="81"/>
  <c r="BB16" i="81"/>
  <c r="BA16" i="81"/>
  <c r="AZ16" i="81"/>
  <c r="AY16" i="81"/>
  <c r="AX16" i="81"/>
  <c r="AW16" i="81"/>
  <c r="AV16" i="81"/>
  <c r="AU16" i="81"/>
  <c r="AT16" i="81"/>
  <c r="AS16" i="81"/>
  <c r="AR16" i="81"/>
  <c r="AQ16" i="81"/>
  <c r="AP16" i="81"/>
  <c r="AO16" i="81"/>
  <c r="AN16" i="81"/>
  <c r="AM16" i="81"/>
  <c r="AL16" i="81"/>
  <c r="AK16" i="81"/>
  <c r="AJ16" i="81"/>
  <c r="BG15" i="81"/>
  <c r="BF15" i="81"/>
  <c r="BE15" i="81"/>
  <c r="BD15" i="81"/>
  <c r="BC15" i="81"/>
  <c r="BB15" i="81"/>
  <c r="BA15" i="81"/>
  <c r="AZ15" i="81"/>
  <c r="AY15" i="81"/>
  <c r="AX15" i="81"/>
  <c r="AW15" i="81"/>
  <c r="AV15" i="81"/>
  <c r="AU15" i="81"/>
  <c r="AT15" i="81"/>
  <c r="AS15" i="81"/>
  <c r="AR15" i="81"/>
  <c r="AQ15" i="81"/>
  <c r="AP15" i="81"/>
  <c r="AO15" i="81"/>
  <c r="AN15" i="81"/>
  <c r="AM15" i="81"/>
  <c r="AL15" i="81"/>
  <c r="AK15" i="81"/>
  <c r="AJ15" i="81"/>
  <c r="BL14" i="81"/>
  <c r="BK14" i="81"/>
  <c r="BJ14" i="81"/>
  <c r="BI14" i="81"/>
  <c r="BH14" i="81"/>
  <c r="BG14" i="81"/>
  <c r="BF14" i="81"/>
  <c r="BE14" i="81"/>
  <c r="BD14" i="81"/>
  <c r="BC14" i="81"/>
  <c r="BB14" i="81"/>
  <c r="BA14" i="81"/>
  <c r="AZ14" i="81"/>
  <c r="AY14" i="81"/>
  <c r="AX14" i="81"/>
  <c r="AW14" i="81"/>
  <c r="AV14" i="81"/>
  <c r="AU14" i="81"/>
  <c r="AT14" i="81"/>
  <c r="AS14" i="81"/>
  <c r="AR14" i="81"/>
  <c r="AQ14" i="81"/>
  <c r="AP14" i="81"/>
  <c r="AO14" i="81"/>
  <c r="AN14" i="81"/>
  <c r="AM14" i="81"/>
  <c r="AL14" i="81"/>
  <c r="BL13" i="81"/>
  <c r="BK13" i="81"/>
  <c r="BJ13" i="81"/>
  <c r="BI13" i="81"/>
  <c r="BH13" i="81"/>
  <c r="BG13" i="81"/>
  <c r="BF13" i="81"/>
  <c r="BE13" i="81"/>
  <c r="BD13" i="81"/>
  <c r="BA13" i="81"/>
  <c r="AZ13" i="81"/>
  <c r="AY13" i="81"/>
  <c r="AX13" i="81"/>
  <c r="AW13" i="81"/>
  <c r="AV13" i="81"/>
  <c r="AU13" i="81"/>
  <c r="AT13" i="81"/>
  <c r="AS13" i="81"/>
  <c r="AR13" i="81"/>
  <c r="AQ13" i="81"/>
  <c r="AP13" i="81"/>
  <c r="AO13" i="81"/>
  <c r="AN13" i="81"/>
  <c r="AM13" i="81"/>
  <c r="AL13" i="81"/>
  <c r="BG44" i="82"/>
  <c r="BF44" i="82"/>
  <c r="BE44" i="82"/>
  <c r="BD44" i="82"/>
  <c r="BC44" i="82"/>
  <c r="BB44" i="82"/>
  <c r="BA44" i="82"/>
  <c r="AZ44" i="82"/>
  <c r="AY44" i="82"/>
  <c r="AX44" i="82"/>
  <c r="AW44" i="82"/>
  <c r="AV44" i="82"/>
  <c r="AU44" i="82"/>
  <c r="AT44" i="82"/>
  <c r="AS44" i="82"/>
  <c r="AR44" i="82"/>
  <c r="AQ44" i="82"/>
  <c r="AP44" i="82"/>
  <c r="AO44" i="82"/>
  <c r="AN44" i="82"/>
  <c r="AM44" i="82"/>
  <c r="AL44" i="82"/>
  <c r="AK44" i="82"/>
  <c r="AJ44" i="82"/>
  <c r="BG43" i="82"/>
  <c r="BF43" i="82"/>
  <c r="BE43" i="82"/>
  <c r="BD43" i="82"/>
  <c r="BC43" i="82"/>
  <c r="BB43" i="82"/>
  <c r="BA43" i="82"/>
  <c r="AZ43" i="82"/>
  <c r="AY43" i="82"/>
  <c r="AX43" i="82"/>
  <c r="AW43" i="82"/>
  <c r="AV43" i="82"/>
  <c r="AU43" i="82"/>
  <c r="AT43" i="82"/>
  <c r="AS43" i="82"/>
  <c r="AR43" i="82"/>
  <c r="AQ43" i="82"/>
  <c r="AP43" i="82"/>
  <c r="AO43" i="82"/>
  <c r="AN43" i="82"/>
  <c r="AM43" i="82"/>
  <c r="AL43" i="82"/>
  <c r="AK43" i="82"/>
  <c r="AJ43" i="82"/>
  <c r="BG42" i="82"/>
  <c r="BF42" i="82"/>
  <c r="BE42" i="82"/>
  <c r="BD42" i="82"/>
  <c r="BC42" i="82"/>
  <c r="BB42" i="82"/>
  <c r="BA42" i="82"/>
  <c r="AZ42" i="82"/>
  <c r="AY42" i="82"/>
  <c r="AX42" i="82"/>
  <c r="AW42" i="82"/>
  <c r="AV42" i="82"/>
  <c r="AU42" i="82"/>
  <c r="AT42" i="82"/>
  <c r="AS42" i="82"/>
  <c r="AR42" i="82"/>
  <c r="AQ42" i="82"/>
  <c r="AP42" i="82"/>
  <c r="AO42" i="82"/>
  <c r="AN42" i="82"/>
  <c r="AM42" i="82"/>
  <c r="AL42" i="82"/>
  <c r="AK42" i="82"/>
  <c r="AJ42" i="82"/>
  <c r="BG41" i="82"/>
  <c r="BF41" i="82"/>
  <c r="BE41" i="82"/>
  <c r="BD41" i="82"/>
  <c r="BC41" i="82"/>
  <c r="BB41" i="82"/>
  <c r="BA41" i="82"/>
  <c r="AZ41" i="82"/>
  <c r="AY41" i="82"/>
  <c r="AX41" i="82"/>
  <c r="AW41" i="82"/>
  <c r="AV41" i="82"/>
  <c r="AU41" i="82"/>
  <c r="AT41" i="82"/>
  <c r="AS41" i="82"/>
  <c r="AR41" i="82"/>
  <c r="AQ41" i="82"/>
  <c r="AP41" i="82"/>
  <c r="AO41" i="82"/>
  <c r="AN41" i="82"/>
  <c r="AM41" i="82"/>
  <c r="AL41" i="82"/>
  <c r="AK41" i="82"/>
  <c r="AJ41" i="82"/>
  <c r="BG40" i="82"/>
  <c r="BF40" i="82"/>
  <c r="BE40" i="82"/>
  <c r="BD40" i="82"/>
  <c r="BC40" i="82"/>
  <c r="BB40" i="82"/>
  <c r="BA40" i="82"/>
  <c r="AZ40" i="82"/>
  <c r="AY40" i="82"/>
  <c r="AX40" i="82"/>
  <c r="AW40" i="82"/>
  <c r="AV40" i="82"/>
  <c r="AU40" i="82"/>
  <c r="AT40" i="82"/>
  <c r="AS40" i="82"/>
  <c r="AR40" i="82"/>
  <c r="AQ40" i="82"/>
  <c r="AP40" i="82"/>
  <c r="AO40" i="82"/>
  <c r="AN40" i="82"/>
  <c r="AM40" i="82"/>
  <c r="AL40" i="82"/>
  <c r="AK40" i="82"/>
  <c r="AJ40" i="82"/>
  <c r="BG39" i="82"/>
  <c r="BF39" i="82"/>
  <c r="BE39" i="82"/>
  <c r="BD39" i="82"/>
  <c r="BC39" i="82"/>
  <c r="BB39" i="82"/>
  <c r="BA39" i="82"/>
  <c r="AZ39" i="82"/>
  <c r="AY39" i="82"/>
  <c r="AX39" i="82"/>
  <c r="AW39" i="82"/>
  <c r="AV39" i="82"/>
  <c r="AU39" i="82"/>
  <c r="AT39" i="82"/>
  <c r="AS39" i="82"/>
  <c r="AR39" i="82"/>
  <c r="AQ39" i="82"/>
  <c r="AP39" i="82"/>
  <c r="AO39" i="82"/>
  <c r="AN39" i="82"/>
  <c r="AM39" i="82"/>
  <c r="AL39" i="82"/>
  <c r="AK39" i="82"/>
  <c r="AJ39" i="82"/>
  <c r="BG38" i="82"/>
  <c r="BF38" i="82"/>
  <c r="BE38" i="82"/>
  <c r="BD38" i="82"/>
  <c r="BC38" i="82"/>
  <c r="BB38" i="82"/>
  <c r="BA38" i="82"/>
  <c r="AZ38" i="82"/>
  <c r="AY38" i="82"/>
  <c r="AX38" i="82"/>
  <c r="AW38" i="82"/>
  <c r="AV38" i="82"/>
  <c r="AU38" i="82"/>
  <c r="AT38" i="82"/>
  <c r="AS38" i="82"/>
  <c r="AR38" i="82"/>
  <c r="AQ38" i="82"/>
  <c r="AP38" i="82"/>
  <c r="AO38" i="82"/>
  <c r="AN38" i="82"/>
  <c r="AM38" i="82"/>
  <c r="AL38" i="82"/>
  <c r="AK38" i="82"/>
  <c r="AJ38" i="82"/>
  <c r="BG37" i="82"/>
  <c r="BF37" i="82"/>
  <c r="BE37" i="82"/>
  <c r="BD37" i="82"/>
  <c r="BC37" i="82"/>
  <c r="BB37" i="82"/>
  <c r="BA37" i="82"/>
  <c r="AZ37" i="82"/>
  <c r="AY37" i="82"/>
  <c r="AX37" i="82"/>
  <c r="AW37" i="82"/>
  <c r="AV37" i="82"/>
  <c r="AU37" i="82"/>
  <c r="AT37" i="82"/>
  <c r="AS37" i="82"/>
  <c r="AR37" i="82"/>
  <c r="AQ37" i="82"/>
  <c r="AP37" i="82"/>
  <c r="AO37" i="82"/>
  <c r="AN37" i="82"/>
  <c r="AM37" i="82"/>
  <c r="AL37" i="82"/>
  <c r="AK37" i="82"/>
  <c r="AJ37" i="82"/>
  <c r="BG36" i="82"/>
  <c r="BF36" i="82"/>
  <c r="BE36" i="82"/>
  <c r="BD36" i="82"/>
  <c r="BC36" i="82"/>
  <c r="BB36" i="82"/>
  <c r="BA36" i="82"/>
  <c r="AZ36" i="82"/>
  <c r="AY36" i="82"/>
  <c r="AX36" i="82"/>
  <c r="AW36" i="82"/>
  <c r="AV36" i="82"/>
  <c r="AU36" i="82"/>
  <c r="AT36" i="82"/>
  <c r="AS36" i="82"/>
  <c r="AR36" i="82"/>
  <c r="AQ36" i="82"/>
  <c r="AP36" i="82"/>
  <c r="AO36" i="82"/>
  <c r="AN36" i="82"/>
  <c r="AM36" i="82"/>
  <c r="AL36" i="82"/>
  <c r="AK36" i="82"/>
  <c r="AJ36" i="82"/>
  <c r="BG35" i="82"/>
  <c r="BF35" i="82"/>
  <c r="BE35" i="82"/>
  <c r="BD35" i="82"/>
  <c r="BC35" i="82"/>
  <c r="BB35" i="82"/>
  <c r="BA35" i="82"/>
  <c r="AZ35" i="82"/>
  <c r="AY35" i="82"/>
  <c r="AX35" i="82"/>
  <c r="AW35" i="82"/>
  <c r="AV35" i="82"/>
  <c r="AU35" i="82"/>
  <c r="AT35" i="82"/>
  <c r="AS35" i="82"/>
  <c r="AR35" i="82"/>
  <c r="AQ35" i="82"/>
  <c r="AP35" i="82"/>
  <c r="AO35" i="82"/>
  <c r="AN35" i="82"/>
  <c r="AM35" i="82"/>
  <c r="AL35" i="82"/>
  <c r="AK35" i="82"/>
  <c r="AJ35" i="82"/>
  <c r="BG34" i="82"/>
  <c r="BF34" i="82"/>
  <c r="BE34" i="82"/>
  <c r="BD34" i="82"/>
  <c r="BC34" i="82"/>
  <c r="BB34" i="82"/>
  <c r="BA34" i="82"/>
  <c r="AZ34" i="82"/>
  <c r="AY34" i="82"/>
  <c r="AX34" i="82"/>
  <c r="AW34" i="82"/>
  <c r="AV34" i="82"/>
  <c r="AU34" i="82"/>
  <c r="AT34" i="82"/>
  <c r="AS34" i="82"/>
  <c r="AR34" i="82"/>
  <c r="AQ34" i="82"/>
  <c r="AP34" i="82"/>
  <c r="AO34" i="82"/>
  <c r="AN34" i="82"/>
  <c r="AM34" i="82"/>
  <c r="AL34" i="82"/>
  <c r="AK34" i="82"/>
  <c r="AJ34" i="82"/>
  <c r="BG33" i="82"/>
  <c r="BF33" i="82"/>
  <c r="BE33" i="82"/>
  <c r="BD33" i="82"/>
  <c r="BC33" i="82"/>
  <c r="BB33" i="82"/>
  <c r="BA33" i="82"/>
  <c r="AZ33" i="82"/>
  <c r="AY33" i="82"/>
  <c r="AX33" i="82"/>
  <c r="AW33" i="82"/>
  <c r="AV33" i="82"/>
  <c r="AU33" i="82"/>
  <c r="AT33" i="82"/>
  <c r="AS33" i="82"/>
  <c r="AR33" i="82"/>
  <c r="AQ33" i="82"/>
  <c r="AP33" i="82"/>
  <c r="AO33" i="82"/>
  <c r="AN33" i="82"/>
  <c r="AM33" i="82"/>
  <c r="AL33" i="82"/>
  <c r="AK33" i="82"/>
  <c r="AJ33" i="82"/>
  <c r="BG32" i="82"/>
  <c r="BF32" i="82"/>
  <c r="BE32" i="82"/>
  <c r="BD32" i="82"/>
  <c r="BC32" i="82"/>
  <c r="BB32" i="82"/>
  <c r="BA32" i="82"/>
  <c r="AZ32" i="82"/>
  <c r="AY32" i="82"/>
  <c r="AX32" i="82"/>
  <c r="AW32" i="82"/>
  <c r="AV32" i="82"/>
  <c r="AU32" i="82"/>
  <c r="AT32" i="82"/>
  <c r="AS32" i="82"/>
  <c r="AR32" i="82"/>
  <c r="AQ32" i="82"/>
  <c r="AP32" i="82"/>
  <c r="AO32" i="82"/>
  <c r="AN32" i="82"/>
  <c r="AM32" i="82"/>
  <c r="AL32" i="82"/>
  <c r="AK32" i="82"/>
  <c r="AJ32" i="82"/>
  <c r="BG31" i="82"/>
  <c r="BF31" i="82"/>
  <c r="BE31" i="82"/>
  <c r="BD31" i="82"/>
  <c r="BC31" i="82"/>
  <c r="BB31" i="82"/>
  <c r="BA31" i="82"/>
  <c r="AZ31" i="82"/>
  <c r="AY31" i="82"/>
  <c r="AX31" i="82"/>
  <c r="AW31" i="82"/>
  <c r="AV31" i="82"/>
  <c r="AU31" i="82"/>
  <c r="AT31" i="82"/>
  <c r="AS31" i="82"/>
  <c r="AR31" i="82"/>
  <c r="AQ31" i="82"/>
  <c r="AP31" i="82"/>
  <c r="AO31" i="82"/>
  <c r="AN31" i="82"/>
  <c r="AM31" i="82"/>
  <c r="AL31" i="82"/>
  <c r="AK31" i="82"/>
  <c r="AJ31" i="82"/>
  <c r="BG30" i="82"/>
  <c r="BF30" i="82"/>
  <c r="BE30" i="82"/>
  <c r="BD30" i="82"/>
  <c r="BC30" i="82"/>
  <c r="BB30" i="82"/>
  <c r="BA30" i="82"/>
  <c r="AZ30" i="82"/>
  <c r="AY30" i="82"/>
  <c r="AX30" i="82"/>
  <c r="AW30" i="82"/>
  <c r="AV30" i="82"/>
  <c r="AU30" i="82"/>
  <c r="AT30" i="82"/>
  <c r="AS30" i="82"/>
  <c r="AR30" i="82"/>
  <c r="AQ30" i="82"/>
  <c r="AP30" i="82"/>
  <c r="AO30" i="82"/>
  <c r="AN30" i="82"/>
  <c r="AM30" i="82"/>
  <c r="AL30" i="82"/>
  <c r="AK30" i="82"/>
  <c r="AJ30" i="82"/>
  <c r="BG29" i="82"/>
  <c r="BF29" i="82"/>
  <c r="BE29" i="82"/>
  <c r="BD29" i="82"/>
  <c r="BC29" i="82"/>
  <c r="BB29" i="82"/>
  <c r="BA29" i="82"/>
  <c r="AZ29" i="82"/>
  <c r="AY29" i="82"/>
  <c r="AX29" i="82"/>
  <c r="AW29" i="82"/>
  <c r="AV29" i="82"/>
  <c r="AU29" i="82"/>
  <c r="AT29" i="82"/>
  <c r="AS29" i="82"/>
  <c r="AR29" i="82"/>
  <c r="AQ29" i="82"/>
  <c r="AP29" i="82"/>
  <c r="AO29" i="82"/>
  <c r="AN29" i="82"/>
  <c r="AM29" i="82"/>
  <c r="AL29" i="82"/>
  <c r="AK29" i="82"/>
  <c r="AJ29" i="82"/>
  <c r="BG28" i="82"/>
  <c r="BF28" i="82"/>
  <c r="BE28" i="82"/>
  <c r="BD28" i="82"/>
  <c r="BC28" i="82"/>
  <c r="BB28" i="82"/>
  <c r="BA28" i="82"/>
  <c r="AZ28" i="82"/>
  <c r="AY28" i="82"/>
  <c r="AX28" i="82"/>
  <c r="AW28" i="82"/>
  <c r="AV28" i="82"/>
  <c r="AU28" i="82"/>
  <c r="AT28" i="82"/>
  <c r="AS28" i="82"/>
  <c r="AR28" i="82"/>
  <c r="AQ28" i="82"/>
  <c r="AP28" i="82"/>
  <c r="AO28" i="82"/>
  <c r="AN28" i="82"/>
  <c r="AM28" i="82"/>
  <c r="AL28" i="82"/>
  <c r="AK28" i="82"/>
  <c r="AJ28" i="82"/>
  <c r="BG27" i="82"/>
  <c r="BF27" i="82"/>
  <c r="BE27" i="82"/>
  <c r="BD27" i="82"/>
  <c r="BC27" i="82"/>
  <c r="BB27" i="82"/>
  <c r="BA27" i="82"/>
  <c r="AZ27" i="82"/>
  <c r="AY27" i="82"/>
  <c r="AX27" i="82"/>
  <c r="AW27" i="82"/>
  <c r="AV27" i="82"/>
  <c r="AU27" i="82"/>
  <c r="AT27" i="82"/>
  <c r="AS27" i="82"/>
  <c r="AR27" i="82"/>
  <c r="AQ27" i="82"/>
  <c r="AP27" i="82"/>
  <c r="AO27" i="82"/>
  <c r="AN27" i="82"/>
  <c r="AM27" i="82"/>
  <c r="AL27" i="82"/>
  <c r="AK27" i="82"/>
  <c r="AJ27" i="82"/>
  <c r="BG26" i="82"/>
  <c r="BF26" i="82"/>
  <c r="BE26" i="82"/>
  <c r="BD26" i="82"/>
  <c r="BC26" i="82"/>
  <c r="BB26" i="82"/>
  <c r="BA26" i="82"/>
  <c r="AZ26" i="82"/>
  <c r="AY26" i="82"/>
  <c r="AX26" i="82"/>
  <c r="AW26" i="82"/>
  <c r="AV26" i="82"/>
  <c r="AU26" i="82"/>
  <c r="AT26" i="82"/>
  <c r="AS26" i="82"/>
  <c r="AR26" i="82"/>
  <c r="AQ26" i="82"/>
  <c r="AP26" i="82"/>
  <c r="AO26" i="82"/>
  <c r="AN26" i="82"/>
  <c r="AM26" i="82"/>
  <c r="AL26" i="82"/>
  <c r="AK26" i="82"/>
  <c r="AJ26" i="82"/>
  <c r="BG25" i="82"/>
  <c r="BF25" i="82"/>
  <c r="BE25" i="82"/>
  <c r="BD25" i="82"/>
  <c r="BC25" i="82"/>
  <c r="BB25" i="82"/>
  <c r="BA25" i="82"/>
  <c r="AZ25" i="82"/>
  <c r="AY25" i="82"/>
  <c r="AX25" i="82"/>
  <c r="AW25" i="82"/>
  <c r="AV25" i="82"/>
  <c r="AU25" i="82"/>
  <c r="AT25" i="82"/>
  <c r="AS25" i="82"/>
  <c r="AR25" i="82"/>
  <c r="AQ25" i="82"/>
  <c r="AP25" i="82"/>
  <c r="AO25" i="82"/>
  <c r="AN25" i="82"/>
  <c r="AM25" i="82"/>
  <c r="AL25" i="82"/>
  <c r="AK25" i="82"/>
  <c r="AJ25" i="82"/>
  <c r="BG24" i="82"/>
  <c r="BF24" i="82"/>
  <c r="BE24" i="82"/>
  <c r="BD24" i="82"/>
  <c r="BC24" i="82"/>
  <c r="BB24" i="82"/>
  <c r="BA24" i="82"/>
  <c r="AZ24" i="82"/>
  <c r="AY24" i="82"/>
  <c r="AX24" i="82"/>
  <c r="AW24" i="82"/>
  <c r="AV24" i="82"/>
  <c r="AU24" i="82"/>
  <c r="AT24" i="82"/>
  <c r="AS24" i="82"/>
  <c r="AR24" i="82"/>
  <c r="AQ24" i="82"/>
  <c r="AP24" i="82"/>
  <c r="AO24" i="82"/>
  <c r="AN24" i="82"/>
  <c r="AM24" i="82"/>
  <c r="AL24" i="82"/>
  <c r="AK24" i="82"/>
  <c r="AJ24" i="82"/>
  <c r="BG23" i="82"/>
  <c r="BF23" i="82"/>
  <c r="BE23" i="82"/>
  <c r="BD23" i="82"/>
  <c r="BC23" i="82"/>
  <c r="BB23" i="82"/>
  <c r="BA23" i="82"/>
  <c r="AZ23" i="82"/>
  <c r="AY23" i="82"/>
  <c r="AX23" i="82"/>
  <c r="AW23" i="82"/>
  <c r="AV23" i="82"/>
  <c r="AU23" i="82"/>
  <c r="AT23" i="82"/>
  <c r="AS23" i="82"/>
  <c r="AR23" i="82"/>
  <c r="AQ23" i="82"/>
  <c r="AP23" i="82"/>
  <c r="AO23" i="82"/>
  <c r="AN23" i="82"/>
  <c r="AM23" i="82"/>
  <c r="AL23" i="82"/>
  <c r="AK23" i="82"/>
  <c r="AJ23" i="82"/>
  <c r="BG22" i="82"/>
  <c r="BF22" i="82"/>
  <c r="BE22" i="82"/>
  <c r="BD22" i="82"/>
  <c r="BC22" i="82"/>
  <c r="BB22" i="82"/>
  <c r="BA22" i="82"/>
  <c r="AZ22" i="82"/>
  <c r="AY22" i="82"/>
  <c r="AX22" i="82"/>
  <c r="AW22" i="82"/>
  <c r="AV22" i="82"/>
  <c r="AU22" i="82"/>
  <c r="AT22" i="82"/>
  <c r="AS22" i="82"/>
  <c r="AR22" i="82"/>
  <c r="AQ22" i="82"/>
  <c r="AP22" i="82"/>
  <c r="AO22" i="82"/>
  <c r="AN22" i="82"/>
  <c r="AM22" i="82"/>
  <c r="AL22" i="82"/>
  <c r="AK22" i="82"/>
  <c r="AJ22" i="82"/>
  <c r="BG21" i="82"/>
  <c r="BF21" i="82"/>
  <c r="BE21" i="82"/>
  <c r="BD21" i="82"/>
  <c r="BC21" i="82"/>
  <c r="BB21" i="82"/>
  <c r="BA21" i="82"/>
  <c r="AZ21" i="82"/>
  <c r="AY21" i="82"/>
  <c r="AX21" i="82"/>
  <c r="AW21" i="82"/>
  <c r="AV21" i="82"/>
  <c r="AU21" i="82"/>
  <c r="AT21" i="82"/>
  <c r="AS21" i="82"/>
  <c r="AR21" i="82"/>
  <c r="AQ21" i="82"/>
  <c r="AP21" i="82"/>
  <c r="AO21" i="82"/>
  <c r="AN21" i="82"/>
  <c r="AM21" i="82"/>
  <c r="AL21" i="82"/>
  <c r="AK21" i="82"/>
  <c r="AJ21" i="82"/>
  <c r="BG20" i="82"/>
  <c r="BF20" i="82"/>
  <c r="BE20" i="82"/>
  <c r="BD20" i="82"/>
  <c r="BC20" i="82"/>
  <c r="BB20" i="82"/>
  <c r="BA20" i="82"/>
  <c r="AZ20" i="82"/>
  <c r="AY20" i="82"/>
  <c r="AX20" i="82"/>
  <c r="AW20" i="82"/>
  <c r="AV20" i="82"/>
  <c r="AU20" i="82"/>
  <c r="AT20" i="82"/>
  <c r="AS20" i="82"/>
  <c r="AR20" i="82"/>
  <c r="AQ20" i="82"/>
  <c r="AP20" i="82"/>
  <c r="AO20" i="82"/>
  <c r="AN20" i="82"/>
  <c r="AM20" i="82"/>
  <c r="AL20" i="82"/>
  <c r="AK20" i="82"/>
  <c r="AJ20" i="82"/>
  <c r="BG19" i="82"/>
  <c r="BF19" i="82"/>
  <c r="BE19" i="82"/>
  <c r="BD19" i="82"/>
  <c r="BC19" i="82"/>
  <c r="BB19" i="82"/>
  <c r="BA19" i="82"/>
  <c r="AZ19" i="82"/>
  <c r="AY19" i="82"/>
  <c r="AX19" i="82"/>
  <c r="AW19" i="82"/>
  <c r="AV19" i="82"/>
  <c r="AU19" i="82"/>
  <c r="AT19" i="82"/>
  <c r="AS19" i="82"/>
  <c r="AR19" i="82"/>
  <c r="AQ19" i="82"/>
  <c r="AP19" i="82"/>
  <c r="AO19" i="82"/>
  <c r="AN19" i="82"/>
  <c r="AM19" i="82"/>
  <c r="AL19" i="82"/>
  <c r="AK19" i="82"/>
  <c r="AJ19" i="82"/>
  <c r="BG18" i="82"/>
  <c r="BF18" i="82"/>
  <c r="BE18" i="82"/>
  <c r="BD18" i="82"/>
  <c r="BC18" i="82"/>
  <c r="BB18" i="82"/>
  <c r="BA18" i="82"/>
  <c r="AZ18" i="82"/>
  <c r="AY18" i="82"/>
  <c r="AX18" i="82"/>
  <c r="AW18" i="82"/>
  <c r="AV18" i="82"/>
  <c r="AU18" i="82"/>
  <c r="AT18" i="82"/>
  <c r="AS18" i="82"/>
  <c r="AR18" i="82"/>
  <c r="AQ18" i="82"/>
  <c r="AP18" i="82"/>
  <c r="AO18" i="82"/>
  <c r="AN18" i="82"/>
  <c r="AM18" i="82"/>
  <c r="AL18" i="82"/>
  <c r="AK18" i="82"/>
  <c r="AJ18" i="82"/>
  <c r="BG17" i="82"/>
  <c r="BF17" i="82"/>
  <c r="BE17" i="82"/>
  <c r="BD17" i="82"/>
  <c r="BC17" i="82"/>
  <c r="BB17" i="82"/>
  <c r="BA17" i="82"/>
  <c r="AZ17" i="82"/>
  <c r="AY17" i="82"/>
  <c r="AX17" i="82"/>
  <c r="AW17" i="82"/>
  <c r="AV17" i="82"/>
  <c r="AU17" i="82"/>
  <c r="AT17" i="82"/>
  <c r="AS17" i="82"/>
  <c r="AR17" i="82"/>
  <c r="AQ17" i="82"/>
  <c r="AP17" i="82"/>
  <c r="AO17" i="82"/>
  <c r="AN17" i="82"/>
  <c r="AM17" i="82"/>
  <c r="AL17" i="82"/>
  <c r="AK17" i="82"/>
  <c r="AJ17" i="82"/>
  <c r="BG16" i="82"/>
  <c r="BF16" i="82"/>
  <c r="BE16" i="82"/>
  <c r="BD16" i="82"/>
  <c r="BC16" i="82"/>
  <c r="BB16" i="82"/>
  <c r="BA16" i="82"/>
  <c r="AZ16" i="82"/>
  <c r="AY16" i="82"/>
  <c r="AX16" i="82"/>
  <c r="AW16" i="82"/>
  <c r="AV16" i="82"/>
  <c r="AU16" i="82"/>
  <c r="AT16" i="82"/>
  <c r="AS16" i="82"/>
  <c r="AR16" i="82"/>
  <c r="AQ16" i="82"/>
  <c r="AP16" i="82"/>
  <c r="AO16" i="82"/>
  <c r="AN16" i="82"/>
  <c r="AM16" i="82"/>
  <c r="AL16" i="82"/>
  <c r="AK16" i="82"/>
  <c r="AJ16" i="82"/>
  <c r="BG15" i="82"/>
  <c r="BF15" i="82"/>
  <c r="BE15" i="82"/>
  <c r="BD15" i="82"/>
  <c r="BC15" i="82"/>
  <c r="BB15" i="82"/>
  <c r="BA15" i="82"/>
  <c r="AZ15" i="82"/>
  <c r="AY15" i="82"/>
  <c r="AX15" i="82"/>
  <c r="AW15" i="82"/>
  <c r="AV15" i="82"/>
  <c r="AU15" i="82"/>
  <c r="AT15" i="82"/>
  <c r="AS15" i="82"/>
  <c r="AR15" i="82"/>
  <c r="AQ15" i="82"/>
  <c r="AP15" i="82"/>
  <c r="AO15" i="82"/>
  <c r="AN15" i="82"/>
  <c r="AM15" i="82"/>
  <c r="AL15" i="82"/>
  <c r="AK15" i="82"/>
  <c r="AJ15" i="82"/>
  <c r="BL14" i="82"/>
  <c r="BK14" i="82"/>
  <c r="BJ14" i="82"/>
  <c r="BI14" i="82"/>
  <c r="BH14" i="82"/>
  <c r="BG14" i="82"/>
  <c r="BF14" i="82"/>
  <c r="BE14" i="82"/>
  <c r="BD14" i="82"/>
  <c r="BC14" i="82"/>
  <c r="BB14" i="82"/>
  <c r="BA14" i="82"/>
  <c r="AZ14" i="82"/>
  <c r="AY14" i="82"/>
  <c r="AX14" i="82"/>
  <c r="AW14" i="82"/>
  <c r="AV14" i="82"/>
  <c r="AU14" i="82"/>
  <c r="AT14" i="82"/>
  <c r="AS14" i="82"/>
  <c r="AR14" i="82"/>
  <c r="AQ14" i="82"/>
  <c r="AP14" i="82"/>
  <c r="AO14" i="82"/>
  <c r="AN14" i="82"/>
  <c r="AM14" i="82"/>
  <c r="AL14" i="82"/>
  <c r="BL13" i="82"/>
  <c r="BK13" i="82"/>
  <c r="BJ13" i="82"/>
  <c r="BI13" i="82"/>
  <c r="BH13" i="82"/>
  <c r="BG13" i="82"/>
  <c r="BF13" i="82"/>
  <c r="BE13" i="82"/>
  <c r="BD13" i="82"/>
  <c r="BA13" i="82"/>
  <c r="AZ13" i="82"/>
  <c r="AY13" i="82"/>
  <c r="AX13" i="82"/>
  <c r="AW13" i="82"/>
  <c r="AV13" i="82"/>
  <c r="AU13" i="82"/>
  <c r="AT13" i="82"/>
  <c r="AS13" i="82"/>
  <c r="AR13" i="82"/>
  <c r="AQ13" i="82"/>
  <c r="AP13" i="82"/>
  <c r="AO13" i="82"/>
  <c r="AN13" i="82"/>
  <c r="AM13" i="82"/>
  <c r="AL13" i="82"/>
  <c r="BG44" i="83"/>
  <c r="BF44" i="83"/>
  <c r="BE44" i="83"/>
  <c r="BD44" i="83"/>
  <c r="BC44" i="83"/>
  <c r="BB44" i="83"/>
  <c r="BA44" i="83"/>
  <c r="AZ44" i="83"/>
  <c r="AY44" i="83"/>
  <c r="AX44" i="83"/>
  <c r="AW44" i="83"/>
  <c r="AV44" i="83"/>
  <c r="AU44" i="83"/>
  <c r="AT44" i="83"/>
  <c r="AS44" i="83"/>
  <c r="AR44" i="83"/>
  <c r="AQ44" i="83"/>
  <c r="AP44" i="83"/>
  <c r="AO44" i="83"/>
  <c r="AN44" i="83"/>
  <c r="AM44" i="83"/>
  <c r="AL44" i="83"/>
  <c r="AK44" i="83"/>
  <c r="AJ44" i="83"/>
  <c r="BG43" i="83"/>
  <c r="BF43" i="83"/>
  <c r="BE43" i="83"/>
  <c r="BD43" i="83"/>
  <c r="BC43" i="83"/>
  <c r="BB43" i="83"/>
  <c r="BA43" i="83"/>
  <c r="AZ43" i="83"/>
  <c r="AY43" i="83"/>
  <c r="AX43" i="83"/>
  <c r="AW43" i="83"/>
  <c r="AV43" i="83"/>
  <c r="AU43" i="83"/>
  <c r="AT43" i="83"/>
  <c r="AS43" i="83"/>
  <c r="AR43" i="83"/>
  <c r="AQ43" i="83"/>
  <c r="AP43" i="83"/>
  <c r="AO43" i="83"/>
  <c r="AN43" i="83"/>
  <c r="AM43" i="83"/>
  <c r="AL43" i="83"/>
  <c r="AK43" i="83"/>
  <c r="AJ43" i="83"/>
  <c r="BG42" i="83"/>
  <c r="BF42" i="83"/>
  <c r="BE42" i="83"/>
  <c r="BD42" i="83"/>
  <c r="BC42" i="83"/>
  <c r="BB42" i="83"/>
  <c r="BA42" i="83"/>
  <c r="AZ42" i="83"/>
  <c r="AY42" i="83"/>
  <c r="AX42" i="83"/>
  <c r="AW42" i="83"/>
  <c r="AV42" i="83"/>
  <c r="AU42" i="83"/>
  <c r="AT42" i="83"/>
  <c r="AS42" i="83"/>
  <c r="AR42" i="83"/>
  <c r="AQ42" i="83"/>
  <c r="AP42" i="83"/>
  <c r="AO42" i="83"/>
  <c r="AN42" i="83"/>
  <c r="AM42" i="83"/>
  <c r="AL42" i="83"/>
  <c r="AK42" i="83"/>
  <c r="AJ42" i="83"/>
  <c r="BG41" i="83"/>
  <c r="BF41" i="83"/>
  <c r="BE41" i="83"/>
  <c r="BD41" i="83"/>
  <c r="BC41" i="83"/>
  <c r="BB41" i="83"/>
  <c r="BA41" i="83"/>
  <c r="AZ41" i="83"/>
  <c r="AY41" i="83"/>
  <c r="AX41" i="83"/>
  <c r="AW41" i="83"/>
  <c r="AV41" i="83"/>
  <c r="AU41" i="83"/>
  <c r="AT41" i="83"/>
  <c r="AS41" i="83"/>
  <c r="AR41" i="83"/>
  <c r="AQ41" i="83"/>
  <c r="AP41" i="83"/>
  <c r="AO41" i="83"/>
  <c r="AN41" i="83"/>
  <c r="AM41" i="83"/>
  <c r="AL41" i="83"/>
  <c r="AK41" i="83"/>
  <c r="AJ41" i="83"/>
  <c r="BG40" i="83"/>
  <c r="BF40" i="83"/>
  <c r="BE40" i="83"/>
  <c r="BD40" i="83"/>
  <c r="BC40" i="83"/>
  <c r="BB40" i="83"/>
  <c r="BA40" i="83"/>
  <c r="AZ40" i="83"/>
  <c r="AY40" i="83"/>
  <c r="AX40" i="83"/>
  <c r="AW40" i="83"/>
  <c r="AV40" i="83"/>
  <c r="AU40" i="83"/>
  <c r="AT40" i="83"/>
  <c r="AS40" i="83"/>
  <c r="AR40" i="83"/>
  <c r="AQ40" i="83"/>
  <c r="AP40" i="83"/>
  <c r="AO40" i="83"/>
  <c r="AN40" i="83"/>
  <c r="AM40" i="83"/>
  <c r="AL40" i="83"/>
  <c r="AK40" i="83"/>
  <c r="AJ40" i="83"/>
  <c r="BG39" i="83"/>
  <c r="BF39" i="83"/>
  <c r="BE39" i="83"/>
  <c r="BD39" i="83"/>
  <c r="BC39" i="83"/>
  <c r="BB39" i="83"/>
  <c r="BA39" i="83"/>
  <c r="AZ39" i="83"/>
  <c r="AY39" i="83"/>
  <c r="AX39" i="83"/>
  <c r="AW39" i="83"/>
  <c r="AV39" i="83"/>
  <c r="AU39" i="83"/>
  <c r="AT39" i="83"/>
  <c r="AS39" i="83"/>
  <c r="AR39" i="83"/>
  <c r="AQ39" i="83"/>
  <c r="AP39" i="83"/>
  <c r="AO39" i="83"/>
  <c r="AN39" i="83"/>
  <c r="AM39" i="83"/>
  <c r="AL39" i="83"/>
  <c r="AK39" i="83"/>
  <c r="AJ39" i="83"/>
  <c r="BG38" i="83"/>
  <c r="BF38" i="83"/>
  <c r="BE38" i="83"/>
  <c r="BD38" i="83"/>
  <c r="BC38" i="83"/>
  <c r="BB38" i="83"/>
  <c r="BA38" i="83"/>
  <c r="AZ38" i="83"/>
  <c r="AY38" i="83"/>
  <c r="AX38" i="83"/>
  <c r="AW38" i="83"/>
  <c r="AV38" i="83"/>
  <c r="AU38" i="83"/>
  <c r="AT38" i="83"/>
  <c r="AS38" i="83"/>
  <c r="AR38" i="83"/>
  <c r="AQ38" i="83"/>
  <c r="AP38" i="83"/>
  <c r="AO38" i="83"/>
  <c r="AN38" i="83"/>
  <c r="AM38" i="83"/>
  <c r="AL38" i="83"/>
  <c r="AK38" i="83"/>
  <c r="AJ38" i="83"/>
  <c r="BG37" i="83"/>
  <c r="BF37" i="83"/>
  <c r="BE37" i="83"/>
  <c r="BD37" i="83"/>
  <c r="BC37" i="83"/>
  <c r="BB37" i="83"/>
  <c r="BA37" i="83"/>
  <c r="AZ37" i="83"/>
  <c r="AY37" i="83"/>
  <c r="AX37" i="83"/>
  <c r="AW37" i="83"/>
  <c r="AV37" i="83"/>
  <c r="AU37" i="83"/>
  <c r="AT37" i="83"/>
  <c r="AS37" i="83"/>
  <c r="AR37" i="83"/>
  <c r="AQ37" i="83"/>
  <c r="AP37" i="83"/>
  <c r="AO37" i="83"/>
  <c r="AN37" i="83"/>
  <c r="AM37" i="83"/>
  <c r="AL37" i="83"/>
  <c r="AK37" i="83"/>
  <c r="AJ37" i="83"/>
  <c r="BG36" i="83"/>
  <c r="BF36" i="83"/>
  <c r="BE36" i="83"/>
  <c r="BD36" i="83"/>
  <c r="BC36" i="83"/>
  <c r="BB36" i="83"/>
  <c r="BA36" i="83"/>
  <c r="AZ36" i="83"/>
  <c r="AY36" i="83"/>
  <c r="AX36" i="83"/>
  <c r="AW36" i="83"/>
  <c r="AV36" i="83"/>
  <c r="AU36" i="83"/>
  <c r="AT36" i="83"/>
  <c r="AS36" i="83"/>
  <c r="AR36" i="83"/>
  <c r="AQ36" i="83"/>
  <c r="AP36" i="83"/>
  <c r="AO36" i="83"/>
  <c r="AN36" i="83"/>
  <c r="AM36" i="83"/>
  <c r="AL36" i="83"/>
  <c r="AK36" i="83"/>
  <c r="AJ36" i="83"/>
  <c r="BG35" i="83"/>
  <c r="BF35" i="83"/>
  <c r="BE35" i="83"/>
  <c r="BD35" i="83"/>
  <c r="BC35" i="83"/>
  <c r="BB35" i="83"/>
  <c r="BA35" i="83"/>
  <c r="AZ35" i="83"/>
  <c r="AY35" i="83"/>
  <c r="AX35" i="83"/>
  <c r="AW35" i="83"/>
  <c r="AV35" i="83"/>
  <c r="AU35" i="83"/>
  <c r="AT35" i="83"/>
  <c r="AS35" i="83"/>
  <c r="AR35" i="83"/>
  <c r="AQ35" i="83"/>
  <c r="AP35" i="83"/>
  <c r="AO35" i="83"/>
  <c r="AN35" i="83"/>
  <c r="AM35" i="83"/>
  <c r="AL35" i="83"/>
  <c r="AK35" i="83"/>
  <c r="AJ35" i="83"/>
  <c r="BG34" i="83"/>
  <c r="BF34" i="83"/>
  <c r="BE34" i="83"/>
  <c r="BD34" i="83"/>
  <c r="BC34" i="83"/>
  <c r="BB34" i="83"/>
  <c r="BA34" i="83"/>
  <c r="AZ34" i="83"/>
  <c r="AY34" i="83"/>
  <c r="AX34" i="83"/>
  <c r="AW34" i="83"/>
  <c r="AV34" i="83"/>
  <c r="AU34" i="83"/>
  <c r="AT34" i="83"/>
  <c r="AS34" i="83"/>
  <c r="AR34" i="83"/>
  <c r="AQ34" i="83"/>
  <c r="AP34" i="83"/>
  <c r="AO34" i="83"/>
  <c r="AN34" i="83"/>
  <c r="AM34" i="83"/>
  <c r="AL34" i="83"/>
  <c r="AK34" i="83"/>
  <c r="AJ34" i="83"/>
  <c r="BG33" i="83"/>
  <c r="BF33" i="83"/>
  <c r="BE33" i="83"/>
  <c r="BD33" i="83"/>
  <c r="BC33" i="83"/>
  <c r="BB33" i="83"/>
  <c r="BA33" i="83"/>
  <c r="AZ33" i="83"/>
  <c r="AY33" i="83"/>
  <c r="AX33" i="83"/>
  <c r="AW33" i="83"/>
  <c r="AV33" i="83"/>
  <c r="AU33" i="83"/>
  <c r="AT33" i="83"/>
  <c r="AS33" i="83"/>
  <c r="AR33" i="83"/>
  <c r="AQ33" i="83"/>
  <c r="AP33" i="83"/>
  <c r="AO33" i="83"/>
  <c r="AN33" i="83"/>
  <c r="AM33" i="83"/>
  <c r="AL33" i="83"/>
  <c r="AK33" i="83"/>
  <c r="AJ33" i="83"/>
  <c r="BG32" i="83"/>
  <c r="BF32" i="83"/>
  <c r="BE32" i="83"/>
  <c r="BD32" i="83"/>
  <c r="BC32" i="83"/>
  <c r="BB32" i="83"/>
  <c r="BA32" i="83"/>
  <c r="AZ32" i="83"/>
  <c r="AY32" i="83"/>
  <c r="AX32" i="83"/>
  <c r="AW32" i="83"/>
  <c r="AV32" i="83"/>
  <c r="AU32" i="83"/>
  <c r="AT32" i="83"/>
  <c r="AS32" i="83"/>
  <c r="AR32" i="83"/>
  <c r="AQ32" i="83"/>
  <c r="AP32" i="83"/>
  <c r="AO32" i="83"/>
  <c r="AN32" i="83"/>
  <c r="AM32" i="83"/>
  <c r="AL32" i="83"/>
  <c r="AK32" i="83"/>
  <c r="AJ32" i="83"/>
  <c r="BG31" i="83"/>
  <c r="BF31" i="83"/>
  <c r="BE31" i="83"/>
  <c r="BD31" i="83"/>
  <c r="BC31" i="83"/>
  <c r="BB31" i="83"/>
  <c r="BA31" i="83"/>
  <c r="AZ31" i="83"/>
  <c r="AY31" i="83"/>
  <c r="AX31" i="83"/>
  <c r="AW31" i="83"/>
  <c r="AV31" i="83"/>
  <c r="AU31" i="83"/>
  <c r="AT31" i="83"/>
  <c r="AS31" i="83"/>
  <c r="AR31" i="83"/>
  <c r="AQ31" i="83"/>
  <c r="AP31" i="83"/>
  <c r="AO31" i="83"/>
  <c r="AN31" i="83"/>
  <c r="AM31" i="83"/>
  <c r="AL31" i="83"/>
  <c r="AK31" i="83"/>
  <c r="AJ31" i="83"/>
  <c r="BG30" i="83"/>
  <c r="BF30" i="83"/>
  <c r="BE30" i="83"/>
  <c r="BD30" i="83"/>
  <c r="BC30" i="83"/>
  <c r="BB30" i="83"/>
  <c r="BA30" i="83"/>
  <c r="AZ30" i="83"/>
  <c r="AY30" i="83"/>
  <c r="AX30" i="83"/>
  <c r="AW30" i="83"/>
  <c r="AV30" i="83"/>
  <c r="AU30" i="83"/>
  <c r="AT30" i="83"/>
  <c r="AS30" i="83"/>
  <c r="AR30" i="83"/>
  <c r="AQ30" i="83"/>
  <c r="AP30" i="83"/>
  <c r="AO30" i="83"/>
  <c r="AN30" i="83"/>
  <c r="AM30" i="83"/>
  <c r="AL30" i="83"/>
  <c r="AK30" i="83"/>
  <c r="AJ30" i="83"/>
  <c r="BG29" i="83"/>
  <c r="BF29" i="83"/>
  <c r="BE29" i="83"/>
  <c r="BD29" i="83"/>
  <c r="BC29" i="83"/>
  <c r="BB29" i="83"/>
  <c r="BA29" i="83"/>
  <c r="AZ29" i="83"/>
  <c r="AY29" i="83"/>
  <c r="AX29" i="83"/>
  <c r="AW29" i="83"/>
  <c r="AV29" i="83"/>
  <c r="AU29" i="83"/>
  <c r="AT29" i="83"/>
  <c r="AS29" i="83"/>
  <c r="AR29" i="83"/>
  <c r="AQ29" i="83"/>
  <c r="AP29" i="83"/>
  <c r="AO29" i="83"/>
  <c r="AN29" i="83"/>
  <c r="AM29" i="83"/>
  <c r="AL29" i="83"/>
  <c r="AK29" i="83"/>
  <c r="AJ29" i="83"/>
  <c r="BG28" i="83"/>
  <c r="BF28" i="83"/>
  <c r="BE28" i="83"/>
  <c r="BD28" i="83"/>
  <c r="BC28" i="83"/>
  <c r="BB28" i="83"/>
  <c r="BA28" i="83"/>
  <c r="AZ28" i="83"/>
  <c r="AY28" i="83"/>
  <c r="AX28" i="83"/>
  <c r="AW28" i="83"/>
  <c r="AV28" i="83"/>
  <c r="AU28" i="83"/>
  <c r="AT28" i="83"/>
  <c r="AS28" i="83"/>
  <c r="AR28" i="83"/>
  <c r="AQ28" i="83"/>
  <c r="AP28" i="83"/>
  <c r="AO28" i="83"/>
  <c r="AN28" i="83"/>
  <c r="AM28" i="83"/>
  <c r="AL28" i="83"/>
  <c r="AK28" i="83"/>
  <c r="AJ28" i="83"/>
  <c r="BG27" i="83"/>
  <c r="BF27" i="83"/>
  <c r="BE27" i="83"/>
  <c r="BD27" i="83"/>
  <c r="BC27" i="83"/>
  <c r="BB27" i="83"/>
  <c r="BA27" i="83"/>
  <c r="AZ27" i="83"/>
  <c r="AY27" i="83"/>
  <c r="AX27" i="83"/>
  <c r="AW27" i="83"/>
  <c r="AV27" i="83"/>
  <c r="AU27" i="83"/>
  <c r="AT27" i="83"/>
  <c r="AS27" i="83"/>
  <c r="AR27" i="83"/>
  <c r="AQ27" i="83"/>
  <c r="AP27" i="83"/>
  <c r="AO27" i="83"/>
  <c r="AN27" i="83"/>
  <c r="AM27" i="83"/>
  <c r="AL27" i="83"/>
  <c r="AK27" i="83"/>
  <c r="AJ27" i="83"/>
  <c r="BG26" i="83"/>
  <c r="BF26" i="83"/>
  <c r="BE26" i="83"/>
  <c r="BD26" i="83"/>
  <c r="BC26" i="83"/>
  <c r="BB26" i="83"/>
  <c r="BA26" i="83"/>
  <c r="AZ26" i="83"/>
  <c r="AY26" i="83"/>
  <c r="AX26" i="83"/>
  <c r="AW26" i="83"/>
  <c r="AV26" i="83"/>
  <c r="AU26" i="83"/>
  <c r="AT26" i="83"/>
  <c r="AS26" i="83"/>
  <c r="AR26" i="83"/>
  <c r="AQ26" i="83"/>
  <c r="AP26" i="83"/>
  <c r="AO26" i="83"/>
  <c r="AN26" i="83"/>
  <c r="AM26" i="83"/>
  <c r="AL26" i="83"/>
  <c r="AK26" i="83"/>
  <c r="AJ26" i="83"/>
  <c r="BG25" i="83"/>
  <c r="BF25" i="83"/>
  <c r="BE25" i="83"/>
  <c r="BD25" i="83"/>
  <c r="BC25" i="83"/>
  <c r="BB25" i="83"/>
  <c r="BA25" i="83"/>
  <c r="AZ25" i="83"/>
  <c r="AY25" i="83"/>
  <c r="AX25" i="83"/>
  <c r="AW25" i="83"/>
  <c r="AV25" i="83"/>
  <c r="AU25" i="83"/>
  <c r="AT25" i="83"/>
  <c r="AS25" i="83"/>
  <c r="AR25" i="83"/>
  <c r="AQ25" i="83"/>
  <c r="AP25" i="83"/>
  <c r="AO25" i="83"/>
  <c r="AN25" i="83"/>
  <c r="AM25" i="83"/>
  <c r="AL25" i="83"/>
  <c r="AK25" i="83"/>
  <c r="AJ25" i="83"/>
  <c r="BG24" i="83"/>
  <c r="BF24" i="83"/>
  <c r="BE24" i="83"/>
  <c r="BD24" i="83"/>
  <c r="BC24" i="83"/>
  <c r="BB24" i="83"/>
  <c r="BA24" i="83"/>
  <c r="AZ24" i="83"/>
  <c r="AY24" i="83"/>
  <c r="AX24" i="83"/>
  <c r="AW24" i="83"/>
  <c r="AV24" i="83"/>
  <c r="AU24" i="83"/>
  <c r="AT24" i="83"/>
  <c r="AS24" i="83"/>
  <c r="AR24" i="83"/>
  <c r="AQ24" i="83"/>
  <c r="AP24" i="83"/>
  <c r="AO24" i="83"/>
  <c r="AN24" i="83"/>
  <c r="AM24" i="83"/>
  <c r="AL24" i="83"/>
  <c r="AK24" i="83"/>
  <c r="AJ24" i="83"/>
  <c r="BG23" i="83"/>
  <c r="BF23" i="83"/>
  <c r="BE23" i="83"/>
  <c r="BD23" i="83"/>
  <c r="BC23" i="83"/>
  <c r="BB23" i="83"/>
  <c r="BA23" i="83"/>
  <c r="AZ23" i="83"/>
  <c r="AY23" i="83"/>
  <c r="AX23" i="83"/>
  <c r="AW23" i="83"/>
  <c r="AV23" i="83"/>
  <c r="AU23" i="83"/>
  <c r="AT23" i="83"/>
  <c r="AS23" i="83"/>
  <c r="AR23" i="83"/>
  <c r="AQ23" i="83"/>
  <c r="AP23" i="83"/>
  <c r="AO23" i="83"/>
  <c r="AN23" i="83"/>
  <c r="AM23" i="83"/>
  <c r="AL23" i="83"/>
  <c r="AK23" i="83"/>
  <c r="AJ23" i="83"/>
  <c r="BG22" i="83"/>
  <c r="BF22" i="83"/>
  <c r="BE22" i="83"/>
  <c r="BD22" i="83"/>
  <c r="BC22" i="83"/>
  <c r="BB22" i="83"/>
  <c r="BA22" i="83"/>
  <c r="AZ22" i="83"/>
  <c r="AY22" i="83"/>
  <c r="AX22" i="83"/>
  <c r="AW22" i="83"/>
  <c r="AV22" i="83"/>
  <c r="AU22" i="83"/>
  <c r="AT22" i="83"/>
  <c r="AS22" i="83"/>
  <c r="AR22" i="83"/>
  <c r="AQ22" i="83"/>
  <c r="AP22" i="83"/>
  <c r="AO22" i="83"/>
  <c r="AN22" i="83"/>
  <c r="AM22" i="83"/>
  <c r="AL22" i="83"/>
  <c r="AK22" i="83"/>
  <c r="AJ22" i="83"/>
  <c r="BG21" i="83"/>
  <c r="BF21" i="83"/>
  <c r="BE21" i="83"/>
  <c r="BD21" i="83"/>
  <c r="BC21" i="83"/>
  <c r="BB21" i="83"/>
  <c r="BA21" i="83"/>
  <c r="AZ21" i="83"/>
  <c r="AY21" i="83"/>
  <c r="AX21" i="83"/>
  <c r="AW21" i="83"/>
  <c r="AV21" i="83"/>
  <c r="AU21" i="83"/>
  <c r="AT21" i="83"/>
  <c r="AS21" i="83"/>
  <c r="AR21" i="83"/>
  <c r="AQ21" i="83"/>
  <c r="AP21" i="83"/>
  <c r="AO21" i="83"/>
  <c r="AN21" i="83"/>
  <c r="AM21" i="83"/>
  <c r="AL21" i="83"/>
  <c r="AK21" i="83"/>
  <c r="AJ21" i="83"/>
  <c r="BG20" i="83"/>
  <c r="BF20" i="83"/>
  <c r="BE20" i="83"/>
  <c r="BD20" i="83"/>
  <c r="BC20" i="83"/>
  <c r="BB20" i="83"/>
  <c r="BA20" i="83"/>
  <c r="AZ20" i="83"/>
  <c r="AY20" i="83"/>
  <c r="AX20" i="83"/>
  <c r="AW20" i="83"/>
  <c r="AV20" i="83"/>
  <c r="AU20" i="83"/>
  <c r="AT20" i="83"/>
  <c r="AS20" i="83"/>
  <c r="AR20" i="83"/>
  <c r="AQ20" i="83"/>
  <c r="AP20" i="83"/>
  <c r="AO20" i="83"/>
  <c r="AN20" i="83"/>
  <c r="AM20" i="83"/>
  <c r="AL20" i="83"/>
  <c r="AK20" i="83"/>
  <c r="AJ20" i="83"/>
  <c r="BG19" i="83"/>
  <c r="BF19" i="83"/>
  <c r="BE19" i="83"/>
  <c r="BD19" i="83"/>
  <c r="BC19" i="83"/>
  <c r="BB19" i="83"/>
  <c r="BA19" i="83"/>
  <c r="AZ19" i="83"/>
  <c r="AY19" i="83"/>
  <c r="AX19" i="83"/>
  <c r="AW19" i="83"/>
  <c r="AV19" i="83"/>
  <c r="AU19" i="83"/>
  <c r="AT19" i="83"/>
  <c r="AS19" i="83"/>
  <c r="AR19" i="83"/>
  <c r="AQ19" i="83"/>
  <c r="AP19" i="83"/>
  <c r="AO19" i="83"/>
  <c r="AN19" i="83"/>
  <c r="AM19" i="83"/>
  <c r="AL19" i="83"/>
  <c r="AK19" i="83"/>
  <c r="AJ19" i="83"/>
  <c r="BG18" i="83"/>
  <c r="BF18" i="83"/>
  <c r="BE18" i="83"/>
  <c r="BD18" i="83"/>
  <c r="BC18" i="83"/>
  <c r="BB18" i="83"/>
  <c r="BA18" i="83"/>
  <c r="AZ18" i="83"/>
  <c r="AY18" i="83"/>
  <c r="AX18" i="83"/>
  <c r="AW18" i="83"/>
  <c r="AV18" i="83"/>
  <c r="AU18" i="83"/>
  <c r="AT18" i="83"/>
  <c r="AS18" i="83"/>
  <c r="AR18" i="83"/>
  <c r="AQ18" i="83"/>
  <c r="AP18" i="83"/>
  <c r="AO18" i="83"/>
  <c r="AN18" i="83"/>
  <c r="AM18" i="83"/>
  <c r="AL18" i="83"/>
  <c r="AK18" i="83"/>
  <c r="AJ18" i="83"/>
  <c r="BG17" i="83"/>
  <c r="BF17" i="83"/>
  <c r="BE17" i="83"/>
  <c r="BD17" i="83"/>
  <c r="BC17" i="83"/>
  <c r="BB17" i="83"/>
  <c r="BA17" i="83"/>
  <c r="AZ17" i="83"/>
  <c r="AY17" i="83"/>
  <c r="AX17" i="83"/>
  <c r="AW17" i="83"/>
  <c r="AV17" i="83"/>
  <c r="AU17" i="83"/>
  <c r="AT17" i="83"/>
  <c r="AS17" i="83"/>
  <c r="AR17" i="83"/>
  <c r="AQ17" i="83"/>
  <c r="AP17" i="83"/>
  <c r="AO17" i="83"/>
  <c r="AN17" i="83"/>
  <c r="AM17" i="83"/>
  <c r="AL17" i="83"/>
  <c r="AK17" i="83"/>
  <c r="AJ17" i="83"/>
  <c r="BG16" i="83"/>
  <c r="BF16" i="83"/>
  <c r="BE16" i="83"/>
  <c r="BD16" i="83"/>
  <c r="BC16" i="83"/>
  <c r="BB16" i="83"/>
  <c r="BA16" i="83"/>
  <c r="AZ16" i="83"/>
  <c r="AY16" i="83"/>
  <c r="AX16" i="83"/>
  <c r="AW16" i="83"/>
  <c r="AV16" i="83"/>
  <c r="AU16" i="83"/>
  <c r="AT16" i="83"/>
  <c r="AS16" i="83"/>
  <c r="AR16" i="83"/>
  <c r="AQ16" i="83"/>
  <c r="AP16" i="83"/>
  <c r="AO16" i="83"/>
  <c r="AN16" i="83"/>
  <c r="AM16" i="83"/>
  <c r="AL16" i="83"/>
  <c r="AK16" i="83"/>
  <c r="AJ16" i="83"/>
  <c r="BG15" i="83"/>
  <c r="BF15" i="83"/>
  <c r="BE15" i="83"/>
  <c r="BD15" i="83"/>
  <c r="BC15" i="83"/>
  <c r="BB15" i="83"/>
  <c r="BA15" i="83"/>
  <c r="AZ15" i="83"/>
  <c r="AY15" i="83"/>
  <c r="AX15" i="83"/>
  <c r="AW15" i="83"/>
  <c r="AV15" i="83"/>
  <c r="AU15" i="83"/>
  <c r="AT15" i="83"/>
  <c r="AS15" i="83"/>
  <c r="AR15" i="83"/>
  <c r="AQ15" i="83"/>
  <c r="AP15" i="83"/>
  <c r="AO15" i="83"/>
  <c r="AN15" i="83"/>
  <c r="AM15" i="83"/>
  <c r="AL15" i="83"/>
  <c r="AK15" i="83"/>
  <c r="AJ15" i="83"/>
  <c r="BL14" i="83"/>
  <c r="BK14" i="83"/>
  <c r="BJ14" i="83"/>
  <c r="BI14" i="83"/>
  <c r="BH14" i="83"/>
  <c r="BG14" i="83"/>
  <c r="BF14" i="83"/>
  <c r="BE14" i="83"/>
  <c r="BD14" i="83"/>
  <c r="BC14" i="83"/>
  <c r="BB14" i="83"/>
  <c r="BA14" i="83"/>
  <c r="AZ14" i="83"/>
  <c r="AY14" i="83"/>
  <c r="AX14" i="83"/>
  <c r="AW14" i="83"/>
  <c r="AV14" i="83"/>
  <c r="AU14" i="83"/>
  <c r="AT14" i="83"/>
  <c r="AS14" i="83"/>
  <c r="AR14" i="83"/>
  <c r="AQ14" i="83"/>
  <c r="AP14" i="83"/>
  <c r="AO14" i="83"/>
  <c r="AN14" i="83"/>
  <c r="AM14" i="83"/>
  <c r="AL14" i="83"/>
  <c r="BL13" i="83"/>
  <c r="BK13" i="83"/>
  <c r="BJ13" i="83"/>
  <c r="BI13" i="83"/>
  <c r="BH13" i="83"/>
  <c r="BG13" i="83"/>
  <c r="BF13" i="83"/>
  <c r="BE13" i="83"/>
  <c r="BD13" i="83"/>
  <c r="BA13" i="83"/>
  <c r="AZ13" i="83"/>
  <c r="AY13" i="83"/>
  <c r="AX13" i="83"/>
  <c r="AW13" i="83"/>
  <c r="AV13" i="83"/>
  <c r="AU13" i="83"/>
  <c r="AT13" i="83"/>
  <c r="AS13" i="83"/>
  <c r="AR13" i="83"/>
  <c r="AQ13" i="83"/>
  <c r="AP13" i="83"/>
  <c r="AO13" i="83"/>
  <c r="AN13" i="83"/>
  <c r="AM13" i="83"/>
  <c r="AL13" i="83"/>
  <c r="BG44" i="84"/>
  <c r="BF44" i="84"/>
  <c r="BE44" i="84"/>
  <c r="BD44" i="84"/>
  <c r="BC44" i="84"/>
  <c r="BB44" i="84"/>
  <c r="BA44" i="84"/>
  <c r="AZ44" i="84"/>
  <c r="AY44" i="84"/>
  <c r="AX44" i="84"/>
  <c r="AW44" i="84"/>
  <c r="AV44" i="84"/>
  <c r="AU44" i="84"/>
  <c r="AT44" i="84"/>
  <c r="AS44" i="84"/>
  <c r="AR44" i="84"/>
  <c r="AQ44" i="84"/>
  <c r="AP44" i="84"/>
  <c r="AO44" i="84"/>
  <c r="AN44" i="84"/>
  <c r="AM44" i="84"/>
  <c r="AL44" i="84"/>
  <c r="AK44" i="84"/>
  <c r="AJ44" i="84"/>
  <c r="BG43" i="84"/>
  <c r="BF43" i="84"/>
  <c r="BE43" i="84"/>
  <c r="BD43" i="84"/>
  <c r="BC43" i="84"/>
  <c r="BB43" i="84"/>
  <c r="BA43" i="84"/>
  <c r="AZ43" i="84"/>
  <c r="AY43" i="84"/>
  <c r="AX43" i="84"/>
  <c r="AW43" i="84"/>
  <c r="AV43" i="84"/>
  <c r="AU43" i="84"/>
  <c r="AT43" i="84"/>
  <c r="AS43" i="84"/>
  <c r="AR43" i="84"/>
  <c r="AQ43" i="84"/>
  <c r="AP43" i="84"/>
  <c r="AO43" i="84"/>
  <c r="AN43" i="84"/>
  <c r="AM43" i="84"/>
  <c r="AL43" i="84"/>
  <c r="AK43" i="84"/>
  <c r="AJ43" i="84"/>
  <c r="BG42" i="84"/>
  <c r="BF42" i="84"/>
  <c r="BE42" i="84"/>
  <c r="BD42" i="84"/>
  <c r="BC42" i="84"/>
  <c r="BB42" i="84"/>
  <c r="BA42" i="84"/>
  <c r="AZ42" i="84"/>
  <c r="AY42" i="84"/>
  <c r="AX42" i="84"/>
  <c r="AW42" i="84"/>
  <c r="AV42" i="84"/>
  <c r="AU42" i="84"/>
  <c r="AT42" i="84"/>
  <c r="AS42" i="84"/>
  <c r="AR42" i="84"/>
  <c r="AQ42" i="84"/>
  <c r="AP42" i="84"/>
  <c r="AO42" i="84"/>
  <c r="AN42" i="84"/>
  <c r="AM42" i="84"/>
  <c r="AL42" i="84"/>
  <c r="AK42" i="84"/>
  <c r="AJ42" i="84"/>
  <c r="BG41" i="84"/>
  <c r="BF41" i="84"/>
  <c r="BE41" i="84"/>
  <c r="BD41" i="84"/>
  <c r="BC41" i="84"/>
  <c r="BB41" i="84"/>
  <c r="BA41" i="84"/>
  <c r="AZ41" i="84"/>
  <c r="AY41" i="84"/>
  <c r="AX41" i="84"/>
  <c r="AW41" i="84"/>
  <c r="AV41" i="84"/>
  <c r="AU41" i="84"/>
  <c r="AT41" i="84"/>
  <c r="AS41" i="84"/>
  <c r="AR41" i="84"/>
  <c r="AQ41" i="84"/>
  <c r="AP41" i="84"/>
  <c r="AO41" i="84"/>
  <c r="AN41" i="84"/>
  <c r="AM41" i="84"/>
  <c r="AL41" i="84"/>
  <c r="AK41" i="84"/>
  <c r="AJ41" i="84"/>
  <c r="BG40" i="84"/>
  <c r="BF40" i="84"/>
  <c r="BE40" i="84"/>
  <c r="BD40" i="84"/>
  <c r="BC40" i="84"/>
  <c r="BB40" i="84"/>
  <c r="BA40" i="84"/>
  <c r="AZ40" i="84"/>
  <c r="AY40" i="84"/>
  <c r="AX40" i="84"/>
  <c r="AW40" i="84"/>
  <c r="AV40" i="84"/>
  <c r="AU40" i="84"/>
  <c r="AT40" i="84"/>
  <c r="AS40" i="84"/>
  <c r="AR40" i="84"/>
  <c r="AQ40" i="84"/>
  <c r="AP40" i="84"/>
  <c r="AO40" i="84"/>
  <c r="AN40" i="84"/>
  <c r="AM40" i="84"/>
  <c r="AL40" i="84"/>
  <c r="AK40" i="84"/>
  <c r="AJ40" i="84"/>
  <c r="BG39" i="84"/>
  <c r="BF39" i="84"/>
  <c r="BE39" i="84"/>
  <c r="BD39" i="84"/>
  <c r="BC39" i="84"/>
  <c r="BB39" i="84"/>
  <c r="BA39" i="84"/>
  <c r="AZ39" i="84"/>
  <c r="AY39" i="84"/>
  <c r="AX39" i="84"/>
  <c r="AW39" i="84"/>
  <c r="AV39" i="84"/>
  <c r="AU39" i="84"/>
  <c r="AT39" i="84"/>
  <c r="AS39" i="84"/>
  <c r="AR39" i="84"/>
  <c r="AQ39" i="84"/>
  <c r="AP39" i="84"/>
  <c r="AO39" i="84"/>
  <c r="AN39" i="84"/>
  <c r="AM39" i="84"/>
  <c r="AL39" i="84"/>
  <c r="AK39" i="84"/>
  <c r="AJ39" i="84"/>
  <c r="BG38" i="84"/>
  <c r="BF38" i="84"/>
  <c r="BE38" i="84"/>
  <c r="BD38" i="84"/>
  <c r="BC38" i="84"/>
  <c r="BB38" i="84"/>
  <c r="BA38" i="84"/>
  <c r="AZ38" i="84"/>
  <c r="AY38" i="84"/>
  <c r="AX38" i="84"/>
  <c r="AW38" i="84"/>
  <c r="AV38" i="84"/>
  <c r="AU38" i="84"/>
  <c r="AT38" i="84"/>
  <c r="AS38" i="84"/>
  <c r="AR38" i="84"/>
  <c r="AQ38" i="84"/>
  <c r="AP38" i="84"/>
  <c r="AO38" i="84"/>
  <c r="AN38" i="84"/>
  <c r="AM38" i="84"/>
  <c r="AL38" i="84"/>
  <c r="AK38" i="84"/>
  <c r="AJ38" i="84"/>
  <c r="BG37" i="84"/>
  <c r="BF37" i="84"/>
  <c r="BE37" i="84"/>
  <c r="BD37" i="84"/>
  <c r="BC37" i="84"/>
  <c r="BB37" i="84"/>
  <c r="BA37" i="84"/>
  <c r="AZ37" i="84"/>
  <c r="AY37" i="84"/>
  <c r="AX37" i="84"/>
  <c r="AW37" i="84"/>
  <c r="AV37" i="84"/>
  <c r="AU37" i="84"/>
  <c r="AT37" i="84"/>
  <c r="AS37" i="84"/>
  <c r="AR37" i="84"/>
  <c r="AQ37" i="84"/>
  <c r="AP37" i="84"/>
  <c r="AO37" i="84"/>
  <c r="AN37" i="84"/>
  <c r="AM37" i="84"/>
  <c r="AL37" i="84"/>
  <c r="AK37" i="84"/>
  <c r="AJ37" i="84"/>
  <c r="BG36" i="84"/>
  <c r="BF36" i="84"/>
  <c r="BE36" i="84"/>
  <c r="BD36" i="84"/>
  <c r="BC36" i="84"/>
  <c r="BB36" i="84"/>
  <c r="BA36" i="84"/>
  <c r="AZ36" i="84"/>
  <c r="AY36" i="84"/>
  <c r="AX36" i="84"/>
  <c r="AW36" i="84"/>
  <c r="AV36" i="84"/>
  <c r="AU36" i="84"/>
  <c r="AT36" i="84"/>
  <c r="AS36" i="84"/>
  <c r="AR36" i="84"/>
  <c r="AQ36" i="84"/>
  <c r="AP36" i="84"/>
  <c r="AO36" i="84"/>
  <c r="AN36" i="84"/>
  <c r="AM36" i="84"/>
  <c r="AL36" i="84"/>
  <c r="AK36" i="84"/>
  <c r="AJ36" i="84"/>
  <c r="BG35" i="84"/>
  <c r="BF35" i="84"/>
  <c r="BE35" i="84"/>
  <c r="BD35" i="84"/>
  <c r="BC35" i="84"/>
  <c r="BB35" i="84"/>
  <c r="BA35" i="84"/>
  <c r="AZ35" i="84"/>
  <c r="AY35" i="84"/>
  <c r="AX35" i="84"/>
  <c r="AW35" i="84"/>
  <c r="AV35" i="84"/>
  <c r="AU35" i="84"/>
  <c r="AT35" i="84"/>
  <c r="AS35" i="84"/>
  <c r="AR35" i="84"/>
  <c r="AQ35" i="84"/>
  <c r="AP35" i="84"/>
  <c r="AO35" i="84"/>
  <c r="AN35" i="84"/>
  <c r="AM35" i="84"/>
  <c r="AL35" i="84"/>
  <c r="AK35" i="84"/>
  <c r="AJ35" i="84"/>
  <c r="BG34" i="84"/>
  <c r="BF34" i="84"/>
  <c r="BE34" i="84"/>
  <c r="BD34" i="84"/>
  <c r="BC34" i="84"/>
  <c r="BB34" i="84"/>
  <c r="BA34" i="84"/>
  <c r="AZ34" i="84"/>
  <c r="AY34" i="84"/>
  <c r="AX34" i="84"/>
  <c r="AW34" i="84"/>
  <c r="AV34" i="84"/>
  <c r="AU34" i="84"/>
  <c r="AT34" i="84"/>
  <c r="AS34" i="84"/>
  <c r="AR34" i="84"/>
  <c r="AQ34" i="84"/>
  <c r="AP34" i="84"/>
  <c r="AO34" i="84"/>
  <c r="AN34" i="84"/>
  <c r="AM34" i="84"/>
  <c r="AL34" i="84"/>
  <c r="AK34" i="84"/>
  <c r="AJ34" i="84"/>
  <c r="BG33" i="84"/>
  <c r="BF33" i="84"/>
  <c r="BE33" i="84"/>
  <c r="BD33" i="84"/>
  <c r="BC33" i="84"/>
  <c r="BB33" i="84"/>
  <c r="BA33" i="84"/>
  <c r="AZ33" i="84"/>
  <c r="AY33" i="84"/>
  <c r="AX33" i="84"/>
  <c r="AW33" i="84"/>
  <c r="AV33" i="84"/>
  <c r="AU33" i="84"/>
  <c r="AT33" i="84"/>
  <c r="AS33" i="84"/>
  <c r="AR33" i="84"/>
  <c r="AQ33" i="84"/>
  <c r="AP33" i="84"/>
  <c r="AO33" i="84"/>
  <c r="AN33" i="84"/>
  <c r="AM33" i="84"/>
  <c r="AL33" i="84"/>
  <c r="AK33" i="84"/>
  <c r="AJ33" i="84"/>
  <c r="BG32" i="84"/>
  <c r="BF32" i="84"/>
  <c r="BE32" i="84"/>
  <c r="BD32" i="84"/>
  <c r="BC32" i="84"/>
  <c r="BB32" i="84"/>
  <c r="BA32" i="84"/>
  <c r="AZ32" i="84"/>
  <c r="AY32" i="84"/>
  <c r="AX32" i="84"/>
  <c r="AW32" i="84"/>
  <c r="AV32" i="84"/>
  <c r="AU32" i="84"/>
  <c r="AT32" i="84"/>
  <c r="AS32" i="84"/>
  <c r="AR32" i="84"/>
  <c r="AQ32" i="84"/>
  <c r="AP32" i="84"/>
  <c r="AO32" i="84"/>
  <c r="AN32" i="84"/>
  <c r="AM32" i="84"/>
  <c r="AL32" i="84"/>
  <c r="AK32" i="84"/>
  <c r="AJ32" i="84"/>
  <c r="BG31" i="84"/>
  <c r="BF31" i="84"/>
  <c r="BE31" i="84"/>
  <c r="BD31" i="84"/>
  <c r="BC31" i="84"/>
  <c r="BB31" i="84"/>
  <c r="BA31" i="84"/>
  <c r="AZ31" i="84"/>
  <c r="AY31" i="84"/>
  <c r="AX31" i="84"/>
  <c r="AW31" i="84"/>
  <c r="AV31" i="84"/>
  <c r="AU31" i="84"/>
  <c r="AT31" i="84"/>
  <c r="AS31" i="84"/>
  <c r="AR31" i="84"/>
  <c r="AQ31" i="84"/>
  <c r="AP31" i="84"/>
  <c r="AO31" i="84"/>
  <c r="AN31" i="84"/>
  <c r="AM31" i="84"/>
  <c r="AL31" i="84"/>
  <c r="AK31" i="84"/>
  <c r="AJ31" i="84"/>
  <c r="BG30" i="84"/>
  <c r="BF30" i="84"/>
  <c r="BE30" i="84"/>
  <c r="BD30" i="84"/>
  <c r="BC30" i="84"/>
  <c r="BB30" i="84"/>
  <c r="BA30" i="84"/>
  <c r="AZ30" i="84"/>
  <c r="AY30" i="84"/>
  <c r="AX30" i="84"/>
  <c r="AW30" i="84"/>
  <c r="AV30" i="84"/>
  <c r="AU30" i="84"/>
  <c r="AT30" i="84"/>
  <c r="AS30" i="84"/>
  <c r="AR30" i="84"/>
  <c r="AQ30" i="84"/>
  <c r="AP30" i="84"/>
  <c r="AO30" i="84"/>
  <c r="AN30" i="84"/>
  <c r="AM30" i="84"/>
  <c r="AL30" i="84"/>
  <c r="AK30" i="84"/>
  <c r="AJ30" i="84"/>
  <c r="BG29" i="84"/>
  <c r="BF29" i="84"/>
  <c r="BE29" i="84"/>
  <c r="BD29" i="84"/>
  <c r="BC29" i="84"/>
  <c r="BB29" i="84"/>
  <c r="BA29" i="84"/>
  <c r="AZ29" i="84"/>
  <c r="AY29" i="84"/>
  <c r="AX29" i="84"/>
  <c r="AW29" i="84"/>
  <c r="AV29" i="84"/>
  <c r="AU29" i="84"/>
  <c r="AT29" i="84"/>
  <c r="AS29" i="84"/>
  <c r="AR29" i="84"/>
  <c r="AQ29" i="84"/>
  <c r="AP29" i="84"/>
  <c r="AO29" i="84"/>
  <c r="AN29" i="84"/>
  <c r="AM29" i="84"/>
  <c r="AL29" i="84"/>
  <c r="AK29" i="84"/>
  <c r="AJ29" i="84"/>
  <c r="BG28" i="84"/>
  <c r="BF28" i="84"/>
  <c r="BE28" i="84"/>
  <c r="BD28" i="84"/>
  <c r="BC28" i="84"/>
  <c r="BB28" i="84"/>
  <c r="BA28" i="84"/>
  <c r="AZ28" i="84"/>
  <c r="AY28" i="84"/>
  <c r="AX28" i="84"/>
  <c r="AW28" i="84"/>
  <c r="AV28" i="84"/>
  <c r="AU28" i="84"/>
  <c r="AT28" i="84"/>
  <c r="AS28" i="84"/>
  <c r="AR28" i="84"/>
  <c r="AQ28" i="84"/>
  <c r="AP28" i="84"/>
  <c r="AO28" i="84"/>
  <c r="AN28" i="84"/>
  <c r="AM28" i="84"/>
  <c r="AL28" i="84"/>
  <c r="AK28" i="84"/>
  <c r="AJ28" i="84"/>
  <c r="BG27" i="84"/>
  <c r="BF27" i="84"/>
  <c r="BE27" i="84"/>
  <c r="BD27" i="84"/>
  <c r="BC27" i="84"/>
  <c r="BB27" i="84"/>
  <c r="BA27" i="84"/>
  <c r="AZ27" i="84"/>
  <c r="AY27" i="84"/>
  <c r="AX27" i="84"/>
  <c r="AW27" i="84"/>
  <c r="AV27" i="84"/>
  <c r="AU27" i="84"/>
  <c r="AT27" i="84"/>
  <c r="AS27" i="84"/>
  <c r="AR27" i="84"/>
  <c r="AQ27" i="84"/>
  <c r="AP27" i="84"/>
  <c r="AO27" i="84"/>
  <c r="AN27" i="84"/>
  <c r="AM27" i="84"/>
  <c r="AL27" i="84"/>
  <c r="AK27" i="84"/>
  <c r="AJ27" i="84"/>
  <c r="BG26" i="84"/>
  <c r="BF26" i="84"/>
  <c r="BE26" i="84"/>
  <c r="BD26" i="84"/>
  <c r="BC26" i="84"/>
  <c r="BB26" i="84"/>
  <c r="BA26" i="84"/>
  <c r="AZ26" i="84"/>
  <c r="AY26" i="84"/>
  <c r="AX26" i="84"/>
  <c r="AW26" i="84"/>
  <c r="AV26" i="84"/>
  <c r="AU26" i="84"/>
  <c r="AT26" i="84"/>
  <c r="AS26" i="84"/>
  <c r="AR26" i="84"/>
  <c r="AQ26" i="84"/>
  <c r="AP26" i="84"/>
  <c r="AO26" i="84"/>
  <c r="AN26" i="84"/>
  <c r="AM26" i="84"/>
  <c r="AL26" i="84"/>
  <c r="AK26" i="84"/>
  <c r="AJ26" i="84"/>
  <c r="BG25" i="84"/>
  <c r="BF25" i="84"/>
  <c r="BE25" i="84"/>
  <c r="BD25" i="84"/>
  <c r="BC25" i="84"/>
  <c r="BB25" i="84"/>
  <c r="BA25" i="84"/>
  <c r="AZ25" i="84"/>
  <c r="AY25" i="84"/>
  <c r="AX25" i="84"/>
  <c r="AW25" i="84"/>
  <c r="AV25" i="84"/>
  <c r="AU25" i="84"/>
  <c r="AT25" i="84"/>
  <c r="AS25" i="84"/>
  <c r="AR25" i="84"/>
  <c r="AQ25" i="84"/>
  <c r="AP25" i="84"/>
  <c r="AO25" i="84"/>
  <c r="AN25" i="84"/>
  <c r="AM25" i="84"/>
  <c r="AL25" i="84"/>
  <c r="AK25" i="84"/>
  <c r="AJ25" i="84"/>
  <c r="BG24" i="84"/>
  <c r="BF24" i="84"/>
  <c r="BE24" i="84"/>
  <c r="BD24" i="84"/>
  <c r="BC24" i="84"/>
  <c r="BB24" i="84"/>
  <c r="BA24" i="84"/>
  <c r="AZ24" i="84"/>
  <c r="AY24" i="84"/>
  <c r="AX24" i="84"/>
  <c r="AW24" i="84"/>
  <c r="AV24" i="84"/>
  <c r="AU24" i="84"/>
  <c r="AT24" i="84"/>
  <c r="AS24" i="84"/>
  <c r="AR24" i="84"/>
  <c r="AQ24" i="84"/>
  <c r="AP24" i="84"/>
  <c r="AO24" i="84"/>
  <c r="AN24" i="84"/>
  <c r="AM24" i="84"/>
  <c r="AL24" i="84"/>
  <c r="AK24" i="84"/>
  <c r="AJ24" i="84"/>
  <c r="BG23" i="84"/>
  <c r="BF23" i="84"/>
  <c r="BE23" i="84"/>
  <c r="BD23" i="84"/>
  <c r="BC23" i="84"/>
  <c r="BB23" i="84"/>
  <c r="BA23" i="84"/>
  <c r="AZ23" i="84"/>
  <c r="AY23" i="84"/>
  <c r="AX23" i="84"/>
  <c r="AW23" i="84"/>
  <c r="AV23" i="84"/>
  <c r="AU23" i="84"/>
  <c r="AT23" i="84"/>
  <c r="AS23" i="84"/>
  <c r="AR23" i="84"/>
  <c r="AQ23" i="84"/>
  <c r="AP23" i="84"/>
  <c r="AO23" i="84"/>
  <c r="AN23" i="84"/>
  <c r="AM23" i="84"/>
  <c r="AL23" i="84"/>
  <c r="AK23" i="84"/>
  <c r="AJ23" i="84"/>
  <c r="BG22" i="84"/>
  <c r="BF22" i="84"/>
  <c r="BE22" i="84"/>
  <c r="BD22" i="84"/>
  <c r="BC22" i="84"/>
  <c r="BB22" i="84"/>
  <c r="BA22" i="84"/>
  <c r="AZ22" i="84"/>
  <c r="AY22" i="84"/>
  <c r="AX22" i="84"/>
  <c r="AW22" i="84"/>
  <c r="AV22" i="84"/>
  <c r="AU22" i="84"/>
  <c r="AT22" i="84"/>
  <c r="AS22" i="84"/>
  <c r="AR22" i="84"/>
  <c r="AQ22" i="84"/>
  <c r="AP22" i="84"/>
  <c r="AO22" i="84"/>
  <c r="AN22" i="84"/>
  <c r="AM22" i="84"/>
  <c r="AL22" i="84"/>
  <c r="AK22" i="84"/>
  <c r="AJ22" i="84"/>
  <c r="BG21" i="84"/>
  <c r="BF21" i="84"/>
  <c r="BE21" i="84"/>
  <c r="BD21" i="84"/>
  <c r="BC21" i="84"/>
  <c r="BB21" i="84"/>
  <c r="BA21" i="84"/>
  <c r="AZ21" i="84"/>
  <c r="AY21" i="84"/>
  <c r="AX21" i="84"/>
  <c r="AW21" i="84"/>
  <c r="AV21" i="84"/>
  <c r="AU21" i="84"/>
  <c r="AT21" i="84"/>
  <c r="AS21" i="84"/>
  <c r="AR21" i="84"/>
  <c r="AQ21" i="84"/>
  <c r="AP21" i="84"/>
  <c r="AO21" i="84"/>
  <c r="AN21" i="84"/>
  <c r="AM21" i="84"/>
  <c r="AL21" i="84"/>
  <c r="AK21" i="84"/>
  <c r="AJ21" i="84"/>
  <c r="BG20" i="84"/>
  <c r="BF20" i="84"/>
  <c r="BE20" i="84"/>
  <c r="BD20" i="84"/>
  <c r="BC20" i="84"/>
  <c r="BB20" i="84"/>
  <c r="BA20" i="84"/>
  <c r="AZ20" i="84"/>
  <c r="AY20" i="84"/>
  <c r="AX20" i="84"/>
  <c r="AW20" i="84"/>
  <c r="AV20" i="84"/>
  <c r="AU20" i="84"/>
  <c r="AT20" i="84"/>
  <c r="AS20" i="84"/>
  <c r="AR20" i="84"/>
  <c r="AQ20" i="84"/>
  <c r="AP20" i="84"/>
  <c r="AO20" i="84"/>
  <c r="AN20" i="84"/>
  <c r="AM20" i="84"/>
  <c r="AL20" i="84"/>
  <c r="AK20" i="84"/>
  <c r="AJ20" i="84"/>
  <c r="BG19" i="84"/>
  <c r="BF19" i="84"/>
  <c r="BE19" i="84"/>
  <c r="BD19" i="84"/>
  <c r="BC19" i="84"/>
  <c r="BB19" i="84"/>
  <c r="BA19" i="84"/>
  <c r="AZ19" i="84"/>
  <c r="AY19" i="84"/>
  <c r="AX19" i="84"/>
  <c r="AW19" i="84"/>
  <c r="AV19" i="84"/>
  <c r="AU19" i="84"/>
  <c r="AT19" i="84"/>
  <c r="AS19" i="84"/>
  <c r="AR19" i="84"/>
  <c r="AQ19" i="84"/>
  <c r="AP19" i="84"/>
  <c r="AO19" i="84"/>
  <c r="AN19" i="84"/>
  <c r="AM19" i="84"/>
  <c r="AL19" i="84"/>
  <c r="AK19" i="84"/>
  <c r="AJ19" i="84"/>
  <c r="BG18" i="84"/>
  <c r="BF18" i="84"/>
  <c r="BE18" i="84"/>
  <c r="BD18" i="84"/>
  <c r="BC18" i="84"/>
  <c r="BB18" i="84"/>
  <c r="BA18" i="84"/>
  <c r="AZ18" i="84"/>
  <c r="AY18" i="84"/>
  <c r="AX18" i="84"/>
  <c r="AW18" i="84"/>
  <c r="AV18" i="84"/>
  <c r="AU18" i="84"/>
  <c r="AT18" i="84"/>
  <c r="AS18" i="84"/>
  <c r="AR18" i="84"/>
  <c r="AQ18" i="84"/>
  <c r="AP18" i="84"/>
  <c r="AO18" i="84"/>
  <c r="AN18" i="84"/>
  <c r="AM18" i="84"/>
  <c r="AL18" i="84"/>
  <c r="AK18" i="84"/>
  <c r="AJ18" i="84"/>
  <c r="BG17" i="84"/>
  <c r="BF17" i="84"/>
  <c r="BE17" i="84"/>
  <c r="BD17" i="84"/>
  <c r="BC17" i="84"/>
  <c r="BB17" i="84"/>
  <c r="BA17" i="84"/>
  <c r="AZ17" i="84"/>
  <c r="AY17" i="84"/>
  <c r="AX17" i="84"/>
  <c r="AW17" i="84"/>
  <c r="AV17" i="84"/>
  <c r="AU17" i="84"/>
  <c r="AT17" i="84"/>
  <c r="AS17" i="84"/>
  <c r="AR17" i="84"/>
  <c r="AQ17" i="84"/>
  <c r="AP17" i="84"/>
  <c r="AO17" i="84"/>
  <c r="AN17" i="84"/>
  <c r="AM17" i="84"/>
  <c r="AL17" i="84"/>
  <c r="AK17" i="84"/>
  <c r="AJ17" i="84"/>
  <c r="BG16" i="84"/>
  <c r="BF16" i="84"/>
  <c r="BE16" i="84"/>
  <c r="BD16" i="84"/>
  <c r="BC16" i="84"/>
  <c r="BB16" i="84"/>
  <c r="BA16" i="84"/>
  <c r="AZ16" i="84"/>
  <c r="AY16" i="84"/>
  <c r="AX16" i="84"/>
  <c r="AW16" i="84"/>
  <c r="AV16" i="84"/>
  <c r="AU16" i="84"/>
  <c r="AT16" i="84"/>
  <c r="AS16" i="84"/>
  <c r="AR16" i="84"/>
  <c r="AQ16" i="84"/>
  <c r="AP16" i="84"/>
  <c r="AO16" i="84"/>
  <c r="AN16" i="84"/>
  <c r="AM16" i="84"/>
  <c r="AL16" i="84"/>
  <c r="AK16" i="84"/>
  <c r="AJ16" i="84"/>
  <c r="BG15" i="84"/>
  <c r="BF15" i="84"/>
  <c r="BE15" i="84"/>
  <c r="BD15" i="84"/>
  <c r="BC15" i="84"/>
  <c r="BB15" i="84"/>
  <c r="BA15" i="84"/>
  <c r="AZ15" i="84"/>
  <c r="AY15" i="84"/>
  <c r="AX15" i="84"/>
  <c r="AW15" i="84"/>
  <c r="AV15" i="84"/>
  <c r="AU15" i="84"/>
  <c r="AT15" i="84"/>
  <c r="AS15" i="84"/>
  <c r="AR15" i="84"/>
  <c r="AQ15" i="84"/>
  <c r="AP15" i="84"/>
  <c r="AO15" i="84"/>
  <c r="AN15" i="84"/>
  <c r="AM15" i="84"/>
  <c r="AL15" i="84"/>
  <c r="AK15" i="84"/>
  <c r="AJ15" i="84"/>
  <c r="BL14" i="84"/>
  <c r="BK14" i="84"/>
  <c r="BJ14" i="84"/>
  <c r="BI14" i="84"/>
  <c r="BH14" i="84"/>
  <c r="BG14" i="84"/>
  <c r="BF14" i="84"/>
  <c r="BE14" i="84"/>
  <c r="BD14" i="84"/>
  <c r="BC14" i="84"/>
  <c r="BB14" i="84"/>
  <c r="BA14" i="84"/>
  <c r="AZ14" i="84"/>
  <c r="AY14" i="84"/>
  <c r="AX14" i="84"/>
  <c r="AW14" i="84"/>
  <c r="AV14" i="84"/>
  <c r="AU14" i="84"/>
  <c r="AT14" i="84"/>
  <c r="AS14" i="84"/>
  <c r="AR14" i="84"/>
  <c r="AQ14" i="84"/>
  <c r="AP14" i="84"/>
  <c r="AO14" i="84"/>
  <c r="AN14" i="84"/>
  <c r="AM14" i="84"/>
  <c r="AL14" i="84"/>
  <c r="BL13" i="84"/>
  <c r="BK13" i="84"/>
  <c r="BJ13" i="84"/>
  <c r="BI13" i="84"/>
  <c r="BH13" i="84"/>
  <c r="BG13" i="84"/>
  <c r="BF13" i="84"/>
  <c r="BE13" i="84"/>
  <c r="BD13" i="84"/>
  <c r="BA13" i="84"/>
  <c r="AZ13" i="84"/>
  <c r="AY13" i="84"/>
  <c r="AX13" i="84"/>
  <c r="AW13" i="84"/>
  <c r="AV13" i="84"/>
  <c r="AU13" i="84"/>
  <c r="AT13" i="84"/>
  <c r="AS13" i="84"/>
  <c r="AR13" i="84"/>
  <c r="AQ13" i="84"/>
  <c r="AP13" i="84"/>
  <c r="AO13" i="84"/>
  <c r="AN13" i="84"/>
  <c r="AM13" i="84"/>
  <c r="AL13" i="84"/>
  <c r="BG44" i="85"/>
  <c r="BF44" i="85"/>
  <c r="BE44" i="85"/>
  <c r="BD44" i="85"/>
  <c r="BC44" i="85"/>
  <c r="BB44" i="85"/>
  <c r="BA44" i="85"/>
  <c r="AZ44" i="85"/>
  <c r="AY44" i="85"/>
  <c r="AX44" i="85"/>
  <c r="AW44" i="85"/>
  <c r="AV44" i="85"/>
  <c r="AU44" i="85"/>
  <c r="AT44" i="85"/>
  <c r="AS44" i="85"/>
  <c r="AR44" i="85"/>
  <c r="AQ44" i="85"/>
  <c r="AP44" i="85"/>
  <c r="AO44" i="85"/>
  <c r="AN44" i="85"/>
  <c r="AM44" i="85"/>
  <c r="AL44" i="85"/>
  <c r="AK44" i="85"/>
  <c r="AJ44" i="85"/>
  <c r="BG43" i="85"/>
  <c r="BF43" i="85"/>
  <c r="BE43" i="85"/>
  <c r="BD43" i="85"/>
  <c r="BC43" i="85"/>
  <c r="BB43" i="85"/>
  <c r="BA43" i="85"/>
  <c r="AZ43" i="85"/>
  <c r="AY43" i="85"/>
  <c r="AX43" i="85"/>
  <c r="AW43" i="85"/>
  <c r="AV43" i="85"/>
  <c r="AU43" i="85"/>
  <c r="AT43" i="85"/>
  <c r="AS43" i="85"/>
  <c r="AR43" i="85"/>
  <c r="AQ43" i="85"/>
  <c r="AP43" i="85"/>
  <c r="AO43" i="85"/>
  <c r="AN43" i="85"/>
  <c r="AM43" i="85"/>
  <c r="AL43" i="85"/>
  <c r="AK43" i="85"/>
  <c r="AJ43" i="85"/>
  <c r="BG42" i="85"/>
  <c r="BF42" i="85"/>
  <c r="BE42" i="85"/>
  <c r="BD42" i="85"/>
  <c r="BC42" i="85"/>
  <c r="BB42" i="85"/>
  <c r="BA42" i="85"/>
  <c r="AZ42" i="85"/>
  <c r="AY42" i="85"/>
  <c r="AX42" i="85"/>
  <c r="AW42" i="85"/>
  <c r="AV42" i="85"/>
  <c r="AU42" i="85"/>
  <c r="AT42" i="85"/>
  <c r="AS42" i="85"/>
  <c r="AR42" i="85"/>
  <c r="AQ42" i="85"/>
  <c r="AP42" i="85"/>
  <c r="AO42" i="85"/>
  <c r="AN42" i="85"/>
  <c r="AM42" i="85"/>
  <c r="AL42" i="85"/>
  <c r="AK42" i="85"/>
  <c r="AJ42" i="85"/>
  <c r="BG41" i="85"/>
  <c r="BF41" i="85"/>
  <c r="BE41" i="85"/>
  <c r="BD41" i="85"/>
  <c r="BC41" i="85"/>
  <c r="BB41" i="85"/>
  <c r="BA41" i="85"/>
  <c r="AZ41" i="85"/>
  <c r="AY41" i="85"/>
  <c r="AX41" i="85"/>
  <c r="AW41" i="85"/>
  <c r="AV41" i="85"/>
  <c r="AU41" i="85"/>
  <c r="AT41" i="85"/>
  <c r="AS41" i="85"/>
  <c r="AR41" i="85"/>
  <c r="AQ41" i="85"/>
  <c r="AP41" i="85"/>
  <c r="AO41" i="85"/>
  <c r="AN41" i="85"/>
  <c r="AM41" i="85"/>
  <c r="AL41" i="85"/>
  <c r="AK41" i="85"/>
  <c r="AJ41" i="85"/>
  <c r="BG40" i="85"/>
  <c r="BF40" i="85"/>
  <c r="BE40" i="85"/>
  <c r="BD40" i="85"/>
  <c r="BC40" i="85"/>
  <c r="BB40" i="85"/>
  <c r="BA40" i="85"/>
  <c r="AZ40" i="85"/>
  <c r="AY40" i="85"/>
  <c r="AX40" i="85"/>
  <c r="AW40" i="85"/>
  <c r="AV40" i="85"/>
  <c r="AU40" i="85"/>
  <c r="AT40" i="85"/>
  <c r="AS40" i="85"/>
  <c r="AR40" i="85"/>
  <c r="AQ40" i="85"/>
  <c r="AP40" i="85"/>
  <c r="AO40" i="85"/>
  <c r="AN40" i="85"/>
  <c r="AM40" i="85"/>
  <c r="AL40" i="85"/>
  <c r="AK40" i="85"/>
  <c r="AJ40" i="85"/>
  <c r="BG39" i="85"/>
  <c r="BF39" i="85"/>
  <c r="BE39" i="85"/>
  <c r="BD39" i="85"/>
  <c r="BC39" i="85"/>
  <c r="BB39" i="85"/>
  <c r="BA39" i="85"/>
  <c r="AZ39" i="85"/>
  <c r="AY39" i="85"/>
  <c r="AX39" i="85"/>
  <c r="AW39" i="85"/>
  <c r="AV39" i="85"/>
  <c r="AU39" i="85"/>
  <c r="AT39" i="85"/>
  <c r="AS39" i="85"/>
  <c r="AR39" i="85"/>
  <c r="AQ39" i="85"/>
  <c r="AP39" i="85"/>
  <c r="AO39" i="85"/>
  <c r="AN39" i="85"/>
  <c r="AM39" i="85"/>
  <c r="AL39" i="85"/>
  <c r="AK39" i="85"/>
  <c r="AJ39" i="85"/>
  <c r="BG38" i="85"/>
  <c r="BF38" i="85"/>
  <c r="BE38" i="85"/>
  <c r="BD38" i="85"/>
  <c r="BC38" i="85"/>
  <c r="BB38" i="85"/>
  <c r="BA38" i="85"/>
  <c r="AZ38" i="85"/>
  <c r="AY38" i="85"/>
  <c r="AX38" i="85"/>
  <c r="AW38" i="85"/>
  <c r="AV38" i="85"/>
  <c r="AU38" i="85"/>
  <c r="AT38" i="85"/>
  <c r="AS38" i="85"/>
  <c r="AR38" i="85"/>
  <c r="AQ38" i="85"/>
  <c r="AP38" i="85"/>
  <c r="AO38" i="85"/>
  <c r="AN38" i="85"/>
  <c r="AM38" i="85"/>
  <c r="AL38" i="85"/>
  <c r="AK38" i="85"/>
  <c r="AJ38" i="85"/>
  <c r="BG37" i="85"/>
  <c r="BF37" i="85"/>
  <c r="BE37" i="85"/>
  <c r="BD37" i="85"/>
  <c r="BC37" i="85"/>
  <c r="BB37" i="85"/>
  <c r="BA37" i="85"/>
  <c r="AZ37" i="85"/>
  <c r="AY37" i="85"/>
  <c r="AX37" i="85"/>
  <c r="AW37" i="85"/>
  <c r="AV37" i="85"/>
  <c r="AU37" i="85"/>
  <c r="AT37" i="85"/>
  <c r="AS37" i="85"/>
  <c r="AR37" i="85"/>
  <c r="AQ37" i="85"/>
  <c r="AP37" i="85"/>
  <c r="AO37" i="85"/>
  <c r="AN37" i="85"/>
  <c r="AM37" i="85"/>
  <c r="AL37" i="85"/>
  <c r="AK37" i="85"/>
  <c r="AJ37" i="85"/>
  <c r="BG36" i="85"/>
  <c r="BF36" i="85"/>
  <c r="BE36" i="85"/>
  <c r="BD36" i="85"/>
  <c r="BC36" i="85"/>
  <c r="BB36" i="85"/>
  <c r="BA36" i="85"/>
  <c r="AZ36" i="85"/>
  <c r="AY36" i="85"/>
  <c r="AX36" i="85"/>
  <c r="AW36" i="85"/>
  <c r="AV36" i="85"/>
  <c r="AU36" i="85"/>
  <c r="AT36" i="85"/>
  <c r="AS36" i="85"/>
  <c r="AR36" i="85"/>
  <c r="AQ36" i="85"/>
  <c r="AP36" i="85"/>
  <c r="AO36" i="85"/>
  <c r="AN36" i="85"/>
  <c r="AM36" i="85"/>
  <c r="AL36" i="85"/>
  <c r="AK36" i="85"/>
  <c r="AJ36" i="85"/>
  <c r="BG35" i="85"/>
  <c r="BF35" i="85"/>
  <c r="BE35" i="85"/>
  <c r="BD35" i="85"/>
  <c r="BC35" i="85"/>
  <c r="BB35" i="85"/>
  <c r="BA35" i="85"/>
  <c r="AZ35" i="85"/>
  <c r="AY35" i="85"/>
  <c r="AX35" i="85"/>
  <c r="AW35" i="85"/>
  <c r="AV35" i="85"/>
  <c r="AU35" i="85"/>
  <c r="AT35" i="85"/>
  <c r="AS35" i="85"/>
  <c r="AR35" i="85"/>
  <c r="AQ35" i="85"/>
  <c r="AP35" i="85"/>
  <c r="AO35" i="85"/>
  <c r="AN35" i="85"/>
  <c r="AM35" i="85"/>
  <c r="AL35" i="85"/>
  <c r="AK35" i="85"/>
  <c r="AJ35" i="85"/>
  <c r="BG34" i="85"/>
  <c r="BF34" i="85"/>
  <c r="BE34" i="85"/>
  <c r="BD34" i="85"/>
  <c r="BC34" i="85"/>
  <c r="BB34" i="85"/>
  <c r="BA34" i="85"/>
  <c r="AZ34" i="85"/>
  <c r="AY34" i="85"/>
  <c r="AX34" i="85"/>
  <c r="AW34" i="85"/>
  <c r="AV34" i="85"/>
  <c r="AU34" i="85"/>
  <c r="AT34" i="85"/>
  <c r="AS34" i="85"/>
  <c r="AR34" i="85"/>
  <c r="AQ34" i="85"/>
  <c r="AP34" i="85"/>
  <c r="AO34" i="85"/>
  <c r="AN34" i="85"/>
  <c r="AM34" i="85"/>
  <c r="AL34" i="85"/>
  <c r="AK34" i="85"/>
  <c r="AJ34" i="85"/>
  <c r="BG33" i="85"/>
  <c r="BF33" i="85"/>
  <c r="BE33" i="85"/>
  <c r="BD33" i="85"/>
  <c r="BC33" i="85"/>
  <c r="BB33" i="85"/>
  <c r="BA33" i="85"/>
  <c r="AZ33" i="85"/>
  <c r="AY33" i="85"/>
  <c r="AX33" i="85"/>
  <c r="AW33" i="85"/>
  <c r="AV33" i="85"/>
  <c r="AU33" i="85"/>
  <c r="AT33" i="85"/>
  <c r="AS33" i="85"/>
  <c r="AR33" i="85"/>
  <c r="AQ33" i="85"/>
  <c r="AP33" i="85"/>
  <c r="AO33" i="85"/>
  <c r="AN33" i="85"/>
  <c r="AM33" i="85"/>
  <c r="AL33" i="85"/>
  <c r="AK33" i="85"/>
  <c r="AJ33" i="85"/>
  <c r="BG32" i="85"/>
  <c r="BF32" i="85"/>
  <c r="BE32" i="85"/>
  <c r="BD32" i="85"/>
  <c r="BC32" i="85"/>
  <c r="BB32" i="85"/>
  <c r="BA32" i="85"/>
  <c r="AZ32" i="85"/>
  <c r="AY32" i="85"/>
  <c r="AX32" i="85"/>
  <c r="AW32" i="85"/>
  <c r="AV32" i="85"/>
  <c r="AU32" i="85"/>
  <c r="AT32" i="85"/>
  <c r="AS32" i="85"/>
  <c r="AR32" i="85"/>
  <c r="AQ32" i="85"/>
  <c r="AP32" i="85"/>
  <c r="AO32" i="85"/>
  <c r="AN32" i="85"/>
  <c r="AM32" i="85"/>
  <c r="AL32" i="85"/>
  <c r="AK32" i="85"/>
  <c r="AJ32" i="85"/>
  <c r="BG31" i="85"/>
  <c r="BF31" i="85"/>
  <c r="BE31" i="85"/>
  <c r="BD31" i="85"/>
  <c r="BC31" i="85"/>
  <c r="BB31" i="85"/>
  <c r="BA31" i="85"/>
  <c r="AZ31" i="85"/>
  <c r="AY31" i="85"/>
  <c r="AX31" i="85"/>
  <c r="AW31" i="85"/>
  <c r="AV31" i="85"/>
  <c r="AU31" i="85"/>
  <c r="AT31" i="85"/>
  <c r="AS31" i="85"/>
  <c r="AR31" i="85"/>
  <c r="AQ31" i="85"/>
  <c r="AP31" i="85"/>
  <c r="AO31" i="85"/>
  <c r="AN31" i="85"/>
  <c r="AM31" i="85"/>
  <c r="AL31" i="85"/>
  <c r="AK31" i="85"/>
  <c r="AJ31" i="85"/>
  <c r="BG30" i="85"/>
  <c r="BF30" i="85"/>
  <c r="BE30" i="85"/>
  <c r="BD30" i="85"/>
  <c r="BC30" i="85"/>
  <c r="BB30" i="85"/>
  <c r="BA30" i="85"/>
  <c r="AZ30" i="85"/>
  <c r="AY30" i="85"/>
  <c r="AX30" i="85"/>
  <c r="AW30" i="85"/>
  <c r="AV30" i="85"/>
  <c r="AU30" i="85"/>
  <c r="AT30" i="85"/>
  <c r="AS30" i="85"/>
  <c r="AR30" i="85"/>
  <c r="AQ30" i="85"/>
  <c r="AP30" i="85"/>
  <c r="AO30" i="85"/>
  <c r="AN30" i="85"/>
  <c r="AM30" i="85"/>
  <c r="AL30" i="85"/>
  <c r="AK30" i="85"/>
  <c r="AJ30" i="85"/>
  <c r="BG29" i="85"/>
  <c r="BF29" i="85"/>
  <c r="BE29" i="85"/>
  <c r="BD29" i="85"/>
  <c r="BC29" i="85"/>
  <c r="BB29" i="85"/>
  <c r="BA29" i="85"/>
  <c r="AZ29" i="85"/>
  <c r="AY29" i="85"/>
  <c r="AX29" i="85"/>
  <c r="AW29" i="85"/>
  <c r="AV29" i="85"/>
  <c r="AU29" i="85"/>
  <c r="AT29" i="85"/>
  <c r="AS29" i="85"/>
  <c r="AR29" i="85"/>
  <c r="AQ29" i="85"/>
  <c r="AP29" i="85"/>
  <c r="AO29" i="85"/>
  <c r="AN29" i="85"/>
  <c r="AM29" i="85"/>
  <c r="AL29" i="85"/>
  <c r="AK29" i="85"/>
  <c r="AJ29" i="85"/>
  <c r="BG28" i="85"/>
  <c r="BF28" i="85"/>
  <c r="BE28" i="85"/>
  <c r="BD28" i="85"/>
  <c r="BC28" i="85"/>
  <c r="BB28" i="85"/>
  <c r="BA28" i="85"/>
  <c r="AZ28" i="85"/>
  <c r="AY28" i="85"/>
  <c r="AX28" i="85"/>
  <c r="AW28" i="85"/>
  <c r="AV28" i="85"/>
  <c r="AU28" i="85"/>
  <c r="AT28" i="85"/>
  <c r="AS28" i="85"/>
  <c r="AR28" i="85"/>
  <c r="AQ28" i="85"/>
  <c r="AP28" i="85"/>
  <c r="AO28" i="85"/>
  <c r="AN28" i="85"/>
  <c r="AM28" i="85"/>
  <c r="AL28" i="85"/>
  <c r="AK28" i="85"/>
  <c r="AJ28" i="85"/>
  <c r="BG27" i="85"/>
  <c r="BF27" i="85"/>
  <c r="BE27" i="85"/>
  <c r="BD27" i="85"/>
  <c r="BC27" i="85"/>
  <c r="BB27" i="85"/>
  <c r="BA27" i="85"/>
  <c r="AZ27" i="85"/>
  <c r="AY27" i="85"/>
  <c r="AX27" i="85"/>
  <c r="AW27" i="85"/>
  <c r="AV27" i="85"/>
  <c r="AU27" i="85"/>
  <c r="AT27" i="85"/>
  <c r="AS27" i="85"/>
  <c r="AR27" i="85"/>
  <c r="AQ27" i="85"/>
  <c r="AP27" i="85"/>
  <c r="AO27" i="85"/>
  <c r="AN27" i="85"/>
  <c r="AM27" i="85"/>
  <c r="AL27" i="85"/>
  <c r="AK27" i="85"/>
  <c r="AJ27" i="85"/>
  <c r="BG26" i="85"/>
  <c r="BF26" i="85"/>
  <c r="BE26" i="85"/>
  <c r="BD26" i="85"/>
  <c r="BC26" i="85"/>
  <c r="BB26" i="85"/>
  <c r="BA26" i="85"/>
  <c r="AZ26" i="85"/>
  <c r="AY26" i="85"/>
  <c r="AX26" i="85"/>
  <c r="AW26" i="85"/>
  <c r="AV26" i="85"/>
  <c r="AU26" i="85"/>
  <c r="AT26" i="85"/>
  <c r="AS26" i="85"/>
  <c r="AR26" i="85"/>
  <c r="AQ26" i="85"/>
  <c r="AP26" i="85"/>
  <c r="AO26" i="85"/>
  <c r="AN26" i="85"/>
  <c r="AM26" i="85"/>
  <c r="AL26" i="85"/>
  <c r="AK26" i="85"/>
  <c r="AJ26" i="85"/>
  <c r="BG25" i="85"/>
  <c r="BF25" i="85"/>
  <c r="BE25" i="85"/>
  <c r="BD25" i="85"/>
  <c r="BC25" i="85"/>
  <c r="BB25" i="85"/>
  <c r="BA25" i="85"/>
  <c r="AZ25" i="85"/>
  <c r="AY25" i="85"/>
  <c r="AX25" i="85"/>
  <c r="AW25" i="85"/>
  <c r="AV25" i="85"/>
  <c r="AU25" i="85"/>
  <c r="AT25" i="85"/>
  <c r="AS25" i="85"/>
  <c r="AR25" i="85"/>
  <c r="AQ25" i="85"/>
  <c r="AP25" i="85"/>
  <c r="AO25" i="85"/>
  <c r="AN25" i="85"/>
  <c r="AM25" i="85"/>
  <c r="AL25" i="85"/>
  <c r="AK25" i="85"/>
  <c r="AJ25" i="85"/>
  <c r="BG24" i="85"/>
  <c r="BF24" i="85"/>
  <c r="BE24" i="85"/>
  <c r="BD24" i="85"/>
  <c r="BC24" i="85"/>
  <c r="BB24" i="85"/>
  <c r="BA24" i="85"/>
  <c r="AZ24" i="85"/>
  <c r="AY24" i="85"/>
  <c r="AX24" i="85"/>
  <c r="AW24" i="85"/>
  <c r="AV24" i="85"/>
  <c r="AU24" i="85"/>
  <c r="AT24" i="85"/>
  <c r="AS24" i="85"/>
  <c r="AR24" i="85"/>
  <c r="AQ24" i="85"/>
  <c r="AP24" i="85"/>
  <c r="AO24" i="85"/>
  <c r="AN24" i="85"/>
  <c r="AM24" i="85"/>
  <c r="AL24" i="85"/>
  <c r="AK24" i="85"/>
  <c r="AJ24" i="85"/>
  <c r="BG23" i="85"/>
  <c r="BF23" i="85"/>
  <c r="BE23" i="85"/>
  <c r="BD23" i="85"/>
  <c r="BC23" i="85"/>
  <c r="BB23" i="85"/>
  <c r="BA23" i="85"/>
  <c r="AZ23" i="85"/>
  <c r="AY23" i="85"/>
  <c r="AX23" i="85"/>
  <c r="AW23" i="85"/>
  <c r="AV23" i="85"/>
  <c r="AU23" i="85"/>
  <c r="AT23" i="85"/>
  <c r="AS23" i="85"/>
  <c r="AR23" i="85"/>
  <c r="AQ23" i="85"/>
  <c r="AP23" i="85"/>
  <c r="AO23" i="85"/>
  <c r="AN23" i="85"/>
  <c r="AM23" i="85"/>
  <c r="AL23" i="85"/>
  <c r="AK23" i="85"/>
  <c r="AJ23" i="85"/>
  <c r="BG22" i="85"/>
  <c r="BF22" i="85"/>
  <c r="BE22" i="85"/>
  <c r="BD22" i="85"/>
  <c r="BC22" i="85"/>
  <c r="BB22" i="85"/>
  <c r="BA22" i="85"/>
  <c r="AZ22" i="85"/>
  <c r="AY22" i="85"/>
  <c r="AX22" i="85"/>
  <c r="AW22" i="85"/>
  <c r="AV22" i="85"/>
  <c r="AU22" i="85"/>
  <c r="AT22" i="85"/>
  <c r="AS22" i="85"/>
  <c r="AR22" i="85"/>
  <c r="AQ22" i="85"/>
  <c r="AP22" i="85"/>
  <c r="AO22" i="85"/>
  <c r="AN22" i="85"/>
  <c r="AM22" i="85"/>
  <c r="AL22" i="85"/>
  <c r="AK22" i="85"/>
  <c r="AJ22" i="85"/>
  <c r="BG21" i="85"/>
  <c r="BF21" i="85"/>
  <c r="BE21" i="85"/>
  <c r="BD21" i="85"/>
  <c r="BC21" i="85"/>
  <c r="BB21" i="85"/>
  <c r="BA21" i="85"/>
  <c r="AZ21" i="85"/>
  <c r="AY21" i="85"/>
  <c r="AX21" i="85"/>
  <c r="AW21" i="85"/>
  <c r="AV21" i="85"/>
  <c r="AU21" i="85"/>
  <c r="AT21" i="85"/>
  <c r="AS21" i="85"/>
  <c r="AR21" i="85"/>
  <c r="AQ21" i="85"/>
  <c r="AP21" i="85"/>
  <c r="AO21" i="85"/>
  <c r="AN21" i="85"/>
  <c r="AM21" i="85"/>
  <c r="AL21" i="85"/>
  <c r="AK21" i="85"/>
  <c r="AJ21" i="85"/>
  <c r="BG20" i="85"/>
  <c r="BF20" i="85"/>
  <c r="BE20" i="85"/>
  <c r="BD20" i="85"/>
  <c r="BC20" i="85"/>
  <c r="BB20" i="85"/>
  <c r="BA20" i="85"/>
  <c r="AZ20" i="85"/>
  <c r="AY20" i="85"/>
  <c r="AX20" i="85"/>
  <c r="AW20" i="85"/>
  <c r="AV20" i="85"/>
  <c r="AU20" i="85"/>
  <c r="AT20" i="85"/>
  <c r="AS20" i="85"/>
  <c r="AR20" i="85"/>
  <c r="AQ20" i="85"/>
  <c r="AP20" i="85"/>
  <c r="AO20" i="85"/>
  <c r="AN20" i="85"/>
  <c r="AM20" i="85"/>
  <c r="AL20" i="85"/>
  <c r="AK20" i="85"/>
  <c r="AJ20" i="85"/>
  <c r="BG19" i="85"/>
  <c r="BF19" i="85"/>
  <c r="BE19" i="85"/>
  <c r="BD19" i="85"/>
  <c r="BC19" i="85"/>
  <c r="BB19" i="85"/>
  <c r="BA19" i="85"/>
  <c r="AZ19" i="85"/>
  <c r="AY19" i="85"/>
  <c r="AX19" i="85"/>
  <c r="AW19" i="85"/>
  <c r="AV19" i="85"/>
  <c r="AU19" i="85"/>
  <c r="AT19" i="85"/>
  <c r="AS19" i="85"/>
  <c r="AR19" i="85"/>
  <c r="AQ19" i="85"/>
  <c r="AP19" i="85"/>
  <c r="AO19" i="85"/>
  <c r="AN19" i="85"/>
  <c r="AM19" i="85"/>
  <c r="AL19" i="85"/>
  <c r="AK19" i="85"/>
  <c r="AJ19" i="85"/>
  <c r="BG18" i="85"/>
  <c r="BF18" i="85"/>
  <c r="BE18" i="85"/>
  <c r="BD18" i="85"/>
  <c r="BC18" i="85"/>
  <c r="BB18" i="85"/>
  <c r="BA18" i="85"/>
  <c r="AZ18" i="85"/>
  <c r="AY18" i="85"/>
  <c r="AX18" i="85"/>
  <c r="AW18" i="85"/>
  <c r="AV18" i="85"/>
  <c r="AU18" i="85"/>
  <c r="AT18" i="85"/>
  <c r="AS18" i="85"/>
  <c r="AR18" i="85"/>
  <c r="AQ18" i="85"/>
  <c r="AP18" i="85"/>
  <c r="AO18" i="85"/>
  <c r="AN18" i="85"/>
  <c r="AM18" i="85"/>
  <c r="AL18" i="85"/>
  <c r="AK18" i="85"/>
  <c r="AJ18" i="85"/>
  <c r="BG17" i="85"/>
  <c r="BF17" i="85"/>
  <c r="BE17" i="85"/>
  <c r="BD17" i="85"/>
  <c r="BC17" i="85"/>
  <c r="BB17" i="85"/>
  <c r="BA17" i="85"/>
  <c r="AZ17" i="85"/>
  <c r="AY17" i="85"/>
  <c r="AX17" i="85"/>
  <c r="AW17" i="85"/>
  <c r="AV17" i="85"/>
  <c r="AU17" i="85"/>
  <c r="AT17" i="85"/>
  <c r="AS17" i="85"/>
  <c r="AR17" i="85"/>
  <c r="AQ17" i="85"/>
  <c r="AP17" i="85"/>
  <c r="AO17" i="85"/>
  <c r="AN17" i="85"/>
  <c r="AM17" i="85"/>
  <c r="AL17" i="85"/>
  <c r="AK17" i="85"/>
  <c r="AJ17" i="85"/>
  <c r="BG16" i="85"/>
  <c r="BF16" i="85"/>
  <c r="BE16" i="85"/>
  <c r="BD16" i="85"/>
  <c r="BC16" i="85"/>
  <c r="BB16" i="85"/>
  <c r="BA16" i="85"/>
  <c r="AZ16" i="85"/>
  <c r="AY16" i="85"/>
  <c r="AX16" i="85"/>
  <c r="AW16" i="85"/>
  <c r="AV16" i="85"/>
  <c r="AU16" i="85"/>
  <c r="AT16" i="85"/>
  <c r="AS16" i="85"/>
  <c r="AR16" i="85"/>
  <c r="AQ16" i="85"/>
  <c r="AP16" i="85"/>
  <c r="AO16" i="85"/>
  <c r="AN16" i="85"/>
  <c r="AM16" i="85"/>
  <c r="AL16" i="85"/>
  <c r="AK16" i="85"/>
  <c r="AJ16" i="85"/>
  <c r="BG15" i="85"/>
  <c r="BF15" i="85"/>
  <c r="BE15" i="85"/>
  <c r="BD15" i="85"/>
  <c r="BC15" i="85"/>
  <c r="BB15" i="85"/>
  <c r="BA15" i="85"/>
  <c r="AZ15" i="85"/>
  <c r="AY15" i="85"/>
  <c r="AX15" i="85"/>
  <c r="AW15" i="85"/>
  <c r="AV15" i="85"/>
  <c r="AU15" i="85"/>
  <c r="AT15" i="85"/>
  <c r="AS15" i="85"/>
  <c r="AR15" i="85"/>
  <c r="AQ15" i="85"/>
  <c r="AP15" i="85"/>
  <c r="AO15" i="85"/>
  <c r="AN15" i="85"/>
  <c r="AM15" i="85"/>
  <c r="AL15" i="85"/>
  <c r="AK15" i="85"/>
  <c r="AJ15" i="85"/>
  <c r="BL14" i="85"/>
  <c r="BK14" i="85"/>
  <c r="BJ14" i="85"/>
  <c r="BI14" i="85"/>
  <c r="BH14" i="85"/>
  <c r="BG14" i="85"/>
  <c r="BF14" i="85"/>
  <c r="BE14" i="85"/>
  <c r="BD14" i="85"/>
  <c r="BC14" i="85"/>
  <c r="BB14" i="85"/>
  <c r="BA14" i="85"/>
  <c r="AZ14" i="85"/>
  <c r="AY14" i="85"/>
  <c r="AX14" i="85"/>
  <c r="AW14" i="85"/>
  <c r="AV14" i="85"/>
  <c r="AU14" i="85"/>
  <c r="AT14" i="85"/>
  <c r="AS14" i="85"/>
  <c r="AR14" i="85"/>
  <c r="AQ14" i="85"/>
  <c r="AP14" i="85"/>
  <c r="AO14" i="85"/>
  <c r="AN14" i="85"/>
  <c r="AM14" i="85"/>
  <c r="AL14" i="85"/>
  <c r="BL13" i="85"/>
  <c r="BK13" i="85"/>
  <c r="BJ13" i="85"/>
  <c r="BI13" i="85"/>
  <c r="BH13" i="85"/>
  <c r="BG13" i="85"/>
  <c r="BF13" i="85"/>
  <c r="BE13" i="85"/>
  <c r="BD13" i="85"/>
  <c r="BA13" i="85"/>
  <c r="AZ13" i="85"/>
  <c r="AY13" i="85"/>
  <c r="AX13" i="85"/>
  <c r="AW13" i="85"/>
  <c r="AV13" i="85"/>
  <c r="AU13" i="85"/>
  <c r="AT13" i="85"/>
  <c r="AS13" i="85"/>
  <c r="AR13" i="85"/>
  <c r="AQ13" i="85"/>
  <c r="AP13" i="85"/>
  <c r="AO13" i="85"/>
  <c r="AN13" i="85"/>
  <c r="AM13" i="85"/>
  <c r="AL13" i="85"/>
  <c r="BG44" i="86"/>
  <c r="BF44" i="86"/>
  <c r="BE44" i="86"/>
  <c r="BD44" i="86"/>
  <c r="BC44" i="86"/>
  <c r="BB44" i="86"/>
  <c r="BA44" i="86"/>
  <c r="AZ44" i="86"/>
  <c r="AY44" i="86"/>
  <c r="AX44" i="86"/>
  <c r="AW44" i="86"/>
  <c r="AV44" i="86"/>
  <c r="AU44" i="86"/>
  <c r="AT44" i="86"/>
  <c r="AS44" i="86"/>
  <c r="AR44" i="86"/>
  <c r="AQ44" i="86"/>
  <c r="AP44" i="86"/>
  <c r="AO44" i="86"/>
  <c r="AN44" i="86"/>
  <c r="AM44" i="86"/>
  <c r="AL44" i="86"/>
  <c r="AK44" i="86"/>
  <c r="AJ44" i="86"/>
  <c r="BG43" i="86"/>
  <c r="BF43" i="86"/>
  <c r="BE43" i="86"/>
  <c r="BD43" i="86"/>
  <c r="BC43" i="86"/>
  <c r="BB43" i="86"/>
  <c r="BA43" i="86"/>
  <c r="AZ43" i="86"/>
  <c r="AY43" i="86"/>
  <c r="AX43" i="86"/>
  <c r="AW43" i="86"/>
  <c r="AV43" i="86"/>
  <c r="AU43" i="86"/>
  <c r="AT43" i="86"/>
  <c r="AS43" i="86"/>
  <c r="AR43" i="86"/>
  <c r="AQ43" i="86"/>
  <c r="AP43" i="86"/>
  <c r="AO43" i="86"/>
  <c r="AN43" i="86"/>
  <c r="AM43" i="86"/>
  <c r="AL43" i="86"/>
  <c r="AK43" i="86"/>
  <c r="AJ43" i="86"/>
  <c r="BG42" i="86"/>
  <c r="BF42" i="86"/>
  <c r="BE42" i="86"/>
  <c r="BD42" i="86"/>
  <c r="BC42" i="86"/>
  <c r="BB42" i="86"/>
  <c r="BA42" i="86"/>
  <c r="AZ42" i="86"/>
  <c r="AY42" i="86"/>
  <c r="AX42" i="86"/>
  <c r="AW42" i="86"/>
  <c r="AV42" i="86"/>
  <c r="AU42" i="86"/>
  <c r="AT42" i="86"/>
  <c r="AS42" i="86"/>
  <c r="AR42" i="86"/>
  <c r="AQ42" i="86"/>
  <c r="AP42" i="86"/>
  <c r="AO42" i="86"/>
  <c r="AN42" i="86"/>
  <c r="AM42" i="86"/>
  <c r="AL42" i="86"/>
  <c r="AK42" i="86"/>
  <c r="AJ42" i="86"/>
  <c r="BG41" i="86"/>
  <c r="BF41" i="86"/>
  <c r="BE41" i="86"/>
  <c r="BD41" i="86"/>
  <c r="BC41" i="86"/>
  <c r="BB41" i="86"/>
  <c r="BA41" i="86"/>
  <c r="AZ41" i="86"/>
  <c r="AY41" i="86"/>
  <c r="AX41" i="86"/>
  <c r="AW41" i="86"/>
  <c r="AV41" i="86"/>
  <c r="AU41" i="86"/>
  <c r="AT41" i="86"/>
  <c r="AS41" i="86"/>
  <c r="AR41" i="86"/>
  <c r="AQ41" i="86"/>
  <c r="AP41" i="86"/>
  <c r="AO41" i="86"/>
  <c r="AN41" i="86"/>
  <c r="AM41" i="86"/>
  <c r="AL41" i="86"/>
  <c r="AK41" i="86"/>
  <c r="AJ41" i="86"/>
  <c r="BG40" i="86"/>
  <c r="BF40" i="86"/>
  <c r="BE40" i="86"/>
  <c r="BD40" i="86"/>
  <c r="BC40" i="86"/>
  <c r="BB40" i="86"/>
  <c r="BA40" i="86"/>
  <c r="AZ40" i="86"/>
  <c r="AY40" i="86"/>
  <c r="AX40" i="86"/>
  <c r="AW40" i="86"/>
  <c r="AV40" i="86"/>
  <c r="AU40" i="86"/>
  <c r="AT40" i="86"/>
  <c r="AS40" i="86"/>
  <c r="AR40" i="86"/>
  <c r="AQ40" i="86"/>
  <c r="AP40" i="86"/>
  <c r="AO40" i="86"/>
  <c r="AN40" i="86"/>
  <c r="AM40" i="86"/>
  <c r="AL40" i="86"/>
  <c r="AK40" i="86"/>
  <c r="AJ40" i="86"/>
  <c r="BG39" i="86"/>
  <c r="BF39" i="86"/>
  <c r="BE39" i="86"/>
  <c r="BD39" i="86"/>
  <c r="BC39" i="86"/>
  <c r="BB39" i="86"/>
  <c r="BA39" i="86"/>
  <c r="AZ39" i="86"/>
  <c r="AY39" i="86"/>
  <c r="AX39" i="86"/>
  <c r="AW39" i="86"/>
  <c r="AV39" i="86"/>
  <c r="AU39" i="86"/>
  <c r="AT39" i="86"/>
  <c r="AS39" i="86"/>
  <c r="AR39" i="86"/>
  <c r="AQ39" i="86"/>
  <c r="AP39" i="86"/>
  <c r="AO39" i="86"/>
  <c r="AN39" i="86"/>
  <c r="AM39" i="86"/>
  <c r="AL39" i="86"/>
  <c r="AK39" i="86"/>
  <c r="AJ39" i="86"/>
  <c r="BG38" i="86"/>
  <c r="BF38" i="86"/>
  <c r="BE38" i="86"/>
  <c r="BD38" i="86"/>
  <c r="BC38" i="86"/>
  <c r="BB38" i="86"/>
  <c r="BA38" i="86"/>
  <c r="AZ38" i="86"/>
  <c r="AY38" i="86"/>
  <c r="AX38" i="86"/>
  <c r="AW38" i="86"/>
  <c r="AV38" i="86"/>
  <c r="AU38" i="86"/>
  <c r="AT38" i="86"/>
  <c r="AS38" i="86"/>
  <c r="AR38" i="86"/>
  <c r="AQ38" i="86"/>
  <c r="AP38" i="86"/>
  <c r="AO38" i="86"/>
  <c r="AN38" i="86"/>
  <c r="AM38" i="86"/>
  <c r="AL38" i="86"/>
  <c r="AK38" i="86"/>
  <c r="AJ38" i="86"/>
  <c r="BG37" i="86"/>
  <c r="BF37" i="86"/>
  <c r="BE37" i="86"/>
  <c r="BD37" i="86"/>
  <c r="BC37" i="86"/>
  <c r="BB37" i="86"/>
  <c r="BA37" i="86"/>
  <c r="AZ37" i="86"/>
  <c r="AY37" i="86"/>
  <c r="AX37" i="86"/>
  <c r="AW37" i="86"/>
  <c r="AV37" i="86"/>
  <c r="AU37" i="86"/>
  <c r="AT37" i="86"/>
  <c r="AS37" i="86"/>
  <c r="AR37" i="86"/>
  <c r="AQ37" i="86"/>
  <c r="AP37" i="86"/>
  <c r="AO37" i="86"/>
  <c r="AN37" i="86"/>
  <c r="AM37" i="86"/>
  <c r="AL37" i="86"/>
  <c r="AK37" i="86"/>
  <c r="AJ37" i="86"/>
  <c r="BG36" i="86"/>
  <c r="BF36" i="86"/>
  <c r="BE36" i="86"/>
  <c r="BD36" i="86"/>
  <c r="BC36" i="86"/>
  <c r="BB36" i="86"/>
  <c r="BA36" i="86"/>
  <c r="AZ36" i="86"/>
  <c r="AY36" i="86"/>
  <c r="AX36" i="86"/>
  <c r="AW36" i="86"/>
  <c r="AV36" i="86"/>
  <c r="AU36" i="86"/>
  <c r="AT36" i="86"/>
  <c r="AS36" i="86"/>
  <c r="AR36" i="86"/>
  <c r="AQ36" i="86"/>
  <c r="AP36" i="86"/>
  <c r="AO36" i="86"/>
  <c r="AN36" i="86"/>
  <c r="AM36" i="86"/>
  <c r="AL36" i="86"/>
  <c r="AK36" i="86"/>
  <c r="AJ36" i="86"/>
  <c r="BG35" i="86"/>
  <c r="BF35" i="86"/>
  <c r="BE35" i="86"/>
  <c r="BD35" i="86"/>
  <c r="BC35" i="86"/>
  <c r="BB35" i="86"/>
  <c r="BA35" i="86"/>
  <c r="AZ35" i="86"/>
  <c r="AY35" i="86"/>
  <c r="AX35" i="86"/>
  <c r="AW35" i="86"/>
  <c r="AV35" i="86"/>
  <c r="AU35" i="86"/>
  <c r="AT35" i="86"/>
  <c r="AS35" i="86"/>
  <c r="AR35" i="86"/>
  <c r="AQ35" i="86"/>
  <c r="AP35" i="86"/>
  <c r="AO35" i="86"/>
  <c r="AN35" i="86"/>
  <c r="AM35" i="86"/>
  <c r="AL35" i="86"/>
  <c r="AK35" i="86"/>
  <c r="AJ35" i="86"/>
  <c r="BG34" i="86"/>
  <c r="BF34" i="86"/>
  <c r="BE34" i="86"/>
  <c r="BD34" i="86"/>
  <c r="BC34" i="86"/>
  <c r="BB34" i="86"/>
  <c r="BA34" i="86"/>
  <c r="AZ34" i="86"/>
  <c r="AY34" i="86"/>
  <c r="AX34" i="86"/>
  <c r="AW34" i="86"/>
  <c r="AV34" i="86"/>
  <c r="AU34" i="86"/>
  <c r="AT34" i="86"/>
  <c r="AS34" i="86"/>
  <c r="AR34" i="86"/>
  <c r="AQ34" i="86"/>
  <c r="AP34" i="86"/>
  <c r="AO34" i="86"/>
  <c r="AN34" i="86"/>
  <c r="AM34" i="86"/>
  <c r="AL34" i="86"/>
  <c r="AK34" i="86"/>
  <c r="AJ34" i="86"/>
  <c r="BG33" i="86"/>
  <c r="BF33" i="86"/>
  <c r="BE33" i="86"/>
  <c r="BD33" i="86"/>
  <c r="BC33" i="86"/>
  <c r="BB33" i="86"/>
  <c r="BA33" i="86"/>
  <c r="AZ33" i="86"/>
  <c r="AY33" i="86"/>
  <c r="AX33" i="86"/>
  <c r="AW33" i="86"/>
  <c r="AV33" i="86"/>
  <c r="AU33" i="86"/>
  <c r="AT33" i="86"/>
  <c r="AS33" i="86"/>
  <c r="AR33" i="86"/>
  <c r="AQ33" i="86"/>
  <c r="AP33" i="86"/>
  <c r="AO33" i="86"/>
  <c r="AN33" i="86"/>
  <c r="AM33" i="86"/>
  <c r="AL33" i="86"/>
  <c r="AK33" i="86"/>
  <c r="AJ33" i="86"/>
  <c r="BG32" i="86"/>
  <c r="BF32" i="86"/>
  <c r="BE32" i="86"/>
  <c r="BD32" i="86"/>
  <c r="BC32" i="86"/>
  <c r="BB32" i="86"/>
  <c r="BA32" i="86"/>
  <c r="AZ32" i="86"/>
  <c r="AY32" i="86"/>
  <c r="AX32" i="86"/>
  <c r="AW32" i="86"/>
  <c r="AV32" i="86"/>
  <c r="AU32" i="86"/>
  <c r="AT32" i="86"/>
  <c r="AS32" i="86"/>
  <c r="AR32" i="86"/>
  <c r="AQ32" i="86"/>
  <c r="AP32" i="86"/>
  <c r="AO32" i="86"/>
  <c r="AN32" i="86"/>
  <c r="AM32" i="86"/>
  <c r="AL32" i="86"/>
  <c r="AK32" i="86"/>
  <c r="AJ32" i="86"/>
  <c r="BG31" i="86"/>
  <c r="BF31" i="86"/>
  <c r="BE31" i="86"/>
  <c r="BD31" i="86"/>
  <c r="BC31" i="86"/>
  <c r="BB31" i="86"/>
  <c r="BA31" i="86"/>
  <c r="AZ31" i="86"/>
  <c r="AY31" i="86"/>
  <c r="AX31" i="86"/>
  <c r="AW31" i="86"/>
  <c r="AV31" i="86"/>
  <c r="AU31" i="86"/>
  <c r="AT31" i="86"/>
  <c r="AS31" i="86"/>
  <c r="AR31" i="86"/>
  <c r="AQ31" i="86"/>
  <c r="AP31" i="86"/>
  <c r="AO31" i="86"/>
  <c r="AN31" i="86"/>
  <c r="AM31" i="86"/>
  <c r="AL31" i="86"/>
  <c r="AK31" i="86"/>
  <c r="AJ31" i="86"/>
  <c r="BG30" i="86"/>
  <c r="BF30" i="86"/>
  <c r="BE30" i="86"/>
  <c r="BD30" i="86"/>
  <c r="BC30" i="86"/>
  <c r="BB30" i="86"/>
  <c r="BA30" i="86"/>
  <c r="AZ30" i="86"/>
  <c r="AY30" i="86"/>
  <c r="AX30" i="86"/>
  <c r="AW30" i="86"/>
  <c r="AV30" i="86"/>
  <c r="AU30" i="86"/>
  <c r="AT30" i="86"/>
  <c r="AS30" i="86"/>
  <c r="AR30" i="86"/>
  <c r="AQ30" i="86"/>
  <c r="AP30" i="86"/>
  <c r="AO30" i="86"/>
  <c r="AN30" i="86"/>
  <c r="AM30" i="86"/>
  <c r="AL30" i="86"/>
  <c r="AK30" i="86"/>
  <c r="AJ30" i="86"/>
  <c r="BG29" i="86"/>
  <c r="BF29" i="86"/>
  <c r="BE29" i="86"/>
  <c r="BD29" i="86"/>
  <c r="BC29" i="86"/>
  <c r="BB29" i="86"/>
  <c r="BA29" i="86"/>
  <c r="AZ29" i="86"/>
  <c r="AY29" i="86"/>
  <c r="AX29" i="86"/>
  <c r="AW29" i="86"/>
  <c r="AV29" i="86"/>
  <c r="AU29" i="86"/>
  <c r="AT29" i="86"/>
  <c r="AS29" i="86"/>
  <c r="AR29" i="86"/>
  <c r="AQ29" i="86"/>
  <c r="AP29" i="86"/>
  <c r="AO29" i="86"/>
  <c r="AN29" i="86"/>
  <c r="AM29" i="86"/>
  <c r="AL29" i="86"/>
  <c r="AK29" i="86"/>
  <c r="AJ29" i="86"/>
  <c r="BG28" i="86"/>
  <c r="BF28" i="86"/>
  <c r="BE28" i="86"/>
  <c r="BD28" i="86"/>
  <c r="BC28" i="86"/>
  <c r="BB28" i="86"/>
  <c r="BA28" i="86"/>
  <c r="AZ28" i="86"/>
  <c r="AY28" i="86"/>
  <c r="AX28" i="86"/>
  <c r="AW28" i="86"/>
  <c r="AV28" i="86"/>
  <c r="AU28" i="86"/>
  <c r="AT28" i="86"/>
  <c r="AS28" i="86"/>
  <c r="AR28" i="86"/>
  <c r="AQ28" i="86"/>
  <c r="AP28" i="86"/>
  <c r="AO28" i="86"/>
  <c r="AN28" i="86"/>
  <c r="AM28" i="86"/>
  <c r="AL28" i="86"/>
  <c r="AK28" i="86"/>
  <c r="AJ28" i="86"/>
  <c r="BG27" i="86"/>
  <c r="BF27" i="86"/>
  <c r="BE27" i="86"/>
  <c r="BD27" i="86"/>
  <c r="BC27" i="86"/>
  <c r="BB27" i="86"/>
  <c r="BA27" i="86"/>
  <c r="AZ27" i="86"/>
  <c r="AY27" i="86"/>
  <c r="AX27" i="86"/>
  <c r="AW27" i="86"/>
  <c r="AV27" i="86"/>
  <c r="AU27" i="86"/>
  <c r="AT27" i="86"/>
  <c r="AS27" i="86"/>
  <c r="AR27" i="86"/>
  <c r="AQ27" i="86"/>
  <c r="AP27" i="86"/>
  <c r="AO27" i="86"/>
  <c r="AN27" i="86"/>
  <c r="AM27" i="86"/>
  <c r="AL27" i="86"/>
  <c r="AK27" i="86"/>
  <c r="AJ27" i="86"/>
  <c r="BG26" i="86"/>
  <c r="BF26" i="86"/>
  <c r="BE26" i="86"/>
  <c r="BD26" i="86"/>
  <c r="BC26" i="86"/>
  <c r="BB26" i="86"/>
  <c r="BA26" i="86"/>
  <c r="AZ26" i="86"/>
  <c r="AY26" i="86"/>
  <c r="AX26" i="86"/>
  <c r="AW26" i="86"/>
  <c r="AV26" i="86"/>
  <c r="AU26" i="86"/>
  <c r="AT26" i="86"/>
  <c r="AS26" i="86"/>
  <c r="AR26" i="86"/>
  <c r="AQ26" i="86"/>
  <c r="AP26" i="86"/>
  <c r="AO26" i="86"/>
  <c r="AN26" i="86"/>
  <c r="AM26" i="86"/>
  <c r="AL26" i="86"/>
  <c r="AK26" i="86"/>
  <c r="AJ26" i="86"/>
  <c r="BG25" i="86"/>
  <c r="BF25" i="86"/>
  <c r="BE25" i="86"/>
  <c r="BD25" i="86"/>
  <c r="BC25" i="86"/>
  <c r="BB25" i="86"/>
  <c r="BA25" i="86"/>
  <c r="AZ25" i="86"/>
  <c r="AY25" i="86"/>
  <c r="AX25" i="86"/>
  <c r="AW25" i="86"/>
  <c r="AV25" i="86"/>
  <c r="AU25" i="86"/>
  <c r="AT25" i="86"/>
  <c r="AS25" i="86"/>
  <c r="AR25" i="86"/>
  <c r="AQ25" i="86"/>
  <c r="AP25" i="86"/>
  <c r="AO25" i="86"/>
  <c r="AN25" i="86"/>
  <c r="AM25" i="86"/>
  <c r="AL25" i="86"/>
  <c r="AK25" i="86"/>
  <c r="AJ25" i="86"/>
  <c r="BG24" i="86"/>
  <c r="BF24" i="86"/>
  <c r="BE24" i="86"/>
  <c r="BD24" i="86"/>
  <c r="BC24" i="86"/>
  <c r="BB24" i="86"/>
  <c r="BA24" i="86"/>
  <c r="AZ24" i="86"/>
  <c r="AY24" i="86"/>
  <c r="AX24" i="86"/>
  <c r="AW24" i="86"/>
  <c r="AV24" i="86"/>
  <c r="AU24" i="86"/>
  <c r="AT24" i="86"/>
  <c r="AS24" i="86"/>
  <c r="AR24" i="86"/>
  <c r="AQ24" i="86"/>
  <c r="AP24" i="86"/>
  <c r="AO24" i="86"/>
  <c r="AN24" i="86"/>
  <c r="AM24" i="86"/>
  <c r="AL24" i="86"/>
  <c r="AK24" i="86"/>
  <c r="AJ24" i="86"/>
  <c r="BG23" i="86"/>
  <c r="BF23" i="86"/>
  <c r="BE23" i="86"/>
  <c r="BD23" i="86"/>
  <c r="BC23" i="86"/>
  <c r="BB23" i="86"/>
  <c r="BA23" i="86"/>
  <c r="AZ23" i="86"/>
  <c r="AY23" i="86"/>
  <c r="AX23" i="86"/>
  <c r="AW23" i="86"/>
  <c r="AV23" i="86"/>
  <c r="AU23" i="86"/>
  <c r="AT23" i="86"/>
  <c r="AS23" i="86"/>
  <c r="AR23" i="86"/>
  <c r="AQ23" i="86"/>
  <c r="AP23" i="86"/>
  <c r="AO23" i="86"/>
  <c r="AN23" i="86"/>
  <c r="AM23" i="86"/>
  <c r="AL23" i="86"/>
  <c r="AK23" i="86"/>
  <c r="AJ23" i="86"/>
  <c r="BG22" i="86"/>
  <c r="BF22" i="86"/>
  <c r="BE22" i="86"/>
  <c r="BD22" i="86"/>
  <c r="BC22" i="86"/>
  <c r="BB22" i="86"/>
  <c r="BA22" i="86"/>
  <c r="AZ22" i="86"/>
  <c r="AY22" i="86"/>
  <c r="AX22" i="86"/>
  <c r="AW22" i="86"/>
  <c r="AV22" i="86"/>
  <c r="AU22" i="86"/>
  <c r="AT22" i="86"/>
  <c r="AS22" i="86"/>
  <c r="AR22" i="86"/>
  <c r="AQ22" i="86"/>
  <c r="AP22" i="86"/>
  <c r="AO22" i="86"/>
  <c r="AN22" i="86"/>
  <c r="AM22" i="86"/>
  <c r="AL22" i="86"/>
  <c r="AK22" i="86"/>
  <c r="AJ22" i="86"/>
  <c r="BG21" i="86"/>
  <c r="BF21" i="86"/>
  <c r="BE21" i="86"/>
  <c r="BD21" i="86"/>
  <c r="BC21" i="86"/>
  <c r="BB21" i="86"/>
  <c r="BA21" i="86"/>
  <c r="AZ21" i="86"/>
  <c r="AY21" i="86"/>
  <c r="AX21" i="86"/>
  <c r="AW21" i="86"/>
  <c r="AV21" i="86"/>
  <c r="AU21" i="86"/>
  <c r="AT21" i="86"/>
  <c r="AS21" i="86"/>
  <c r="AR21" i="86"/>
  <c r="AQ21" i="86"/>
  <c r="AP21" i="86"/>
  <c r="AO21" i="86"/>
  <c r="AN21" i="86"/>
  <c r="AM21" i="86"/>
  <c r="AL21" i="86"/>
  <c r="AK21" i="86"/>
  <c r="AJ21" i="86"/>
  <c r="BG20" i="86"/>
  <c r="BF20" i="86"/>
  <c r="BE20" i="86"/>
  <c r="BD20" i="86"/>
  <c r="BC20" i="86"/>
  <c r="BB20" i="86"/>
  <c r="BA20" i="86"/>
  <c r="AZ20" i="86"/>
  <c r="AY20" i="86"/>
  <c r="AX20" i="86"/>
  <c r="AW20" i="86"/>
  <c r="AV20" i="86"/>
  <c r="AU20" i="86"/>
  <c r="AT20" i="86"/>
  <c r="AS20" i="86"/>
  <c r="AR20" i="86"/>
  <c r="AQ20" i="86"/>
  <c r="AP20" i="86"/>
  <c r="AO20" i="86"/>
  <c r="AN20" i="86"/>
  <c r="AM20" i="86"/>
  <c r="AL20" i="86"/>
  <c r="AK20" i="86"/>
  <c r="AJ20" i="86"/>
  <c r="BG19" i="86"/>
  <c r="BF19" i="86"/>
  <c r="BE19" i="86"/>
  <c r="BD19" i="86"/>
  <c r="BC19" i="86"/>
  <c r="BB19" i="86"/>
  <c r="BA19" i="86"/>
  <c r="AZ19" i="86"/>
  <c r="AY19" i="86"/>
  <c r="AX19" i="86"/>
  <c r="AW19" i="86"/>
  <c r="AV19" i="86"/>
  <c r="AU19" i="86"/>
  <c r="AT19" i="86"/>
  <c r="AS19" i="86"/>
  <c r="AR19" i="86"/>
  <c r="AQ19" i="86"/>
  <c r="AP19" i="86"/>
  <c r="AO19" i="86"/>
  <c r="AN19" i="86"/>
  <c r="AM19" i="86"/>
  <c r="AL19" i="86"/>
  <c r="AK19" i="86"/>
  <c r="AJ19" i="86"/>
  <c r="BG18" i="86"/>
  <c r="BF18" i="86"/>
  <c r="BE18" i="86"/>
  <c r="BD18" i="86"/>
  <c r="BC18" i="86"/>
  <c r="BB18" i="86"/>
  <c r="BA18" i="86"/>
  <c r="AZ18" i="86"/>
  <c r="AY18" i="86"/>
  <c r="AX18" i="86"/>
  <c r="AW18" i="86"/>
  <c r="AV18" i="86"/>
  <c r="AU18" i="86"/>
  <c r="AT18" i="86"/>
  <c r="AS18" i="86"/>
  <c r="AR18" i="86"/>
  <c r="AQ18" i="86"/>
  <c r="AP18" i="86"/>
  <c r="AO18" i="86"/>
  <c r="AN18" i="86"/>
  <c r="AM18" i="86"/>
  <c r="AL18" i="86"/>
  <c r="AK18" i="86"/>
  <c r="AJ18" i="86"/>
  <c r="BG17" i="86"/>
  <c r="BF17" i="86"/>
  <c r="BE17" i="86"/>
  <c r="BD17" i="86"/>
  <c r="BC17" i="86"/>
  <c r="BB17" i="86"/>
  <c r="BA17" i="86"/>
  <c r="AZ17" i="86"/>
  <c r="AY17" i="86"/>
  <c r="AX17" i="86"/>
  <c r="AW17" i="86"/>
  <c r="AV17" i="86"/>
  <c r="AU17" i="86"/>
  <c r="AT17" i="86"/>
  <c r="AS17" i="86"/>
  <c r="AR17" i="86"/>
  <c r="AQ17" i="86"/>
  <c r="AP17" i="86"/>
  <c r="AO17" i="86"/>
  <c r="AN17" i="86"/>
  <c r="AM17" i="86"/>
  <c r="AL17" i="86"/>
  <c r="AK17" i="86"/>
  <c r="AJ17" i="86"/>
  <c r="BG16" i="86"/>
  <c r="BF16" i="86"/>
  <c r="BE16" i="86"/>
  <c r="BD16" i="86"/>
  <c r="BC16" i="86"/>
  <c r="BB16" i="86"/>
  <c r="BA16" i="86"/>
  <c r="AZ16" i="86"/>
  <c r="AY16" i="86"/>
  <c r="AX16" i="86"/>
  <c r="AW16" i="86"/>
  <c r="AV16" i="86"/>
  <c r="AU16" i="86"/>
  <c r="AT16" i="86"/>
  <c r="AS16" i="86"/>
  <c r="AR16" i="86"/>
  <c r="AQ16" i="86"/>
  <c r="AP16" i="86"/>
  <c r="AO16" i="86"/>
  <c r="AN16" i="86"/>
  <c r="AM16" i="86"/>
  <c r="AL16" i="86"/>
  <c r="AK16" i="86"/>
  <c r="AJ16" i="86"/>
  <c r="BG15" i="86"/>
  <c r="BF15" i="86"/>
  <c r="BE15" i="86"/>
  <c r="BD15" i="86"/>
  <c r="BC15" i="86"/>
  <c r="BB15" i="86"/>
  <c r="BA15" i="86"/>
  <c r="AZ15" i="86"/>
  <c r="AY15" i="86"/>
  <c r="AX15" i="86"/>
  <c r="AW15" i="86"/>
  <c r="AV15" i="86"/>
  <c r="AU15" i="86"/>
  <c r="AT15" i="86"/>
  <c r="AS15" i="86"/>
  <c r="AR15" i="86"/>
  <c r="AQ15" i="86"/>
  <c r="AP15" i="86"/>
  <c r="AO15" i="86"/>
  <c r="AN15" i="86"/>
  <c r="AM15" i="86"/>
  <c r="AL15" i="86"/>
  <c r="AK15" i="86"/>
  <c r="AJ15" i="86"/>
  <c r="BL14" i="86"/>
  <c r="BK14" i="86"/>
  <c r="BJ14" i="86"/>
  <c r="BI14" i="86"/>
  <c r="BH14" i="86"/>
  <c r="BG14" i="86"/>
  <c r="BF14" i="86"/>
  <c r="BE14" i="86"/>
  <c r="BD14" i="86"/>
  <c r="BC14" i="86"/>
  <c r="BB14" i="86"/>
  <c r="BA14" i="86"/>
  <c r="AZ14" i="86"/>
  <c r="AY14" i="86"/>
  <c r="AX14" i="86"/>
  <c r="AW14" i="86"/>
  <c r="AV14" i="86"/>
  <c r="AU14" i="86"/>
  <c r="AT14" i="86"/>
  <c r="AS14" i="86"/>
  <c r="AR14" i="86"/>
  <c r="AQ14" i="86"/>
  <c r="AP14" i="86"/>
  <c r="AO14" i="86"/>
  <c r="AN14" i="86"/>
  <c r="AM14" i="86"/>
  <c r="AL14" i="86"/>
  <c r="BL13" i="86"/>
  <c r="BK13" i="86"/>
  <c r="BJ13" i="86"/>
  <c r="BI13" i="86"/>
  <c r="BH13" i="86"/>
  <c r="BG13" i="86"/>
  <c r="BF13" i="86"/>
  <c r="BE13" i="86"/>
  <c r="BD13" i="86"/>
  <c r="BA13" i="86"/>
  <c r="AZ13" i="86"/>
  <c r="AY13" i="86"/>
  <c r="AX13" i="86"/>
  <c r="AW13" i="86"/>
  <c r="AV13" i="86"/>
  <c r="AU13" i="86"/>
  <c r="AT13" i="86"/>
  <c r="AS13" i="86"/>
  <c r="AR13" i="86"/>
  <c r="AQ13" i="86"/>
  <c r="AP13" i="86"/>
  <c r="AO13" i="86"/>
  <c r="AN13" i="86"/>
  <c r="AM13" i="86"/>
  <c r="AL13" i="86"/>
  <c r="BG44" i="87"/>
  <c r="BF44" i="87"/>
  <c r="BE44" i="87"/>
  <c r="BD44" i="87"/>
  <c r="BC44" i="87"/>
  <c r="BB44" i="87"/>
  <c r="BA44" i="87"/>
  <c r="AZ44" i="87"/>
  <c r="AY44" i="87"/>
  <c r="AX44" i="87"/>
  <c r="AW44" i="87"/>
  <c r="AV44" i="87"/>
  <c r="AU44" i="87"/>
  <c r="AT44" i="87"/>
  <c r="AS44" i="87"/>
  <c r="AR44" i="87"/>
  <c r="AQ44" i="87"/>
  <c r="AP44" i="87"/>
  <c r="AO44" i="87"/>
  <c r="AN44" i="87"/>
  <c r="AM44" i="87"/>
  <c r="AL44" i="87"/>
  <c r="AK44" i="87"/>
  <c r="AJ44" i="87"/>
  <c r="BG43" i="87"/>
  <c r="BF43" i="87"/>
  <c r="BE43" i="87"/>
  <c r="BD43" i="87"/>
  <c r="BC43" i="87"/>
  <c r="BB43" i="87"/>
  <c r="BA43" i="87"/>
  <c r="AZ43" i="87"/>
  <c r="AY43" i="87"/>
  <c r="AX43" i="87"/>
  <c r="AW43" i="87"/>
  <c r="AV43" i="87"/>
  <c r="AU43" i="87"/>
  <c r="AT43" i="87"/>
  <c r="AS43" i="87"/>
  <c r="AR43" i="87"/>
  <c r="AQ43" i="87"/>
  <c r="AP43" i="87"/>
  <c r="AO43" i="87"/>
  <c r="AN43" i="87"/>
  <c r="AM43" i="87"/>
  <c r="AL43" i="87"/>
  <c r="AK43" i="87"/>
  <c r="AJ43" i="87"/>
  <c r="BG42" i="87"/>
  <c r="BF42" i="87"/>
  <c r="BE42" i="87"/>
  <c r="BD42" i="87"/>
  <c r="BC42" i="87"/>
  <c r="BB42" i="87"/>
  <c r="BA42" i="87"/>
  <c r="AZ42" i="87"/>
  <c r="AY42" i="87"/>
  <c r="AX42" i="87"/>
  <c r="AW42" i="87"/>
  <c r="AV42" i="87"/>
  <c r="AU42" i="87"/>
  <c r="AT42" i="87"/>
  <c r="AS42" i="87"/>
  <c r="AR42" i="87"/>
  <c r="AQ42" i="87"/>
  <c r="AP42" i="87"/>
  <c r="AO42" i="87"/>
  <c r="AN42" i="87"/>
  <c r="AM42" i="87"/>
  <c r="AL42" i="87"/>
  <c r="AK42" i="87"/>
  <c r="AJ42" i="87"/>
  <c r="BG41" i="87"/>
  <c r="BF41" i="87"/>
  <c r="BE41" i="87"/>
  <c r="BD41" i="87"/>
  <c r="BC41" i="87"/>
  <c r="BB41" i="87"/>
  <c r="BA41" i="87"/>
  <c r="AZ41" i="87"/>
  <c r="AY41" i="87"/>
  <c r="AX41" i="87"/>
  <c r="AW41" i="87"/>
  <c r="AV41" i="87"/>
  <c r="AU41" i="87"/>
  <c r="AT41" i="87"/>
  <c r="AS41" i="87"/>
  <c r="AR41" i="87"/>
  <c r="AQ41" i="87"/>
  <c r="AP41" i="87"/>
  <c r="AO41" i="87"/>
  <c r="AN41" i="87"/>
  <c r="AM41" i="87"/>
  <c r="AL41" i="87"/>
  <c r="AK41" i="87"/>
  <c r="AJ41" i="87"/>
  <c r="BG40" i="87"/>
  <c r="BF40" i="87"/>
  <c r="BE40" i="87"/>
  <c r="BD40" i="87"/>
  <c r="BC40" i="87"/>
  <c r="BB40" i="87"/>
  <c r="BA40" i="87"/>
  <c r="AZ40" i="87"/>
  <c r="AY40" i="87"/>
  <c r="AX40" i="87"/>
  <c r="AW40" i="87"/>
  <c r="AV40" i="87"/>
  <c r="AU40" i="87"/>
  <c r="AT40" i="87"/>
  <c r="AS40" i="87"/>
  <c r="AR40" i="87"/>
  <c r="AQ40" i="87"/>
  <c r="AP40" i="87"/>
  <c r="AO40" i="87"/>
  <c r="AN40" i="87"/>
  <c r="AM40" i="87"/>
  <c r="AL40" i="87"/>
  <c r="AK40" i="87"/>
  <c r="AJ40" i="87"/>
  <c r="BG39" i="87"/>
  <c r="BF39" i="87"/>
  <c r="BE39" i="87"/>
  <c r="BD39" i="87"/>
  <c r="BC39" i="87"/>
  <c r="BB39" i="87"/>
  <c r="BA39" i="87"/>
  <c r="AZ39" i="87"/>
  <c r="AY39" i="87"/>
  <c r="AX39" i="87"/>
  <c r="AW39" i="87"/>
  <c r="AV39" i="87"/>
  <c r="AU39" i="87"/>
  <c r="AT39" i="87"/>
  <c r="AS39" i="87"/>
  <c r="AR39" i="87"/>
  <c r="AQ39" i="87"/>
  <c r="AP39" i="87"/>
  <c r="AO39" i="87"/>
  <c r="AN39" i="87"/>
  <c r="AM39" i="87"/>
  <c r="AL39" i="87"/>
  <c r="AK39" i="87"/>
  <c r="AJ39" i="87"/>
  <c r="BG38" i="87"/>
  <c r="BF38" i="87"/>
  <c r="BE38" i="87"/>
  <c r="BD38" i="87"/>
  <c r="BC38" i="87"/>
  <c r="BB38" i="87"/>
  <c r="BA38" i="87"/>
  <c r="AZ38" i="87"/>
  <c r="AY38" i="87"/>
  <c r="AX38" i="87"/>
  <c r="AW38" i="87"/>
  <c r="AV38" i="87"/>
  <c r="AU38" i="87"/>
  <c r="AT38" i="87"/>
  <c r="AS38" i="87"/>
  <c r="AR38" i="87"/>
  <c r="AQ38" i="87"/>
  <c r="AP38" i="87"/>
  <c r="AO38" i="87"/>
  <c r="AN38" i="87"/>
  <c r="AM38" i="87"/>
  <c r="AL38" i="87"/>
  <c r="AK38" i="87"/>
  <c r="AJ38" i="87"/>
  <c r="BG37" i="87"/>
  <c r="BF37" i="87"/>
  <c r="BE37" i="87"/>
  <c r="BD37" i="87"/>
  <c r="BC37" i="87"/>
  <c r="BB37" i="87"/>
  <c r="BA37" i="87"/>
  <c r="AZ37" i="87"/>
  <c r="AY37" i="87"/>
  <c r="AX37" i="87"/>
  <c r="AW37" i="87"/>
  <c r="AV37" i="87"/>
  <c r="AU37" i="87"/>
  <c r="AT37" i="87"/>
  <c r="AS37" i="87"/>
  <c r="AR37" i="87"/>
  <c r="AQ37" i="87"/>
  <c r="AP37" i="87"/>
  <c r="AO37" i="87"/>
  <c r="AN37" i="87"/>
  <c r="AM37" i="87"/>
  <c r="AL37" i="87"/>
  <c r="AK37" i="87"/>
  <c r="AJ37" i="87"/>
  <c r="BG36" i="87"/>
  <c r="BF36" i="87"/>
  <c r="BE36" i="87"/>
  <c r="BD36" i="87"/>
  <c r="BC36" i="87"/>
  <c r="BB36" i="87"/>
  <c r="BA36" i="87"/>
  <c r="AZ36" i="87"/>
  <c r="AY36" i="87"/>
  <c r="AX36" i="87"/>
  <c r="AW36" i="87"/>
  <c r="AV36" i="87"/>
  <c r="AU36" i="87"/>
  <c r="AT36" i="87"/>
  <c r="AS36" i="87"/>
  <c r="AR36" i="87"/>
  <c r="AQ36" i="87"/>
  <c r="AP36" i="87"/>
  <c r="AO36" i="87"/>
  <c r="AN36" i="87"/>
  <c r="AM36" i="87"/>
  <c r="AL36" i="87"/>
  <c r="AK36" i="87"/>
  <c r="AJ36" i="87"/>
  <c r="BG35" i="87"/>
  <c r="BF35" i="87"/>
  <c r="BE35" i="87"/>
  <c r="BD35" i="87"/>
  <c r="BC35" i="87"/>
  <c r="BB35" i="87"/>
  <c r="BA35" i="87"/>
  <c r="AZ35" i="87"/>
  <c r="AY35" i="87"/>
  <c r="AX35" i="87"/>
  <c r="AW35" i="87"/>
  <c r="AV35" i="87"/>
  <c r="AU35" i="87"/>
  <c r="AT35" i="87"/>
  <c r="AS35" i="87"/>
  <c r="AR35" i="87"/>
  <c r="AQ35" i="87"/>
  <c r="AP35" i="87"/>
  <c r="AO35" i="87"/>
  <c r="AN35" i="87"/>
  <c r="AM35" i="87"/>
  <c r="AL35" i="87"/>
  <c r="AK35" i="87"/>
  <c r="AJ35" i="87"/>
  <c r="BG34" i="87"/>
  <c r="BF34" i="87"/>
  <c r="BE34" i="87"/>
  <c r="BD34" i="87"/>
  <c r="BC34" i="87"/>
  <c r="BB34" i="87"/>
  <c r="BA34" i="87"/>
  <c r="AZ34" i="87"/>
  <c r="AY34" i="87"/>
  <c r="AX34" i="87"/>
  <c r="AW34" i="87"/>
  <c r="AV34" i="87"/>
  <c r="AU34" i="87"/>
  <c r="AT34" i="87"/>
  <c r="AS34" i="87"/>
  <c r="AR34" i="87"/>
  <c r="AQ34" i="87"/>
  <c r="AP34" i="87"/>
  <c r="AO34" i="87"/>
  <c r="AN34" i="87"/>
  <c r="AM34" i="87"/>
  <c r="AL34" i="87"/>
  <c r="AK34" i="87"/>
  <c r="AJ34" i="87"/>
  <c r="BG33" i="87"/>
  <c r="BF33" i="87"/>
  <c r="BE33" i="87"/>
  <c r="BD33" i="87"/>
  <c r="BC33" i="87"/>
  <c r="BB33" i="87"/>
  <c r="BA33" i="87"/>
  <c r="AZ33" i="87"/>
  <c r="AY33" i="87"/>
  <c r="AX33" i="87"/>
  <c r="AW33" i="87"/>
  <c r="AV33" i="87"/>
  <c r="AU33" i="87"/>
  <c r="AT33" i="87"/>
  <c r="AS33" i="87"/>
  <c r="AR33" i="87"/>
  <c r="AQ33" i="87"/>
  <c r="AP33" i="87"/>
  <c r="AO33" i="87"/>
  <c r="AN33" i="87"/>
  <c r="AM33" i="87"/>
  <c r="AL33" i="87"/>
  <c r="AK33" i="87"/>
  <c r="AJ33" i="87"/>
  <c r="BG32" i="87"/>
  <c r="BF32" i="87"/>
  <c r="BE32" i="87"/>
  <c r="BD32" i="87"/>
  <c r="BC32" i="87"/>
  <c r="BB32" i="87"/>
  <c r="BA32" i="87"/>
  <c r="AZ32" i="87"/>
  <c r="AY32" i="87"/>
  <c r="AX32" i="87"/>
  <c r="AW32" i="87"/>
  <c r="AV32" i="87"/>
  <c r="AU32" i="87"/>
  <c r="AT32" i="87"/>
  <c r="AS32" i="87"/>
  <c r="AR32" i="87"/>
  <c r="AQ32" i="87"/>
  <c r="AP32" i="87"/>
  <c r="AO32" i="87"/>
  <c r="AN32" i="87"/>
  <c r="AM32" i="87"/>
  <c r="AL32" i="87"/>
  <c r="AK32" i="87"/>
  <c r="AJ32" i="87"/>
  <c r="BG31" i="87"/>
  <c r="BF31" i="87"/>
  <c r="BE31" i="87"/>
  <c r="BD31" i="87"/>
  <c r="BC31" i="87"/>
  <c r="BB31" i="87"/>
  <c r="BA31" i="87"/>
  <c r="AZ31" i="87"/>
  <c r="AY31" i="87"/>
  <c r="AX31" i="87"/>
  <c r="AW31" i="87"/>
  <c r="AV31" i="87"/>
  <c r="AU31" i="87"/>
  <c r="AT31" i="87"/>
  <c r="AS31" i="87"/>
  <c r="AR31" i="87"/>
  <c r="AQ31" i="87"/>
  <c r="AP31" i="87"/>
  <c r="AO31" i="87"/>
  <c r="AN31" i="87"/>
  <c r="AM31" i="87"/>
  <c r="AL31" i="87"/>
  <c r="AK31" i="87"/>
  <c r="AJ31" i="87"/>
  <c r="BG30" i="87"/>
  <c r="BF30" i="87"/>
  <c r="BE30" i="87"/>
  <c r="BD30" i="87"/>
  <c r="BC30" i="87"/>
  <c r="BB30" i="87"/>
  <c r="BA30" i="87"/>
  <c r="AZ30" i="87"/>
  <c r="AY30" i="87"/>
  <c r="AX30" i="87"/>
  <c r="AW30" i="87"/>
  <c r="AV30" i="87"/>
  <c r="AU30" i="87"/>
  <c r="AT30" i="87"/>
  <c r="AS30" i="87"/>
  <c r="AR30" i="87"/>
  <c r="AQ30" i="87"/>
  <c r="AP30" i="87"/>
  <c r="AO30" i="87"/>
  <c r="AN30" i="87"/>
  <c r="AM30" i="87"/>
  <c r="AL30" i="87"/>
  <c r="AK30" i="87"/>
  <c r="AJ30" i="87"/>
  <c r="BG29" i="87"/>
  <c r="BF29" i="87"/>
  <c r="BE29" i="87"/>
  <c r="BD29" i="87"/>
  <c r="BC29" i="87"/>
  <c r="BB29" i="87"/>
  <c r="BA29" i="87"/>
  <c r="AZ29" i="87"/>
  <c r="AY29" i="87"/>
  <c r="AX29" i="87"/>
  <c r="AW29" i="87"/>
  <c r="AV29" i="87"/>
  <c r="AU29" i="87"/>
  <c r="AT29" i="87"/>
  <c r="AS29" i="87"/>
  <c r="AR29" i="87"/>
  <c r="AQ29" i="87"/>
  <c r="AP29" i="87"/>
  <c r="AO29" i="87"/>
  <c r="AN29" i="87"/>
  <c r="AM29" i="87"/>
  <c r="AL29" i="87"/>
  <c r="AK29" i="87"/>
  <c r="AJ29" i="87"/>
  <c r="BG28" i="87"/>
  <c r="BF28" i="87"/>
  <c r="BE28" i="87"/>
  <c r="BD28" i="87"/>
  <c r="BC28" i="87"/>
  <c r="BB28" i="87"/>
  <c r="BA28" i="87"/>
  <c r="AZ28" i="87"/>
  <c r="AY28" i="87"/>
  <c r="AX28" i="87"/>
  <c r="AW28" i="87"/>
  <c r="AV28" i="87"/>
  <c r="AU28" i="87"/>
  <c r="AT28" i="87"/>
  <c r="AS28" i="87"/>
  <c r="AR28" i="87"/>
  <c r="AQ28" i="87"/>
  <c r="AP28" i="87"/>
  <c r="AO28" i="87"/>
  <c r="AN28" i="87"/>
  <c r="AM28" i="87"/>
  <c r="AL28" i="87"/>
  <c r="AK28" i="87"/>
  <c r="AJ28" i="87"/>
  <c r="BG27" i="87"/>
  <c r="BF27" i="87"/>
  <c r="BE27" i="87"/>
  <c r="BD27" i="87"/>
  <c r="BC27" i="87"/>
  <c r="BB27" i="87"/>
  <c r="BA27" i="87"/>
  <c r="AZ27" i="87"/>
  <c r="AY27" i="87"/>
  <c r="AX27" i="87"/>
  <c r="AW27" i="87"/>
  <c r="AV27" i="87"/>
  <c r="AU27" i="87"/>
  <c r="AT27" i="87"/>
  <c r="AS27" i="87"/>
  <c r="AR27" i="87"/>
  <c r="AQ27" i="87"/>
  <c r="AP27" i="87"/>
  <c r="AO27" i="87"/>
  <c r="AN27" i="87"/>
  <c r="AM27" i="87"/>
  <c r="AL27" i="87"/>
  <c r="AK27" i="87"/>
  <c r="AJ27" i="87"/>
  <c r="BG26" i="87"/>
  <c r="BF26" i="87"/>
  <c r="BE26" i="87"/>
  <c r="BD26" i="87"/>
  <c r="BC26" i="87"/>
  <c r="BB26" i="87"/>
  <c r="BA26" i="87"/>
  <c r="AZ26" i="87"/>
  <c r="AY26" i="87"/>
  <c r="AX26" i="87"/>
  <c r="AW26" i="87"/>
  <c r="AV26" i="87"/>
  <c r="AU26" i="87"/>
  <c r="AT26" i="87"/>
  <c r="AS26" i="87"/>
  <c r="AR26" i="87"/>
  <c r="AQ26" i="87"/>
  <c r="AP26" i="87"/>
  <c r="AO26" i="87"/>
  <c r="AN26" i="87"/>
  <c r="AM26" i="87"/>
  <c r="AL26" i="87"/>
  <c r="AK26" i="87"/>
  <c r="AJ26" i="87"/>
  <c r="BG25" i="87"/>
  <c r="BF25" i="87"/>
  <c r="BE25" i="87"/>
  <c r="BD25" i="87"/>
  <c r="BC25" i="87"/>
  <c r="BB25" i="87"/>
  <c r="BA25" i="87"/>
  <c r="AZ25" i="87"/>
  <c r="AY25" i="87"/>
  <c r="AX25" i="87"/>
  <c r="AW25" i="87"/>
  <c r="AV25" i="87"/>
  <c r="AU25" i="87"/>
  <c r="AT25" i="87"/>
  <c r="AS25" i="87"/>
  <c r="AR25" i="87"/>
  <c r="AQ25" i="87"/>
  <c r="AP25" i="87"/>
  <c r="AO25" i="87"/>
  <c r="AN25" i="87"/>
  <c r="AM25" i="87"/>
  <c r="AL25" i="87"/>
  <c r="AK25" i="87"/>
  <c r="AJ25" i="87"/>
  <c r="BG24" i="87"/>
  <c r="BF24" i="87"/>
  <c r="BE24" i="87"/>
  <c r="BD24" i="87"/>
  <c r="BC24" i="87"/>
  <c r="BB24" i="87"/>
  <c r="BA24" i="87"/>
  <c r="AZ24" i="87"/>
  <c r="AY24" i="87"/>
  <c r="AX24" i="87"/>
  <c r="AW24" i="87"/>
  <c r="AV24" i="87"/>
  <c r="AU24" i="87"/>
  <c r="AT24" i="87"/>
  <c r="AS24" i="87"/>
  <c r="AR24" i="87"/>
  <c r="AQ24" i="87"/>
  <c r="AP24" i="87"/>
  <c r="AO24" i="87"/>
  <c r="AN24" i="87"/>
  <c r="AM24" i="87"/>
  <c r="AL24" i="87"/>
  <c r="AK24" i="87"/>
  <c r="AJ24" i="87"/>
  <c r="BG23" i="87"/>
  <c r="BF23" i="87"/>
  <c r="BE23" i="87"/>
  <c r="BD23" i="87"/>
  <c r="BC23" i="87"/>
  <c r="BB23" i="87"/>
  <c r="BA23" i="87"/>
  <c r="AZ23" i="87"/>
  <c r="AY23" i="87"/>
  <c r="AX23" i="87"/>
  <c r="AW23" i="87"/>
  <c r="AV23" i="87"/>
  <c r="AU23" i="87"/>
  <c r="AT23" i="87"/>
  <c r="AS23" i="87"/>
  <c r="AR23" i="87"/>
  <c r="AQ23" i="87"/>
  <c r="AP23" i="87"/>
  <c r="AO23" i="87"/>
  <c r="AN23" i="87"/>
  <c r="AM23" i="87"/>
  <c r="AL23" i="87"/>
  <c r="AK23" i="87"/>
  <c r="AJ23" i="87"/>
  <c r="BG22" i="87"/>
  <c r="BF22" i="87"/>
  <c r="BE22" i="87"/>
  <c r="BD22" i="87"/>
  <c r="BC22" i="87"/>
  <c r="BB22" i="87"/>
  <c r="BA22" i="87"/>
  <c r="AZ22" i="87"/>
  <c r="AY22" i="87"/>
  <c r="AX22" i="87"/>
  <c r="AW22" i="87"/>
  <c r="AV22" i="87"/>
  <c r="AU22" i="87"/>
  <c r="AT22" i="87"/>
  <c r="AS22" i="87"/>
  <c r="AR22" i="87"/>
  <c r="AQ22" i="87"/>
  <c r="AP22" i="87"/>
  <c r="AO22" i="87"/>
  <c r="AN22" i="87"/>
  <c r="AM22" i="87"/>
  <c r="AL22" i="87"/>
  <c r="AK22" i="87"/>
  <c r="AJ22" i="87"/>
  <c r="BG21" i="87"/>
  <c r="BF21" i="87"/>
  <c r="BE21" i="87"/>
  <c r="BD21" i="87"/>
  <c r="BC21" i="87"/>
  <c r="BB21" i="87"/>
  <c r="BA21" i="87"/>
  <c r="AZ21" i="87"/>
  <c r="AY21" i="87"/>
  <c r="AX21" i="87"/>
  <c r="AW21" i="87"/>
  <c r="AV21" i="87"/>
  <c r="AU21" i="87"/>
  <c r="AT21" i="87"/>
  <c r="AS21" i="87"/>
  <c r="AR21" i="87"/>
  <c r="AQ21" i="87"/>
  <c r="AP21" i="87"/>
  <c r="AO21" i="87"/>
  <c r="AN21" i="87"/>
  <c r="AM21" i="87"/>
  <c r="AL21" i="87"/>
  <c r="AK21" i="87"/>
  <c r="AJ21" i="87"/>
  <c r="BG20" i="87"/>
  <c r="BF20" i="87"/>
  <c r="BE20" i="87"/>
  <c r="BD20" i="87"/>
  <c r="BC20" i="87"/>
  <c r="BB20" i="87"/>
  <c r="BA20" i="87"/>
  <c r="AZ20" i="87"/>
  <c r="AY20" i="87"/>
  <c r="AX20" i="87"/>
  <c r="AW20" i="87"/>
  <c r="AV20" i="87"/>
  <c r="AU20" i="87"/>
  <c r="AT20" i="87"/>
  <c r="AS20" i="87"/>
  <c r="AR20" i="87"/>
  <c r="AQ20" i="87"/>
  <c r="AP20" i="87"/>
  <c r="AO20" i="87"/>
  <c r="AN20" i="87"/>
  <c r="AM20" i="87"/>
  <c r="AL20" i="87"/>
  <c r="AK20" i="87"/>
  <c r="AJ20" i="87"/>
  <c r="BG19" i="87"/>
  <c r="BF19" i="87"/>
  <c r="BE19" i="87"/>
  <c r="BD19" i="87"/>
  <c r="BC19" i="87"/>
  <c r="BB19" i="87"/>
  <c r="BA19" i="87"/>
  <c r="AZ19" i="87"/>
  <c r="AY19" i="87"/>
  <c r="AX19" i="87"/>
  <c r="AW19" i="87"/>
  <c r="AV19" i="87"/>
  <c r="AU19" i="87"/>
  <c r="AT19" i="87"/>
  <c r="AS19" i="87"/>
  <c r="AR19" i="87"/>
  <c r="AQ19" i="87"/>
  <c r="AP19" i="87"/>
  <c r="AO19" i="87"/>
  <c r="AN19" i="87"/>
  <c r="AM19" i="87"/>
  <c r="AL19" i="87"/>
  <c r="AK19" i="87"/>
  <c r="AJ19" i="87"/>
  <c r="BG18" i="87"/>
  <c r="BF18" i="87"/>
  <c r="BE18" i="87"/>
  <c r="BD18" i="87"/>
  <c r="BC18" i="87"/>
  <c r="BB18" i="87"/>
  <c r="BA18" i="87"/>
  <c r="AZ18" i="87"/>
  <c r="AY18" i="87"/>
  <c r="AX18" i="87"/>
  <c r="AW18" i="87"/>
  <c r="AV18" i="87"/>
  <c r="AU18" i="87"/>
  <c r="AT18" i="87"/>
  <c r="AS18" i="87"/>
  <c r="AR18" i="87"/>
  <c r="AQ18" i="87"/>
  <c r="AP18" i="87"/>
  <c r="AO18" i="87"/>
  <c r="AN18" i="87"/>
  <c r="AM18" i="87"/>
  <c r="AL18" i="87"/>
  <c r="AK18" i="87"/>
  <c r="AJ18" i="87"/>
  <c r="BG17" i="87"/>
  <c r="BF17" i="87"/>
  <c r="BE17" i="87"/>
  <c r="BD17" i="87"/>
  <c r="BC17" i="87"/>
  <c r="BB17" i="87"/>
  <c r="BA17" i="87"/>
  <c r="AZ17" i="87"/>
  <c r="AY17" i="87"/>
  <c r="AX17" i="87"/>
  <c r="AW17" i="87"/>
  <c r="AV17" i="87"/>
  <c r="AU17" i="87"/>
  <c r="AT17" i="87"/>
  <c r="AS17" i="87"/>
  <c r="AR17" i="87"/>
  <c r="AQ17" i="87"/>
  <c r="AP17" i="87"/>
  <c r="AO17" i="87"/>
  <c r="AN17" i="87"/>
  <c r="AM17" i="87"/>
  <c r="AL17" i="87"/>
  <c r="AK17" i="87"/>
  <c r="AJ17" i="87"/>
  <c r="BG16" i="87"/>
  <c r="BF16" i="87"/>
  <c r="BE16" i="87"/>
  <c r="BD16" i="87"/>
  <c r="BC16" i="87"/>
  <c r="BB16" i="87"/>
  <c r="BA16" i="87"/>
  <c r="AZ16" i="87"/>
  <c r="AY16" i="87"/>
  <c r="AX16" i="87"/>
  <c r="AW16" i="87"/>
  <c r="AV16" i="87"/>
  <c r="AU16" i="87"/>
  <c r="AT16" i="87"/>
  <c r="AS16" i="87"/>
  <c r="AR16" i="87"/>
  <c r="AQ16" i="87"/>
  <c r="AP16" i="87"/>
  <c r="AO16" i="87"/>
  <c r="AN16" i="87"/>
  <c r="AM16" i="87"/>
  <c r="AL16" i="87"/>
  <c r="AK16" i="87"/>
  <c r="AJ16" i="87"/>
  <c r="BG15" i="87"/>
  <c r="BF15" i="87"/>
  <c r="BE15" i="87"/>
  <c r="BD15" i="87"/>
  <c r="BC15" i="87"/>
  <c r="BB15" i="87"/>
  <c r="BA15" i="87"/>
  <c r="AZ15" i="87"/>
  <c r="AY15" i="87"/>
  <c r="AX15" i="87"/>
  <c r="AW15" i="87"/>
  <c r="AV15" i="87"/>
  <c r="AU15" i="87"/>
  <c r="AT15" i="87"/>
  <c r="AS15" i="87"/>
  <c r="AR15" i="87"/>
  <c r="AQ15" i="87"/>
  <c r="AP15" i="87"/>
  <c r="AO15" i="87"/>
  <c r="AN15" i="87"/>
  <c r="AM15" i="87"/>
  <c r="AL15" i="87"/>
  <c r="AK15" i="87"/>
  <c r="AJ15" i="87"/>
  <c r="BL14" i="87"/>
  <c r="BK14" i="87"/>
  <c r="BJ14" i="87"/>
  <c r="BI14" i="87"/>
  <c r="BH14" i="87"/>
  <c r="BG14" i="87"/>
  <c r="BF14" i="87"/>
  <c r="BE14" i="87"/>
  <c r="BD14" i="87"/>
  <c r="BC14" i="87"/>
  <c r="BB14" i="87"/>
  <c r="BA14" i="87"/>
  <c r="AZ14" i="87"/>
  <c r="AY14" i="87"/>
  <c r="AX14" i="87"/>
  <c r="AW14" i="87"/>
  <c r="AV14" i="87"/>
  <c r="AU14" i="87"/>
  <c r="AT14" i="87"/>
  <c r="AS14" i="87"/>
  <c r="AR14" i="87"/>
  <c r="AQ14" i="87"/>
  <c r="AP14" i="87"/>
  <c r="AO14" i="87"/>
  <c r="AN14" i="87"/>
  <c r="AM14" i="87"/>
  <c r="AL14" i="87"/>
  <c r="BL13" i="87"/>
  <c r="BK13" i="87"/>
  <c r="BJ13" i="87"/>
  <c r="BI13" i="87"/>
  <c r="BH13" i="87"/>
  <c r="BG13" i="87"/>
  <c r="BF13" i="87"/>
  <c r="BE13" i="87"/>
  <c r="BD13" i="87"/>
  <c r="BA13" i="87"/>
  <c r="AZ13" i="87"/>
  <c r="AY13" i="87"/>
  <c r="AX13" i="87"/>
  <c r="AW13" i="87"/>
  <c r="AV13" i="87"/>
  <c r="AU13" i="87"/>
  <c r="AT13" i="87"/>
  <c r="AS13" i="87"/>
  <c r="AR13" i="87"/>
  <c r="AQ13" i="87"/>
  <c r="AP13" i="87"/>
  <c r="AO13" i="87"/>
  <c r="AN13" i="87"/>
  <c r="AM13" i="87"/>
  <c r="AL13" i="87"/>
  <c r="BG44" i="88"/>
  <c r="BF44" i="88"/>
  <c r="BE44" i="88"/>
  <c r="BD44" i="88"/>
  <c r="BC44" i="88"/>
  <c r="BB44" i="88"/>
  <c r="BA44" i="88"/>
  <c r="AZ44" i="88"/>
  <c r="AY44" i="88"/>
  <c r="AX44" i="88"/>
  <c r="AW44" i="88"/>
  <c r="AV44" i="88"/>
  <c r="AU44" i="88"/>
  <c r="AT44" i="88"/>
  <c r="AS44" i="88"/>
  <c r="AR44" i="88"/>
  <c r="AQ44" i="88"/>
  <c r="AP44" i="88"/>
  <c r="AO44" i="88"/>
  <c r="AN44" i="88"/>
  <c r="AM44" i="88"/>
  <c r="AL44" i="88"/>
  <c r="AK44" i="88"/>
  <c r="AJ44" i="88"/>
  <c r="BG43" i="88"/>
  <c r="BF43" i="88"/>
  <c r="BE43" i="88"/>
  <c r="BD43" i="88"/>
  <c r="BC43" i="88"/>
  <c r="BB43" i="88"/>
  <c r="BA43" i="88"/>
  <c r="AZ43" i="88"/>
  <c r="AY43" i="88"/>
  <c r="AX43" i="88"/>
  <c r="AW43" i="88"/>
  <c r="AV43" i="88"/>
  <c r="AU43" i="88"/>
  <c r="AT43" i="88"/>
  <c r="AS43" i="88"/>
  <c r="AR43" i="88"/>
  <c r="AQ43" i="88"/>
  <c r="AP43" i="88"/>
  <c r="AO43" i="88"/>
  <c r="AN43" i="88"/>
  <c r="AM43" i="88"/>
  <c r="AL43" i="88"/>
  <c r="AK43" i="88"/>
  <c r="AJ43" i="88"/>
  <c r="BG42" i="88"/>
  <c r="BF42" i="88"/>
  <c r="BE42" i="88"/>
  <c r="BD42" i="88"/>
  <c r="BC42" i="88"/>
  <c r="BB42" i="88"/>
  <c r="BA42" i="88"/>
  <c r="AZ42" i="88"/>
  <c r="AY42" i="88"/>
  <c r="AX42" i="88"/>
  <c r="AW42" i="88"/>
  <c r="AV42" i="88"/>
  <c r="AU42" i="88"/>
  <c r="AT42" i="88"/>
  <c r="AS42" i="88"/>
  <c r="AR42" i="88"/>
  <c r="AQ42" i="88"/>
  <c r="AP42" i="88"/>
  <c r="AO42" i="88"/>
  <c r="AN42" i="88"/>
  <c r="AM42" i="88"/>
  <c r="AL42" i="88"/>
  <c r="AK42" i="88"/>
  <c r="AJ42" i="88"/>
  <c r="BG41" i="88"/>
  <c r="BF41" i="88"/>
  <c r="BE41" i="88"/>
  <c r="BD41" i="88"/>
  <c r="BC41" i="88"/>
  <c r="BB41" i="88"/>
  <c r="BA41" i="88"/>
  <c r="AZ41" i="88"/>
  <c r="AY41" i="88"/>
  <c r="AX41" i="88"/>
  <c r="AW41" i="88"/>
  <c r="AV41" i="88"/>
  <c r="AU41" i="88"/>
  <c r="AT41" i="88"/>
  <c r="AS41" i="88"/>
  <c r="AR41" i="88"/>
  <c r="AQ41" i="88"/>
  <c r="AP41" i="88"/>
  <c r="AO41" i="88"/>
  <c r="AN41" i="88"/>
  <c r="AM41" i="88"/>
  <c r="AL41" i="88"/>
  <c r="AK41" i="88"/>
  <c r="AJ41" i="88"/>
  <c r="BG40" i="88"/>
  <c r="BF40" i="88"/>
  <c r="BE40" i="88"/>
  <c r="BD40" i="88"/>
  <c r="BC40" i="88"/>
  <c r="BB40" i="88"/>
  <c r="BA40" i="88"/>
  <c r="AZ40" i="88"/>
  <c r="AY40" i="88"/>
  <c r="AX40" i="88"/>
  <c r="AW40" i="88"/>
  <c r="AV40" i="88"/>
  <c r="AU40" i="88"/>
  <c r="AT40" i="88"/>
  <c r="AS40" i="88"/>
  <c r="AR40" i="88"/>
  <c r="AQ40" i="88"/>
  <c r="AP40" i="88"/>
  <c r="AO40" i="88"/>
  <c r="AN40" i="88"/>
  <c r="AM40" i="88"/>
  <c r="AL40" i="88"/>
  <c r="AK40" i="88"/>
  <c r="AJ40" i="88"/>
  <c r="BG39" i="88"/>
  <c r="BF39" i="88"/>
  <c r="BE39" i="88"/>
  <c r="BD39" i="88"/>
  <c r="BC39" i="88"/>
  <c r="BB39" i="88"/>
  <c r="BA39" i="88"/>
  <c r="AZ39" i="88"/>
  <c r="AY39" i="88"/>
  <c r="AX39" i="88"/>
  <c r="AW39" i="88"/>
  <c r="AV39" i="88"/>
  <c r="AU39" i="88"/>
  <c r="AT39" i="88"/>
  <c r="AS39" i="88"/>
  <c r="AR39" i="88"/>
  <c r="AQ39" i="88"/>
  <c r="AP39" i="88"/>
  <c r="AO39" i="88"/>
  <c r="AN39" i="88"/>
  <c r="AM39" i="88"/>
  <c r="AL39" i="88"/>
  <c r="AK39" i="88"/>
  <c r="AJ39" i="88"/>
  <c r="BG38" i="88"/>
  <c r="BF38" i="88"/>
  <c r="BE38" i="88"/>
  <c r="BD38" i="88"/>
  <c r="BC38" i="88"/>
  <c r="BB38" i="88"/>
  <c r="BA38" i="88"/>
  <c r="AZ38" i="88"/>
  <c r="AY38" i="88"/>
  <c r="AX38" i="88"/>
  <c r="AW38" i="88"/>
  <c r="AV38" i="88"/>
  <c r="AU38" i="88"/>
  <c r="AT38" i="88"/>
  <c r="AS38" i="88"/>
  <c r="AR38" i="88"/>
  <c r="AQ38" i="88"/>
  <c r="AP38" i="88"/>
  <c r="AO38" i="88"/>
  <c r="AN38" i="88"/>
  <c r="AM38" i="88"/>
  <c r="AL38" i="88"/>
  <c r="AK38" i="88"/>
  <c r="AJ38" i="88"/>
  <c r="BG37" i="88"/>
  <c r="BF37" i="88"/>
  <c r="BE37" i="88"/>
  <c r="BD37" i="88"/>
  <c r="BC37" i="88"/>
  <c r="BB37" i="88"/>
  <c r="BA37" i="88"/>
  <c r="AZ37" i="88"/>
  <c r="AY37" i="88"/>
  <c r="AX37" i="88"/>
  <c r="AW37" i="88"/>
  <c r="AV37" i="88"/>
  <c r="AU37" i="88"/>
  <c r="AT37" i="88"/>
  <c r="AS37" i="88"/>
  <c r="AR37" i="88"/>
  <c r="AQ37" i="88"/>
  <c r="AP37" i="88"/>
  <c r="AO37" i="88"/>
  <c r="AN37" i="88"/>
  <c r="AM37" i="88"/>
  <c r="AL37" i="88"/>
  <c r="AK37" i="88"/>
  <c r="AJ37" i="88"/>
  <c r="BG36" i="88"/>
  <c r="BF36" i="88"/>
  <c r="BE36" i="88"/>
  <c r="BD36" i="88"/>
  <c r="BC36" i="88"/>
  <c r="BB36" i="88"/>
  <c r="BA36" i="88"/>
  <c r="AZ36" i="88"/>
  <c r="AY36" i="88"/>
  <c r="AX36" i="88"/>
  <c r="AW36" i="88"/>
  <c r="AV36" i="88"/>
  <c r="AU36" i="88"/>
  <c r="AT36" i="88"/>
  <c r="AS36" i="88"/>
  <c r="AR36" i="88"/>
  <c r="AQ36" i="88"/>
  <c r="AP36" i="88"/>
  <c r="AO36" i="88"/>
  <c r="AN36" i="88"/>
  <c r="AM36" i="88"/>
  <c r="AL36" i="88"/>
  <c r="AK36" i="88"/>
  <c r="AJ36" i="88"/>
  <c r="BG35" i="88"/>
  <c r="BF35" i="88"/>
  <c r="BE35" i="88"/>
  <c r="BD35" i="88"/>
  <c r="BC35" i="88"/>
  <c r="BB35" i="88"/>
  <c r="BA35" i="88"/>
  <c r="AZ35" i="88"/>
  <c r="AY35" i="88"/>
  <c r="AX35" i="88"/>
  <c r="AW35" i="88"/>
  <c r="AV35" i="88"/>
  <c r="AU35" i="88"/>
  <c r="AT35" i="88"/>
  <c r="AS35" i="88"/>
  <c r="AR35" i="88"/>
  <c r="AQ35" i="88"/>
  <c r="AP35" i="88"/>
  <c r="AO35" i="88"/>
  <c r="AN35" i="88"/>
  <c r="AM35" i="88"/>
  <c r="AL35" i="88"/>
  <c r="AK35" i="88"/>
  <c r="AJ35" i="88"/>
  <c r="BG34" i="88"/>
  <c r="BF34" i="88"/>
  <c r="BE34" i="88"/>
  <c r="BD34" i="88"/>
  <c r="BC34" i="88"/>
  <c r="BB34" i="88"/>
  <c r="BA34" i="88"/>
  <c r="AZ34" i="88"/>
  <c r="AY34" i="88"/>
  <c r="AX34" i="88"/>
  <c r="AW34" i="88"/>
  <c r="AV34" i="88"/>
  <c r="AU34" i="88"/>
  <c r="AT34" i="88"/>
  <c r="AS34" i="88"/>
  <c r="AR34" i="88"/>
  <c r="AQ34" i="88"/>
  <c r="AP34" i="88"/>
  <c r="AO34" i="88"/>
  <c r="AN34" i="88"/>
  <c r="AM34" i="88"/>
  <c r="AL34" i="88"/>
  <c r="AK34" i="88"/>
  <c r="AJ34" i="88"/>
  <c r="BG33" i="88"/>
  <c r="BF33" i="88"/>
  <c r="BE33" i="88"/>
  <c r="BD33" i="88"/>
  <c r="BC33" i="88"/>
  <c r="BB33" i="88"/>
  <c r="BA33" i="88"/>
  <c r="AZ33" i="88"/>
  <c r="AY33" i="88"/>
  <c r="AX33" i="88"/>
  <c r="AW33" i="88"/>
  <c r="AV33" i="88"/>
  <c r="AU33" i="88"/>
  <c r="AT33" i="88"/>
  <c r="AS33" i="88"/>
  <c r="AR33" i="88"/>
  <c r="AQ33" i="88"/>
  <c r="AP33" i="88"/>
  <c r="AO33" i="88"/>
  <c r="AN33" i="88"/>
  <c r="AM33" i="88"/>
  <c r="AL33" i="88"/>
  <c r="AK33" i="88"/>
  <c r="AJ33" i="88"/>
  <c r="BG32" i="88"/>
  <c r="BF32" i="88"/>
  <c r="BE32" i="88"/>
  <c r="BD32" i="88"/>
  <c r="BC32" i="88"/>
  <c r="BB32" i="88"/>
  <c r="BA32" i="88"/>
  <c r="AZ32" i="88"/>
  <c r="AY32" i="88"/>
  <c r="AX32" i="88"/>
  <c r="AW32" i="88"/>
  <c r="AV32" i="88"/>
  <c r="AU32" i="88"/>
  <c r="AT32" i="88"/>
  <c r="AS32" i="88"/>
  <c r="AR32" i="88"/>
  <c r="AQ32" i="88"/>
  <c r="AP32" i="88"/>
  <c r="AO32" i="88"/>
  <c r="AN32" i="88"/>
  <c r="AM32" i="88"/>
  <c r="AL32" i="88"/>
  <c r="AK32" i="88"/>
  <c r="AJ32" i="88"/>
  <c r="BG31" i="88"/>
  <c r="BF31" i="88"/>
  <c r="BE31" i="88"/>
  <c r="BD31" i="88"/>
  <c r="BC31" i="88"/>
  <c r="BB31" i="88"/>
  <c r="BA31" i="88"/>
  <c r="AZ31" i="88"/>
  <c r="AY31" i="88"/>
  <c r="AX31" i="88"/>
  <c r="AW31" i="88"/>
  <c r="AV31" i="88"/>
  <c r="AU31" i="88"/>
  <c r="AT31" i="88"/>
  <c r="AS31" i="88"/>
  <c r="AR31" i="88"/>
  <c r="AQ31" i="88"/>
  <c r="AP31" i="88"/>
  <c r="AO31" i="88"/>
  <c r="AN31" i="88"/>
  <c r="AM31" i="88"/>
  <c r="AL31" i="88"/>
  <c r="AK31" i="88"/>
  <c r="AJ31" i="88"/>
  <c r="BG30" i="88"/>
  <c r="BF30" i="88"/>
  <c r="BE30" i="88"/>
  <c r="BD30" i="88"/>
  <c r="BC30" i="88"/>
  <c r="BB30" i="88"/>
  <c r="BA30" i="88"/>
  <c r="AZ30" i="88"/>
  <c r="AY30" i="88"/>
  <c r="AX30" i="88"/>
  <c r="AW30" i="88"/>
  <c r="AV30" i="88"/>
  <c r="AU30" i="88"/>
  <c r="AT30" i="88"/>
  <c r="AS30" i="88"/>
  <c r="AR30" i="88"/>
  <c r="AQ30" i="88"/>
  <c r="AP30" i="88"/>
  <c r="AO30" i="88"/>
  <c r="AN30" i="88"/>
  <c r="AM30" i="88"/>
  <c r="AL30" i="88"/>
  <c r="AK30" i="88"/>
  <c r="AJ30" i="88"/>
  <c r="BG29" i="88"/>
  <c r="BF29" i="88"/>
  <c r="BE29" i="88"/>
  <c r="BD29" i="88"/>
  <c r="BC29" i="88"/>
  <c r="BB29" i="88"/>
  <c r="BA29" i="88"/>
  <c r="AZ29" i="88"/>
  <c r="AY29" i="88"/>
  <c r="AX29" i="88"/>
  <c r="AW29" i="88"/>
  <c r="AV29" i="88"/>
  <c r="AU29" i="88"/>
  <c r="AT29" i="88"/>
  <c r="AS29" i="88"/>
  <c r="AR29" i="88"/>
  <c r="AQ29" i="88"/>
  <c r="AP29" i="88"/>
  <c r="AO29" i="88"/>
  <c r="AN29" i="88"/>
  <c r="AM29" i="88"/>
  <c r="AL29" i="88"/>
  <c r="AK29" i="88"/>
  <c r="AJ29" i="88"/>
  <c r="BG28" i="88"/>
  <c r="BF28" i="88"/>
  <c r="BE28" i="88"/>
  <c r="BD28" i="88"/>
  <c r="BC28" i="88"/>
  <c r="BB28" i="88"/>
  <c r="BA28" i="88"/>
  <c r="AZ28" i="88"/>
  <c r="AY28" i="88"/>
  <c r="AX28" i="88"/>
  <c r="AW28" i="88"/>
  <c r="AV28" i="88"/>
  <c r="AU28" i="88"/>
  <c r="AT28" i="88"/>
  <c r="AS28" i="88"/>
  <c r="AR28" i="88"/>
  <c r="AQ28" i="88"/>
  <c r="AP28" i="88"/>
  <c r="AO28" i="88"/>
  <c r="AN28" i="88"/>
  <c r="AM28" i="88"/>
  <c r="AL28" i="88"/>
  <c r="AK28" i="88"/>
  <c r="AJ28" i="88"/>
  <c r="BG27" i="88"/>
  <c r="BF27" i="88"/>
  <c r="BE27" i="88"/>
  <c r="BD27" i="88"/>
  <c r="BC27" i="88"/>
  <c r="BB27" i="88"/>
  <c r="BA27" i="88"/>
  <c r="AZ27" i="88"/>
  <c r="AY27" i="88"/>
  <c r="AX27" i="88"/>
  <c r="AW27" i="88"/>
  <c r="AV27" i="88"/>
  <c r="AU27" i="88"/>
  <c r="AT27" i="88"/>
  <c r="AS27" i="88"/>
  <c r="AR27" i="88"/>
  <c r="AQ27" i="88"/>
  <c r="AP27" i="88"/>
  <c r="AO27" i="88"/>
  <c r="AN27" i="88"/>
  <c r="AM27" i="88"/>
  <c r="AL27" i="88"/>
  <c r="AK27" i="88"/>
  <c r="AJ27" i="88"/>
  <c r="BG26" i="88"/>
  <c r="BF26" i="88"/>
  <c r="BE26" i="88"/>
  <c r="BD26" i="88"/>
  <c r="BC26" i="88"/>
  <c r="BB26" i="88"/>
  <c r="BA26" i="88"/>
  <c r="AZ26" i="88"/>
  <c r="AY26" i="88"/>
  <c r="AX26" i="88"/>
  <c r="AW26" i="88"/>
  <c r="AV26" i="88"/>
  <c r="AU26" i="88"/>
  <c r="AT26" i="88"/>
  <c r="AS26" i="88"/>
  <c r="AR26" i="88"/>
  <c r="AQ26" i="88"/>
  <c r="AP26" i="88"/>
  <c r="AO26" i="88"/>
  <c r="AN26" i="88"/>
  <c r="AM26" i="88"/>
  <c r="AL26" i="88"/>
  <c r="AK26" i="88"/>
  <c r="AJ26" i="88"/>
  <c r="BG25" i="88"/>
  <c r="BF25" i="88"/>
  <c r="BE25" i="88"/>
  <c r="BD25" i="88"/>
  <c r="BC25" i="88"/>
  <c r="BB25" i="88"/>
  <c r="BA25" i="88"/>
  <c r="AZ25" i="88"/>
  <c r="AY25" i="88"/>
  <c r="AX25" i="88"/>
  <c r="AW25" i="88"/>
  <c r="AV25" i="88"/>
  <c r="AU25" i="88"/>
  <c r="AT25" i="88"/>
  <c r="AS25" i="88"/>
  <c r="AR25" i="88"/>
  <c r="AQ25" i="88"/>
  <c r="AP25" i="88"/>
  <c r="AO25" i="88"/>
  <c r="AN25" i="88"/>
  <c r="AM25" i="88"/>
  <c r="AL25" i="88"/>
  <c r="AK25" i="88"/>
  <c r="AJ25" i="88"/>
  <c r="BG24" i="88"/>
  <c r="BF24" i="88"/>
  <c r="BE24" i="88"/>
  <c r="BD24" i="88"/>
  <c r="BC24" i="88"/>
  <c r="BB24" i="88"/>
  <c r="BA24" i="88"/>
  <c r="AZ24" i="88"/>
  <c r="AY24" i="88"/>
  <c r="AX24" i="88"/>
  <c r="AW24" i="88"/>
  <c r="AV24" i="88"/>
  <c r="AU24" i="88"/>
  <c r="AT24" i="88"/>
  <c r="AS24" i="88"/>
  <c r="AR24" i="88"/>
  <c r="AQ24" i="88"/>
  <c r="AP24" i="88"/>
  <c r="AO24" i="88"/>
  <c r="AN24" i="88"/>
  <c r="AM24" i="88"/>
  <c r="AL24" i="88"/>
  <c r="AK24" i="88"/>
  <c r="AJ24" i="88"/>
  <c r="BG23" i="88"/>
  <c r="BF23" i="88"/>
  <c r="BE23" i="88"/>
  <c r="BD23" i="88"/>
  <c r="BC23" i="88"/>
  <c r="BB23" i="88"/>
  <c r="BA23" i="88"/>
  <c r="AZ23" i="88"/>
  <c r="AY23" i="88"/>
  <c r="AX23" i="88"/>
  <c r="AW23" i="88"/>
  <c r="AV23" i="88"/>
  <c r="AU23" i="88"/>
  <c r="AT23" i="88"/>
  <c r="AS23" i="88"/>
  <c r="AR23" i="88"/>
  <c r="AQ23" i="88"/>
  <c r="AP23" i="88"/>
  <c r="AO23" i="88"/>
  <c r="AN23" i="88"/>
  <c r="AM23" i="88"/>
  <c r="AL23" i="88"/>
  <c r="AK23" i="88"/>
  <c r="AJ23" i="88"/>
  <c r="BG22" i="88"/>
  <c r="BF22" i="88"/>
  <c r="BE22" i="88"/>
  <c r="BD22" i="88"/>
  <c r="BC22" i="88"/>
  <c r="BB22" i="88"/>
  <c r="BA22" i="88"/>
  <c r="AZ22" i="88"/>
  <c r="AY22" i="88"/>
  <c r="AX22" i="88"/>
  <c r="AW22" i="88"/>
  <c r="AV22" i="88"/>
  <c r="AU22" i="88"/>
  <c r="AT22" i="88"/>
  <c r="AS22" i="88"/>
  <c r="AR22" i="88"/>
  <c r="AQ22" i="88"/>
  <c r="AP22" i="88"/>
  <c r="AO22" i="88"/>
  <c r="AN22" i="88"/>
  <c r="AM22" i="88"/>
  <c r="AL22" i="88"/>
  <c r="AK22" i="88"/>
  <c r="AJ22" i="88"/>
  <c r="BG21" i="88"/>
  <c r="BF21" i="88"/>
  <c r="BE21" i="88"/>
  <c r="BD21" i="88"/>
  <c r="BC21" i="88"/>
  <c r="BB21" i="88"/>
  <c r="BA21" i="88"/>
  <c r="AZ21" i="88"/>
  <c r="AY21" i="88"/>
  <c r="AX21" i="88"/>
  <c r="AW21" i="88"/>
  <c r="AV21" i="88"/>
  <c r="AU21" i="88"/>
  <c r="AT21" i="88"/>
  <c r="AS21" i="88"/>
  <c r="AR21" i="88"/>
  <c r="AQ21" i="88"/>
  <c r="AP21" i="88"/>
  <c r="AO21" i="88"/>
  <c r="AN21" i="88"/>
  <c r="AM21" i="88"/>
  <c r="AL21" i="88"/>
  <c r="AK21" i="88"/>
  <c r="AJ21" i="88"/>
  <c r="BG20" i="88"/>
  <c r="BF20" i="88"/>
  <c r="BE20" i="88"/>
  <c r="BD20" i="88"/>
  <c r="BC20" i="88"/>
  <c r="BB20" i="88"/>
  <c r="BA20" i="88"/>
  <c r="AZ20" i="88"/>
  <c r="AY20" i="88"/>
  <c r="AX20" i="88"/>
  <c r="AW20" i="88"/>
  <c r="AV20" i="88"/>
  <c r="AU20" i="88"/>
  <c r="AT20" i="88"/>
  <c r="AS20" i="88"/>
  <c r="AR20" i="88"/>
  <c r="AQ20" i="88"/>
  <c r="AP20" i="88"/>
  <c r="AO20" i="88"/>
  <c r="AN20" i="88"/>
  <c r="AM20" i="88"/>
  <c r="AL20" i="88"/>
  <c r="AK20" i="88"/>
  <c r="AJ20" i="88"/>
  <c r="BG19" i="88"/>
  <c r="BF19" i="88"/>
  <c r="BE19" i="88"/>
  <c r="BD19" i="88"/>
  <c r="BC19" i="88"/>
  <c r="BB19" i="88"/>
  <c r="BA19" i="88"/>
  <c r="AZ19" i="88"/>
  <c r="AY19" i="88"/>
  <c r="AX19" i="88"/>
  <c r="AW19" i="88"/>
  <c r="AV19" i="88"/>
  <c r="AU19" i="88"/>
  <c r="AT19" i="88"/>
  <c r="AS19" i="88"/>
  <c r="AR19" i="88"/>
  <c r="AQ19" i="88"/>
  <c r="AP19" i="88"/>
  <c r="AO19" i="88"/>
  <c r="AN19" i="88"/>
  <c r="AM19" i="88"/>
  <c r="AL19" i="88"/>
  <c r="AK19" i="88"/>
  <c r="AJ19" i="88"/>
  <c r="BG18" i="88"/>
  <c r="BF18" i="88"/>
  <c r="BE18" i="88"/>
  <c r="BD18" i="88"/>
  <c r="BC18" i="88"/>
  <c r="BB18" i="88"/>
  <c r="BA18" i="88"/>
  <c r="AZ18" i="88"/>
  <c r="AY18" i="88"/>
  <c r="AX18" i="88"/>
  <c r="AW18" i="88"/>
  <c r="AV18" i="88"/>
  <c r="AU18" i="88"/>
  <c r="AT18" i="88"/>
  <c r="AS18" i="88"/>
  <c r="AR18" i="88"/>
  <c r="AQ18" i="88"/>
  <c r="AP18" i="88"/>
  <c r="AO18" i="88"/>
  <c r="AN18" i="88"/>
  <c r="AM18" i="88"/>
  <c r="AL18" i="88"/>
  <c r="AK18" i="88"/>
  <c r="AJ18" i="88"/>
  <c r="BG17" i="88"/>
  <c r="BF17" i="88"/>
  <c r="BE17" i="88"/>
  <c r="BD17" i="88"/>
  <c r="BC17" i="88"/>
  <c r="BB17" i="88"/>
  <c r="BA17" i="88"/>
  <c r="AZ17" i="88"/>
  <c r="AY17" i="88"/>
  <c r="AX17" i="88"/>
  <c r="AW17" i="88"/>
  <c r="AV17" i="88"/>
  <c r="AU17" i="88"/>
  <c r="AT17" i="88"/>
  <c r="AS17" i="88"/>
  <c r="AR17" i="88"/>
  <c r="AQ17" i="88"/>
  <c r="AP17" i="88"/>
  <c r="AO17" i="88"/>
  <c r="AN17" i="88"/>
  <c r="AM17" i="88"/>
  <c r="AL17" i="88"/>
  <c r="AK17" i="88"/>
  <c r="AJ17" i="88"/>
  <c r="BG16" i="88"/>
  <c r="BF16" i="88"/>
  <c r="BE16" i="88"/>
  <c r="BD16" i="88"/>
  <c r="BC16" i="88"/>
  <c r="BB16" i="88"/>
  <c r="BA16" i="88"/>
  <c r="AZ16" i="88"/>
  <c r="AY16" i="88"/>
  <c r="AX16" i="88"/>
  <c r="AW16" i="88"/>
  <c r="AV16" i="88"/>
  <c r="AU16" i="88"/>
  <c r="AT16" i="88"/>
  <c r="AS16" i="88"/>
  <c r="AR16" i="88"/>
  <c r="AQ16" i="88"/>
  <c r="AP16" i="88"/>
  <c r="AO16" i="88"/>
  <c r="AN16" i="88"/>
  <c r="AM16" i="88"/>
  <c r="AL16" i="88"/>
  <c r="AK16" i="88"/>
  <c r="AJ16" i="88"/>
  <c r="BG15" i="88"/>
  <c r="BF15" i="88"/>
  <c r="BE15" i="88"/>
  <c r="BD15" i="88"/>
  <c r="BC15" i="88"/>
  <c r="BB15" i="88"/>
  <c r="BA15" i="88"/>
  <c r="AZ15" i="88"/>
  <c r="AY15" i="88"/>
  <c r="AX15" i="88"/>
  <c r="AW15" i="88"/>
  <c r="AV15" i="88"/>
  <c r="AU15" i="88"/>
  <c r="AT15" i="88"/>
  <c r="AS15" i="88"/>
  <c r="AR15" i="88"/>
  <c r="AQ15" i="88"/>
  <c r="AP15" i="88"/>
  <c r="AO15" i="88"/>
  <c r="AN15" i="88"/>
  <c r="AM15" i="88"/>
  <c r="AL15" i="88"/>
  <c r="AK15" i="88"/>
  <c r="AJ15" i="88"/>
  <c r="BL14" i="88"/>
  <c r="BK14" i="88"/>
  <c r="BJ14" i="88"/>
  <c r="BI14" i="88"/>
  <c r="BH14" i="88"/>
  <c r="BG14" i="88"/>
  <c r="BF14" i="88"/>
  <c r="BE14" i="88"/>
  <c r="BD14" i="88"/>
  <c r="BC14" i="88"/>
  <c r="BB14" i="88"/>
  <c r="BA14" i="88"/>
  <c r="AZ14" i="88"/>
  <c r="AY14" i="88"/>
  <c r="AX14" i="88"/>
  <c r="AW14" i="88"/>
  <c r="AV14" i="88"/>
  <c r="AU14" i="88"/>
  <c r="AT14" i="88"/>
  <c r="AS14" i="88"/>
  <c r="AR14" i="88"/>
  <c r="AQ14" i="88"/>
  <c r="AP14" i="88"/>
  <c r="AO14" i="88"/>
  <c r="AN14" i="88"/>
  <c r="AM14" i="88"/>
  <c r="AL14" i="88"/>
  <c r="BL13" i="88"/>
  <c r="BK13" i="88"/>
  <c r="BJ13" i="88"/>
  <c r="BI13" i="88"/>
  <c r="BH13" i="88"/>
  <c r="BG13" i="88"/>
  <c r="BF13" i="88"/>
  <c r="BE13" i="88"/>
  <c r="BD13" i="88"/>
  <c r="BA13" i="88"/>
  <c r="AZ13" i="88"/>
  <c r="AY13" i="88"/>
  <c r="AX13" i="88"/>
  <c r="AW13" i="88"/>
  <c r="AV13" i="88"/>
  <c r="AU13" i="88"/>
  <c r="AT13" i="88"/>
  <c r="AS13" i="88"/>
  <c r="AR13" i="88"/>
  <c r="AQ13" i="88"/>
  <c r="AP13" i="88"/>
  <c r="AO13" i="88"/>
  <c r="AN13" i="88"/>
  <c r="AM13" i="88"/>
  <c r="AL13" i="88"/>
  <c r="BG44" i="89"/>
  <c r="BF44" i="89"/>
  <c r="BE44" i="89"/>
  <c r="BD44" i="89"/>
  <c r="BC44" i="89"/>
  <c r="BB44" i="89"/>
  <c r="BA44" i="89"/>
  <c r="AZ44" i="89"/>
  <c r="AY44" i="89"/>
  <c r="AX44" i="89"/>
  <c r="AW44" i="89"/>
  <c r="AV44" i="89"/>
  <c r="AU44" i="89"/>
  <c r="AT44" i="89"/>
  <c r="AS44" i="89"/>
  <c r="AR44" i="89"/>
  <c r="AQ44" i="89"/>
  <c r="AP44" i="89"/>
  <c r="AO44" i="89"/>
  <c r="AN44" i="89"/>
  <c r="AM44" i="89"/>
  <c r="AL44" i="89"/>
  <c r="AK44" i="89"/>
  <c r="AJ44" i="89"/>
  <c r="BG43" i="89"/>
  <c r="BF43" i="89"/>
  <c r="BE43" i="89"/>
  <c r="BD43" i="89"/>
  <c r="BC43" i="89"/>
  <c r="BB43" i="89"/>
  <c r="BA43" i="89"/>
  <c r="AZ43" i="89"/>
  <c r="AY43" i="89"/>
  <c r="AX43" i="89"/>
  <c r="AW43" i="89"/>
  <c r="AV43" i="89"/>
  <c r="AU43" i="89"/>
  <c r="AT43" i="89"/>
  <c r="AS43" i="89"/>
  <c r="AR43" i="89"/>
  <c r="AQ43" i="89"/>
  <c r="AP43" i="89"/>
  <c r="AO43" i="89"/>
  <c r="AN43" i="89"/>
  <c r="AM43" i="89"/>
  <c r="AL43" i="89"/>
  <c r="AK43" i="89"/>
  <c r="AJ43" i="89"/>
  <c r="BG42" i="89"/>
  <c r="BF42" i="89"/>
  <c r="BE42" i="89"/>
  <c r="BD42" i="89"/>
  <c r="BC42" i="89"/>
  <c r="BB42" i="89"/>
  <c r="BA42" i="89"/>
  <c r="AZ42" i="89"/>
  <c r="AY42" i="89"/>
  <c r="AX42" i="89"/>
  <c r="AW42" i="89"/>
  <c r="AV42" i="89"/>
  <c r="AU42" i="89"/>
  <c r="AT42" i="89"/>
  <c r="AS42" i="89"/>
  <c r="AR42" i="89"/>
  <c r="AQ42" i="89"/>
  <c r="AP42" i="89"/>
  <c r="AO42" i="89"/>
  <c r="AN42" i="89"/>
  <c r="AM42" i="89"/>
  <c r="AL42" i="89"/>
  <c r="AK42" i="89"/>
  <c r="AJ42" i="89"/>
  <c r="BG41" i="89"/>
  <c r="BF41" i="89"/>
  <c r="BE41" i="89"/>
  <c r="BD41" i="89"/>
  <c r="BC41" i="89"/>
  <c r="BB41" i="89"/>
  <c r="BA41" i="89"/>
  <c r="AZ41" i="89"/>
  <c r="AY41" i="89"/>
  <c r="AX41" i="89"/>
  <c r="AW41" i="89"/>
  <c r="AV41" i="89"/>
  <c r="AU41" i="89"/>
  <c r="AT41" i="89"/>
  <c r="AS41" i="89"/>
  <c r="AR41" i="89"/>
  <c r="AQ41" i="89"/>
  <c r="AP41" i="89"/>
  <c r="AO41" i="89"/>
  <c r="AN41" i="89"/>
  <c r="AM41" i="89"/>
  <c r="AL41" i="89"/>
  <c r="AK41" i="89"/>
  <c r="AJ41" i="89"/>
  <c r="BG40" i="89"/>
  <c r="BF40" i="89"/>
  <c r="BE40" i="89"/>
  <c r="BD40" i="89"/>
  <c r="BC40" i="89"/>
  <c r="BB40" i="89"/>
  <c r="BA40" i="89"/>
  <c r="AZ40" i="89"/>
  <c r="AY40" i="89"/>
  <c r="AX40" i="89"/>
  <c r="AW40" i="89"/>
  <c r="AV40" i="89"/>
  <c r="AU40" i="89"/>
  <c r="AT40" i="89"/>
  <c r="AS40" i="89"/>
  <c r="AR40" i="89"/>
  <c r="AQ40" i="89"/>
  <c r="AP40" i="89"/>
  <c r="AO40" i="89"/>
  <c r="AN40" i="89"/>
  <c r="AM40" i="89"/>
  <c r="AL40" i="89"/>
  <c r="AK40" i="89"/>
  <c r="AJ40" i="89"/>
  <c r="BG39" i="89"/>
  <c r="BF39" i="89"/>
  <c r="BE39" i="89"/>
  <c r="BD39" i="89"/>
  <c r="BC39" i="89"/>
  <c r="BB39" i="89"/>
  <c r="BA39" i="89"/>
  <c r="AZ39" i="89"/>
  <c r="AY39" i="89"/>
  <c r="AX39" i="89"/>
  <c r="AW39" i="89"/>
  <c r="AV39" i="89"/>
  <c r="AU39" i="89"/>
  <c r="AT39" i="89"/>
  <c r="AS39" i="89"/>
  <c r="AR39" i="89"/>
  <c r="AQ39" i="89"/>
  <c r="AP39" i="89"/>
  <c r="AO39" i="89"/>
  <c r="AN39" i="89"/>
  <c r="AM39" i="89"/>
  <c r="AL39" i="89"/>
  <c r="AK39" i="89"/>
  <c r="AJ39" i="89"/>
  <c r="BG38" i="89"/>
  <c r="BF38" i="89"/>
  <c r="BE38" i="89"/>
  <c r="BD38" i="89"/>
  <c r="BC38" i="89"/>
  <c r="BB38" i="89"/>
  <c r="BA38" i="89"/>
  <c r="AZ38" i="89"/>
  <c r="AY38" i="89"/>
  <c r="AX38" i="89"/>
  <c r="AW38" i="89"/>
  <c r="AV38" i="89"/>
  <c r="AU38" i="89"/>
  <c r="AT38" i="89"/>
  <c r="AS38" i="89"/>
  <c r="AR38" i="89"/>
  <c r="AQ38" i="89"/>
  <c r="AP38" i="89"/>
  <c r="AO38" i="89"/>
  <c r="AN38" i="89"/>
  <c r="AM38" i="89"/>
  <c r="AL38" i="89"/>
  <c r="AK38" i="89"/>
  <c r="AJ38" i="89"/>
  <c r="BG37" i="89"/>
  <c r="BF37" i="89"/>
  <c r="BE37" i="89"/>
  <c r="BD37" i="89"/>
  <c r="BC37" i="89"/>
  <c r="BB37" i="89"/>
  <c r="BA37" i="89"/>
  <c r="AZ37" i="89"/>
  <c r="AY37" i="89"/>
  <c r="AX37" i="89"/>
  <c r="AW37" i="89"/>
  <c r="AV37" i="89"/>
  <c r="AU37" i="89"/>
  <c r="AT37" i="89"/>
  <c r="AS37" i="89"/>
  <c r="AR37" i="89"/>
  <c r="AQ37" i="89"/>
  <c r="AP37" i="89"/>
  <c r="AO37" i="89"/>
  <c r="AN37" i="89"/>
  <c r="AM37" i="89"/>
  <c r="AL37" i="89"/>
  <c r="AK37" i="89"/>
  <c r="AJ37" i="89"/>
  <c r="BG36" i="89"/>
  <c r="BF36" i="89"/>
  <c r="BE36" i="89"/>
  <c r="BD36" i="89"/>
  <c r="BC36" i="89"/>
  <c r="BB36" i="89"/>
  <c r="BA36" i="89"/>
  <c r="AZ36" i="89"/>
  <c r="AY36" i="89"/>
  <c r="AX36" i="89"/>
  <c r="AW36" i="89"/>
  <c r="AV36" i="89"/>
  <c r="AU36" i="89"/>
  <c r="AT36" i="89"/>
  <c r="AS36" i="89"/>
  <c r="AR36" i="89"/>
  <c r="AQ36" i="89"/>
  <c r="AP36" i="89"/>
  <c r="AO36" i="89"/>
  <c r="AN36" i="89"/>
  <c r="AM36" i="89"/>
  <c r="AL36" i="89"/>
  <c r="AK36" i="89"/>
  <c r="AJ36" i="89"/>
  <c r="BG35" i="89"/>
  <c r="BF35" i="89"/>
  <c r="BE35" i="89"/>
  <c r="BD35" i="89"/>
  <c r="BC35" i="89"/>
  <c r="BB35" i="89"/>
  <c r="BA35" i="89"/>
  <c r="AZ35" i="89"/>
  <c r="AY35" i="89"/>
  <c r="AX35" i="89"/>
  <c r="AW35" i="89"/>
  <c r="AV35" i="89"/>
  <c r="AU35" i="89"/>
  <c r="AT35" i="89"/>
  <c r="AS35" i="89"/>
  <c r="AR35" i="89"/>
  <c r="AQ35" i="89"/>
  <c r="AP35" i="89"/>
  <c r="AO35" i="89"/>
  <c r="AN35" i="89"/>
  <c r="AM35" i="89"/>
  <c r="AL35" i="89"/>
  <c r="AK35" i="89"/>
  <c r="AJ35" i="89"/>
  <c r="BG34" i="89"/>
  <c r="BF34" i="89"/>
  <c r="BE34" i="89"/>
  <c r="BD34" i="89"/>
  <c r="BC34" i="89"/>
  <c r="BB34" i="89"/>
  <c r="BA34" i="89"/>
  <c r="AZ34" i="89"/>
  <c r="AY34" i="89"/>
  <c r="AX34" i="89"/>
  <c r="AW34" i="89"/>
  <c r="AV34" i="89"/>
  <c r="AU34" i="89"/>
  <c r="AT34" i="89"/>
  <c r="AS34" i="89"/>
  <c r="AR34" i="89"/>
  <c r="AQ34" i="89"/>
  <c r="AP34" i="89"/>
  <c r="AO34" i="89"/>
  <c r="AN34" i="89"/>
  <c r="AM34" i="89"/>
  <c r="AL34" i="89"/>
  <c r="AK34" i="89"/>
  <c r="AJ34" i="89"/>
  <c r="BG33" i="89"/>
  <c r="BF33" i="89"/>
  <c r="BE33" i="89"/>
  <c r="BD33" i="89"/>
  <c r="BC33" i="89"/>
  <c r="BB33" i="89"/>
  <c r="BA33" i="89"/>
  <c r="AZ33" i="89"/>
  <c r="AY33" i="89"/>
  <c r="AX33" i="89"/>
  <c r="AW33" i="89"/>
  <c r="AV33" i="89"/>
  <c r="AU33" i="89"/>
  <c r="AT33" i="89"/>
  <c r="AS33" i="89"/>
  <c r="AR33" i="89"/>
  <c r="AQ33" i="89"/>
  <c r="AP33" i="89"/>
  <c r="AO33" i="89"/>
  <c r="AN33" i="89"/>
  <c r="AM33" i="89"/>
  <c r="AL33" i="89"/>
  <c r="AK33" i="89"/>
  <c r="AJ33" i="89"/>
  <c r="BG32" i="89"/>
  <c r="BF32" i="89"/>
  <c r="BE32" i="89"/>
  <c r="BD32" i="89"/>
  <c r="BC32" i="89"/>
  <c r="BB32" i="89"/>
  <c r="BA32" i="89"/>
  <c r="AZ32" i="89"/>
  <c r="AY32" i="89"/>
  <c r="AX32" i="89"/>
  <c r="AW32" i="89"/>
  <c r="AV32" i="89"/>
  <c r="AU32" i="89"/>
  <c r="AT32" i="89"/>
  <c r="AS32" i="89"/>
  <c r="AR32" i="89"/>
  <c r="AQ32" i="89"/>
  <c r="AP32" i="89"/>
  <c r="AO32" i="89"/>
  <c r="AN32" i="89"/>
  <c r="AM32" i="89"/>
  <c r="AL32" i="89"/>
  <c r="AK32" i="89"/>
  <c r="AJ32" i="89"/>
  <c r="BG31" i="89"/>
  <c r="BF31" i="89"/>
  <c r="BE31" i="89"/>
  <c r="BD31" i="89"/>
  <c r="BC31" i="89"/>
  <c r="BB31" i="89"/>
  <c r="BA31" i="89"/>
  <c r="AZ31" i="89"/>
  <c r="AY31" i="89"/>
  <c r="AX31" i="89"/>
  <c r="AW31" i="89"/>
  <c r="AV31" i="89"/>
  <c r="AU31" i="89"/>
  <c r="AT31" i="89"/>
  <c r="AS31" i="89"/>
  <c r="AR31" i="89"/>
  <c r="AQ31" i="89"/>
  <c r="AP31" i="89"/>
  <c r="AO31" i="89"/>
  <c r="AN31" i="89"/>
  <c r="AM31" i="89"/>
  <c r="AL31" i="89"/>
  <c r="AK31" i="89"/>
  <c r="AJ31" i="89"/>
  <c r="BG30" i="89"/>
  <c r="BF30" i="89"/>
  <c r="BE30" i="89"/>
  <c r="BD30" i="89"/>
  <c r="BC30" i="89"/>
  <c r="BB30" i="89"/>
  <c r="BA30" i="89"/>
  <c r="AZ30" i="89"/>
  <c r="AY30" i="89"/>
  <c r="AX30" i="89"/>
  <c r="AW30" i="89"/>
  <c r="AV30" i="89"/>
  <c r="AU30" i="89"/>
  <c r="AT30" i="89"/>
  <c r="AS30" i="89"/>
  <c r="AR30" i="89"/>
  <c r="AQ30" i="89"/>
  <c r="AP30" i="89"/>
  <c r="AO30" i="89"/>
  <c r="AN30" i="89"/>
  <c r="AM30" i="89"/>
  <c r="AL30" i="89"/>
  <c r="AK30" i="89"/>
  <c r="AJ30" i="89"/>
  <c r="BG29" i="89"/>
  <c r="BF29" i="89"/>
  <c r="BE29" i="89"/>
  <c r="BD29" i="89"/>
  <c r="BC29" i="89"/>
  <c r="BB29" i="89"/>
  <c r="BA29" i="89"/>
  <c r="AZ29" i="89"/>
  <c r="AY29" i="89"/>
  <c r="AX29" i="89"/>
  <c r="AW29" i="89"/>
  <c r="AV29" i="89"/>
  <c r="AU29" i="89"/>
  <c r="AT29" i="89"/>
  <c r="AS29" i="89"/>
  <c r="AR29" i="89"/>
  <c r="AQ29" i="89"/>
  <c r="AP29" i="89"/>
  <c r="AO29" i="89"/>
  <c r="AN29" i="89"/>
  <c r="AM29" i="89"/>
  <c r="AL29" i="89"/>
  <c r="AK29" i="89"/>
  <c r="AJ29" i="89"/>
  <c r="BG28" i="89"/>
  <c r="BF28" i="89"/>
  <c r="BE28" i="89"/>
  <c r="BD28" i="89"/>
  <c r="BC28" i="89"/>
  <c r="BB28" i="89"/>
  <c r="BA28" i="89"/>
  <c r="AZ28" i="89"/>
  <c r="AY28" i="89"/>
  <c r="AX28" i="89"/>
  <c r="AW28" i="89"/>
  <c r="AV28" i="89"/>
  <c r="AU28" i="89"/>
  <c r="AT28" i="89"/>
  <c r="AS28" i="89"/>
  <c r="AR28" i="89"/>
  <c r="AQ28" i="89"/>
  <c r="AP28" i="89"/>
  <c r="AO28" i="89"/>
  <c r="AN28" i="89"/>
  <c r="AM28" i="89"/>
  <c r="AL28" i="89"/>
  <c r="AK28" i="89"/>
  <c r="AJ28" i="89"/>
  <c r="BG27" i="89"/>
  <c r="BF27" i="89"/>
  <c r="BE27" i="89"/>
  <c r="BD27" i="89"/>
  <c r="BC27" i="89"/>
  <c r="BB27" i="89"/>
  <c r="BA27" i="89"/>
  <c r="AZ27" i="89"/>
  <c r="AY27" i="89"/>
  <c r="AX27" i="89"/>
  <c r="AW27" i="89"/>
  <c r="AV27" i="89"/>
  <c r="AU27" i="89"/>
  <c r="AT27" i="89"/>
  <c r="AS27" i="89"/>
  <c r="AR27" i="89"/>
  <c r="AQ27" i="89"/>
  <c r="AP27" i="89"/>
  <c r="AO27" i="89"/>
  <c r="AN27" i="89"/>
  <c r="AM27" i="89"/>
  <c r="AL27" i="89"/>
  <c r="AK27" i="89"/>
  <c r="AJ27" i="89"/>
  <c r="BG26" i="89"/>
  <c r="BF26" i="89"/>
  <c r="BE26" i="89"/>
  <c r="BD26" i="89"/>
  <c r="BC26" i="89"/>
  <c r="BB26" i="89"/>
  <c r="BA26" i="89"/>
  <c r="AZ26" i="89"/>
  <c r="AY26" i="89"/>
  <c r="AX26" i="89"/>
  <c r="AW26" i="89"/>
  <c r="AV26" i="89"/>
  <c r="AU26" i="89"/>
  <c r="AT26" i="89"/>
  <c r="AS26" i="89"/>
  <c r="AR26" i="89"/>
  <c r="AQ26" i="89"/>
  <c r="AP26" i="89"/>
  <c r="AO26" i="89"/>
  <c r="AN26" i="89"/>
  <c r="AM26" i="89"/>
  <c r="AL26" i="89"/>
  <c r="AK26" i="89"/>
  <c r="AJ26" i="89"/>
  <c r="BG25" i="89"/>
  <c r="BF25" i="89"/>
  <c r="BE25" i="89"/>
  <c r="BD25" i="89"/>
  <c r="BC25" i="89"/>
  <c r="BB25" i="89"/>
  <c r="BA25" i="89"/>
  <c r="AZ25" i="89"/>
  <c r="AY25" i="89"/>
  <c r="AX25" i="89"/>
  <c r="AW25" i="89"/>
  <c r="AV25" i="89"/>
  <c r="AU25" i="89"/>
  <c r="AT25" i="89"/>
  <c r="AS25" i="89"/>
  <c r="AR25" i="89"/>
  <c r="AQ25" i="89"/>
  <c r="AP25" i="89"/>
  <c r="AO25" i="89"/>
  <c r="AN25" i="89"/>
  <c r="AM25" i="89"/>
  <c r="AL25" i="89"/>
  <c r="AK25" i="89"/>
  <c r="AJ25" i="89"/>
  <c r="BG24" i="89"/>
  <c r="BF24" i="89"/>
  <c r="BE24" i="89"/>
  <c r="BD24" i="89"/>
  <c r="BC24" i="89"/>
  <c r="BB24" i="89"/>
  <c r="BA24" i="89"/>
  <c r="AZ24" i="89"/>
  <c r="AY24" i="89"/>
  <c r="AX24" i="89"/>
  <c r="AW24" i="89"/>
  <c r="AV24" i="89"/>
  <c r="AU24" i="89"/>
  <c r="AT24" i="89"/>
  <c r="AS24" i="89"/>
  <c r="AR24" i="89"/>
  <c r="AQ24" i="89"/>
  <c r="AP24" i="89"/>
  <c r="AO24" i="89"/>
  <c r="AN24" i="89"/>
  <c r="AM24" i="89"/>
  <c r="AL24" i="89"/>
  <c r="AK24" i="89"/>
  <c r="AJ24" i="89"/>
  <c r="BG23" i="89"/>
  <c r="BF23" i="89"/>
  <c r="BE23" i="89"/>
  <c r="BD23" i="89"/>
  <c r="BC23" i="89"/>
  <c r="BB23" i="89"/>
  <c r="BA23" i="89"/>
  <c r="AZ23" i="89"/>
  <c r="AY23" i="89"/>
  <c r="AX23" i="89"/>
  <c r="AW23" i="89"/>
  <c r="AV23" i="89"/>
  <c r="AU23" i="89"/>
  <c r="AT23" i="89"/>
  <c r="AS23" i="89"/>
  <c r="AR23" i="89"/>
  <c r="AQ23" i="89"/>
  <c r="AP23" i="89"/>
  <c r="AO23" i="89"/>
  <c r="AN23" i="89"/>
  <c r="AM23" i="89"/>
  <c r="AL23" i="89"/>
  <c r="AK23" i="89"/>
  <c r="AJ23" i="89"/>
  <c r="BG22" i="89"/>
  <c r="BF22" i="89"/>
  <c r="BE22" i="89"/>
  <c r="BD22" i="89"/>
  <c r="BC22" i="89"/>
  <c r="BB22" i="89"/>
  <c r="BA22" i="89"/>
  <c r="AZ22" i="89"/>
  <c r="AY22" i="89"/>
  <c r="AX22" i="89"/>
  <c r="AW22" i="89"/>
  <c r="AV22" i="89"/>
  <c r="AU22" i="89"/>
  <c r="AT22" i="89"/>
  <c r="AS22" i="89"/>
  <c r="AR22" i="89"/>
  <c r="AQ22" i="89"/>
  <c r="AP22" i="89"/>
  <c r="AO22" i="89"/>
  <c r="AN22" i="89"/>
  <c r="AM22" i="89"/>
  <c r="AL22" i="89"/>
  <c r="AK22" i="89"/>
  <c r="AJ22" i="89"/>
  <c r="BG21" i="89"/>
  <c r="BF21" i="89"/>
  <c r="BE21" i="89"/>
  <c r="BD21" i="89"/>
  <c r="BC21" i="89"/>
  <c r="BB21" i="89"/>
  <c r="BA21" i="89"/>
  <c r="AZ21" i="89"/>
  <c r="AY21" i="89"/>
  <c r="AX21" i="89"/>
  <c r="AW21" i="89"/>
  <c r="AV21" i="89"/>
  <c r="AU21" i="89"/>
  <c r="AT21" i="89"/>
  <c r="AS21" i="89"/>
  <c r="AR21" i="89"/>
  <c r="AQ21" i="89"/>
  <c r="AP21" i="89"/>
  <c r="AO21" i="89"/>
  <c r="AN21" i="89"/>
  <c r="AM21" i="89"/>
  <c r="AL21" i="89"/>
  <c r="AK21" i="89"/>
  <c r="AJ21" i="89"/>
  <c r="BG20" i="89"/>
  <c r="BF20" i="89"/>
  <c r="BE20" i="89"/>
  <c r="BD20" i="89"/>
  <c r="BC20" i="89"/>
  <c r="BB20" i="89"/>
  <c r="BA20" i="89"/>
  <c r="AZ20" i="89"/>
  <c r="AY20" i="89"/>
  <c r="AX20" i="89"/>
  <c r="AW20" i="89"/>
  <c r="AV20" i="89"/>
  <c r="AU20" i="89"/>
  <c r="AT20" i="89"/>
  <c r="AS20" i="89"/>
  <c r="AR20" i="89"/>
  <c r="AQ20" i="89"/>
  <c r="AP20" i="89"/>
  <c r="AO20" i="89"/>
  <c r="AN20" i="89"/>
  <c r="AM20" i="89"/>
  <c r="AL20" i="89"/>
  <c r="AK20" i="89"/>
  <c r="AJ20" i="89"/>
  <c r="BG19" i="89"/>
  <c r="BF19" i="89"/>
  <c r="BE19" i="89"/>
  <c r="BD19" i="89"/>
  <c r="BC19" i="89"/>
  <c r="BB19" i="89"/>
  <c r="BA19" i="89"/>
  <c r="AZ19" i="89"/>
  <c r="AY19" i="89"/>
  <c r="AX19" i="89"/>
  <c r="AW19" i="89"/>
  <c r="AV19" i="89"/>
  <c r="AU19" i="89"/>
  <c r="AT19" i="89"/>
  <c r="AS19" i="89"/>
  <c r="AR19" i="89"/>
  <c r="AQ19" i="89"/>
  <c r="AP19" i="89"/>
  <c r="AO19" i="89"/>
  <c r="AN19" i="89"/>
  <c r="AM19" i="89"/>
  <c r="AL19" i="89"/>
  <c r="AK19" i="89"/>
  <c r="AJ19" i="89"/>
  <c r="BG18" i="89"/>
  <c r="BF18" i="89"/>
  <c r="BE18" i="89"/>
  <c r="BD18" i="89"/>
  <c r="BC18" i="89"/>
  <c r="BB18" i="89"/>
  <c r="BA18" i="89"/>
  <c r="AZ18" i="89"/>
  <c r="AY18" i="89"/>
  <c r="AX18" i="89"/>
  <c r="AW18" i="89"/>
  <c r="AV18" i="89"/>
  <c r="AU18" i="89"/>
  <c r="AT18" i="89"/>
  <c r="AS18" i="89"/>
  <c r="AR18" i="89"/>
  <c r="AQ18" i="89"/>
  <c r="AP18" i="89"/>
  <c r="AO18" i="89"/>
  <c r="AN18" i="89"/>
  <c r="AM18" i="89"/>
  <c r="AL18" i="89"/>
  <c r="AK18" i="89"/>
  <c r="AJ18" i="89"/>
  <c r="BG17" i="89"/>
  <c r="BF17" i="89"/>
  <c r="BE17" i="89"/>
  <c r="BD17" i="89"/>
  <c r="BC17" i="89"/>
  <c r="BB17" i="89"/>
  <c r="BA17" i="89"/>
  <c r="AZ17" i="89"/>
  <c r="AY17" i="89"/>
  <c r="AX17" i="89"/>
  <c r="AW17" i="89"/>
  <c r="AV17" i="89"/>
  <c r="AU17" i="89"/>
  <c r="AT17" i="89"/>
  <c r="AS17" i="89"/>
  <c r="AR17" i="89"/>
  <c r="AQ17" i="89"/>
  <c r="AP17" i="89"/>
  <c r="AO17" i="89"/>
  <c r="AN17" i="89"/>
  <c r="AM17" i="89"/>
  <c r="AL17" i="89"/>
  <c r="AK17" i="89"/>
  <c r="AJ17" i="89"/>
  <c r="BG16" i="89"/>
  <c r="BF16" i="89"/>
  <c r="BE16" i="89"/>
  <c r="BD16" i="89"/>
  <c r="BC16" i="89"/>
  <c r="BB16" i="89"/>
  <c r="BA16" i="89"/>
  <c r="AZ16" i="89"/>
  <c r="AY16" i="89"/>
  <c r="AX16" i="89"/>
  <c r="AW16" i="89"/>
  <c r="AV16" i="89"/>
  <c r="AU16" i="89"/>
  <c r="AT16" i="89"/>
  <c r="AS16" i="89"/>
  <c r="AR16" i="89"/>
  <c r="AQ16" i="89"/>
  <c r="AP16" i="89"/>
  <c r="AO16" i="89"/>
  <c r="AN16" i="89"/>
  <c r="AM16" i="89"/>
  <c r="AL16" i="89"/>
  <c r="AK16" i="89"/>
  <c r="AJ16" i="89"/>
  <c r="BG15" i="89"/>
  <c r="BF15" i="89"/>
  <c r="BE15" i="89"/>
  <c r="BD15" i="89"/>
  <c r="BC15" i="89"/>
  <c r="BB15" i="89"/>
  <c r="BA15" i="89"/>
  <c r="AZ15" i="89"/>
  <c r="AY15" i="89"/>
  <c r="AX15" i="89"/>
  <c r="AW15" i="89"/>
  <c r="AV15" i="89"/>
  <c r="AU15" i="89"/>
  <c r="AT15" i="89"/>
  <c r="AS15" i="89"/>
  <c r="AR15" i="89"/>
  <c r="AQ15" i="89"/>
  <c r="AP15" i="89"/>
  <c r="AO15" i="89"/>
  <c r="AN15" i="89"/>
  <c r="AM15" i="89"/>
  <c r="AL15" i="89"/>
  <c r="AK15" i="89"/>
  <c r="AJ15" i="89"/>
  <c r="BL14" i="89"/>
  <c r="BK14" i="89"/>
  <c r="BJ14" i="89"/>
  <c r="BI14" i="89"/>
  <c r="BH14" i="89"/>
  <c r="BG14" i="89"/>
  <c r="BF14" i="89"/>
  <c r="BE14" i="89"/>
  <c r="BD14" i="89"/>
  <c r="BC14" i="89"/>
  <c r="BB14" i="89"/>
  <c r="BA14" i="89"/>
  <c r="AZ14" i="89"/>
  <c r="AY14" i="89"/>
  <c r="AX14" i="89"/>
  <c r="AW14" i="89"/>
  <c r="AV14" i="89"/>
  <c r="AU14" i="89"/>
  <c r="AT14" i="89"/>
  <c r="AS14" i="89"/>
  <c r="AR14" i="89"/>
  <c r="AQ14" i="89"/>
  <c r="AP14" i="89"/>
  <c r="AO14" i="89"/>
  <c r="AN14" i="89"/>
  <c r="AM14" i="89"/>
  <c r="AL14" i="89"/>
  <c r="BL13" i="89"/>
  <c r="BK13" i="89"/>
  <c r="BJ13" i="89"/>
  <c r="BI13" i="89"/>
  <c r="BH13" i="89"/>
  <c r="BG13" i="89"/>
  <c r="BF13" i="89"/>
  <c r="BE13" i="89"/>
  <c r="BD13" i="89"/>
  <c r="BA13" i="89"/>
  <c r="AZ13" i="89"/>
  <c r="AY13" i="89"/>
  <c r="AX13" i="89"/>
  <c r="AW13" i="89"/>
  <c r="AV13" i="89"/>
  <c r="AU13" i="89"/>
  <c r="AT13" i="89"/>
  <c r="AS13" i="89"/>
  <c r="AR13" i="89"/>
  <c r="AQ13" i="89"/>
  <c r="AP13" i="89"/>
  <c r="AO13" i="89"/>
  <c r="AN13" i="89"/>
  <c r="AM13" i="89"/>
  <c r="AL13" i="89"/>
  <c r="BG44" i="90"/>
  <c r="BF44" i="90"/>
  <c r="BE44" i="90"/>
  <c r="BD44" i="90"/>
  <c r="BC44" i="90"/>
  <c r="BB44" i="90"/>
  <c r="BA44" i="90"/>
  <c r="AZ44" i="90"/>
  <c r="AY44" i="90"/>
  <c r="AX44" i="90"/>
  <c r="AW44" i="90"/>
  <c r="AV44" i="90"/>
  <c r="AU44" i="90"/>
  <c r="AT44" i="90"/>
  <c r="AS44" i="90"/>
  <c r="AR44" i="90"/>
  <c r="AQ44" i="90"/>
  <c r="AP44" i="90"/>
  <c r="AO44" i="90"/>
  <c r="AN44" i="90"/>
  <c r="AM44" i="90"/>
  <c r="AL44" i="90"/>
  <c r="AK44" i="90"/>
  <c r="AJ44" i="90"/>
  <c r="BG43" i="90"/>
  <c r="BF43" i="90"/>
  <c r="BE43" i="90"/>
  <c r="BD43" i="90"/>
  <c r="BC43" i="90"/>
  <c r="BB43" i="90"/>
  <c r="BA43" i="90"/>
  <c r="AZ43" i="90"/>
  <c r="AY43" i="90"/>
  <c r="AX43" i="90"/>
  <c r="AW43" i="90"/>
  <c r="AV43" i="90"/>
  <c r="AU43" i="90"/>
  <c r="AT43" i="90"/>
  <c r="AS43" i="90"/>
  <c r="AR43" i="90"/>
  <c r="AQ43" i="90"/>
  <c r="AP43" i="90"/>
  <c r="AO43" i="90"/>
  <c r="AN43" i="90"/>
  <c r="AM43" i="90"/>
  <c r="AL43" i="90"/>
  <c r="AK43" i="90"/>
  <c r="AJ43" i="90"/>
  <c r="BG42" i="90"/>
  <c r="BF42" i="90"/>
  <c r="BE42" i="90"/>
  <c r="BD42" i="90"/>
  <c r="BC42" i="90"/>
  <c r="BB42" i="90"/>
  <c r="BA42" i="90"/>
  <c r="AZ42" i="90"/>
  <c r="AY42" i="90"/>
  <c r="AX42" i="90"/>
  <c r="AW42" i="90"/>
  <c r="AV42" i="90"/>
  <c r="AU42" i="90"/>
  <c r="AT42" i="90"/>
  <c r="AS42" i="90"/>
  <c r="AR42" i="90"/>
  <c r="AQ42" i="90"/>
  <c r="AP42" i="90"/>
  <c r="AO42" i="90"/>
  <c r="AN42" i="90"/>
  <c r="AM42" i="90"/>
  <c r="AL42" i="90"/>
  <c r="AK42" i="90"/>
  <c r="AJ42" i="90"/>
  <c r="BG41" i="90"/>
  <c r="BF41" i="90"/>
  <c r="BE41" i="90"/>
  <c r="BD41" i="90"/>
  <c r="BC41" i="90"/>
  <c r="BB41" i="90"/>
  <c r="BA41" i="90"/>
  <c r="AZ41" i="90"/>
  <c r="AY41" i="90"/>
  <c r="AX41" i="90"/>
  <c r="AW41" i="90"/>
  <c r="AV41" i="90"/>
  <c r="AU41" i="90"/>
  <c r="AT41" i="90"/>
  <c r="AS41" i="90"/>
  <c r="AR41" i="90"/>
  <c r="AQ41" i="90"/>
  <c r="AP41" i="90"/>
  <c r="AO41" i="90"/>
  <c r="AN41" i="90"/>
  <c r="AM41" i="90"/>
  <c r="AL41" i="90"/>
  <c r="AK41" i="90"/>
  <c r="AJ41" i="90"/>
  <c r="BG40" i="90"/>
  <c r="BF40" i="90"/>
  <c r="BE40" i="90"/>
  <c r="BD40" i="90"/>
  <c r="BC40" i="90"/>
  <c r="BB40" i="90"/>
  <c r="BA40" i="90"/>
  <c r="AZ40" i="90"/>
  <c r="AY40" i="90"/>
  <c r="AX40" i="90"/>
  <c r="AW40" i="90"/>
  <c r="AV40" i="90"/>
  <c r="AU40" i="90"/>
  <c r="AT40" i="90"/>
  <c r="AS40" i="90"/>
  <c r="AR40" i="90"/>
  <c r="AQ40" i="90"/>
  <c r="AP40" i="90"/>
  <c r="AO40" i="90"/>
  <c r="AN40" i="90"/>
  <c r="AM40" i="90"/>
  <c r="AL40" i="90"/>
  <c r="AK40" i="90"/>
  <c r="AJ40" i="90"/>
  <c r="BG39" i="90"/>
  <c r="BF39" i="90"/>
  <c r="BE39" i="90"/>
  <c r="BD39" i="90"/>
  <c r="BC39" i="90"/>
  <c r="BB39" i="90"/>
  <c r="BA39" i="90"/>
  <c r="AZ39" i="90"/>
  <c r="AY39" i="90"/>
  <c r="AX39" i="90"/>
  <c r="AW39" i="90"/>
  <c r="AV39" i="90"/>
  <c r="AU39" i="90"/>
  <c r="AT39" i="90"/>
  <c r="AS39" i="90"/>
  <c r="AR39" i="90"/>
  <c r="AQ39" i="90"/>
  <c r="AP39" i="90"/>
  <c r="AO39" i="90"/>
  <c r="AN39" i="90"/>
  <c r="AM39" i="90"/>
  <c r="AL39" i="90"/>
  <c r="AK39" i="90"/>
  <c r="AJ39" i="90"/>
  <c r="BG38" i="90"/>
  <c r="BF38" i="90"/>
  <c r="BE38" i="90"/>
  <c r="BD38" i="90"/>
  <c r="BC38" i="90"/>
  <c r="BB38" i="90"/>
  <c r="BA38" i="90"/>
  <c r="AZ38" i="90"/>
  <c r="AY38" i="90"/>
  <c r="AX38" i="90"/>
  <c r="AW38" i="90"/>
  <c r="AV38" i="90"/>
  <c r="AU38" i="90"/>
  <c r="AT38" i="90"/>
  <c r="AS38" i="90"/>
  <c r="AR38" i="90"/>
  <c r="AQ38" i="90"/>
  <c r="AP38" i="90"/>
  <c r="AO38" i="90"/>
  <c r="AN38" i="90"/>
  <c r="AM38" i="90"/>
  <c r="AL38" i="90"/>
  <c r="AK38" i="90"/>
  <c r="AJ38" i="90"/>
  <c r="BG37" i="90"/>
  <c r="BF37" i="90"/>
  <c r="BE37" i="90"/>
  <c r="BD37" i="90"/>
  <c r="BC37" i="90"/>
  <c r="BB37" i="90"/>
  <c r="BA37" i="90"/>
  <c r="AZ37" i="90"/>
  <c r="AY37" i="90"/>
  <c r="AX37" i="90"/>
  <c r="AW37" i="90"/>
  <c r="AV37" i="90"/>
  <c r="AU37" i="90"/>
  <c r="AT37" i="90"/>
  <c r="AS37" i="90"/>
  <c r="AR37" i="90"/>
  <c r="AQ37" i="90"/>
  <c r="AP37" i="90"/>
  <c r="AO37" i="90"/>
  <c r="AN37" i="90"/>
  <c r="AM37" i="90"/>
  <c r="AL37" i="90"/>
  <c r="AK37" i="90"/>
  <c r="AJ37" i="90"/>
  <c r="BG36" i="90"/>
  <c r="BF36" i="90"/>
  <c r="BE36" i="90"/>
  <c r="BD36" i="90"/>
  <c r="BC36" i="90"/>
  <c r="BB36" i="90"/>
  <c r="BA36" i="90"/>
  <c r="AZ36" i="90"/>
  <c r="AY36" i="90"/>
  <c r="AX36" i="90"/>
  <c r="AW36" i="90"/>
  <c r="AV36" i="90"/>
  <c r="AU36" i="90"/>
  <c r="AT36" i="90"/>
  <c r="AS36" i="90"/>
  <c r="AR36" i="90"/>
  <c r="AQ36" i="90"/>
  <c r="AP36" i="90"/>
  <c r="AO36" i="90"/>
  <c r="AN36" i="90"/>
  <c r="AM36" i="90"/>
  <c r="AL36" i="90"/>
  <c r="AK36" i="90"/>
  <c r="AJ36" i="90"/>
  <c r="BG35" i="90"/>
  <c r="BF35" i="90"/>
  <c r="BE35" i="90"/>
  <c r="BD35" i="90"/>
  <c r="BC35" i="90"/>
  <c r="BB35" i="90"/>
  <c r="BA35" i="90"/>
  <c r="AZ35" i="90"/>
  <c r="AY35" i="90"/>
  <c r="AX35" i="90"/>
  <c r="AW35" i="90"/>
  <c r="AV35" i="90"/>
  <c r="AU35" i="90"/>
  <c r="AT35" i="90"/>
  <c r="AS35" i="90"/>
  <c r="AR35" i="90"/>
  <c r="AQ35" i="90"/>
  <c r="AP35" i="90"/>
  <c r="AO35" i="90"/>
  <c r="AN35" i="90"/>
  <c r="AM35" i="90"/>
  <c r="AL35" i="90"/>
  <c r="AK35" i="90"/>
  <c r="AJ35" i="90"/>
  <c r="BG34" i="90"/>
  <c r="BF34" i="90"/>
  <c r="BE34" i="90"/>
  <c r="BD34" i="90"/>
  <c r="BC34" i="90"/>
  <c r="BB34" i="90"/>
  <c r="BA34" i="90"/>
  <c r="AZ34" i="90"/>
  <c r="AY34" i="90"/>
  <c r="AX34" i="90"/>
  <c r="AW34" i="90"/>
  <c r="AV34" i="90"/>
  <c r="AU34" i="90"/>
  <c r="AT34" i="90"/>
  <c r="AS34" i="90"/>
  <c r="AR34" i="90"/>
  <c r="AQ34" i="90"/>
  <c r="AP34" i="90"/>
  <c r="AO34" i="90"/>
  <c r="AN34" i="90"/>
  <c r="AM34" i="90"/>
  <c r="AL34" i="90"/>
  <c r="AK34" i="90"/>
  <c r="AJ34" i="90"/>
  <c r="BG33" i="90"/>
  <c r="BF33" i="90"/>
  <c r="BE33" i="90"/>
  <c r="BD33" i="90"/>
  <c r="BC33" i="90"/>
  <c r="BB33" i="90"/>
  <c r="BA33" i="90"/>
  <c r="AZ33" i="90"/>
  <c r="AY33" i="90"/>
  <c r="AX33" i="90"/>
  <c r="AW33" i="90"/>
  <c r="AV33" i="90"/>
  <c r="AU33" i="90"/>
  <c r="AT33" i="90"/>
  <c r="AS33" i="90"/>
  <c r="AR33" i="90"/>
  <c r="AQ33" i="90"/>
  <c r="AP33" i="90"/>
  <c r="AO33" i="90"/>
  <c r="AN33" i="90"/>
  <c r="AM33" i="90"/>
  <c r="AL33" i="90"/>
  <c r="AK33" i="90"/>
  <c r="AJ33" i="90"/>
  <c r="BG32" i="90"/>
  <c r="BF32" i="90"/>
  <c r="BE32" i="90"/>
  <c r="BD32" i="90"/>
  <c r="BC32" i="90"/>
  <c r="BB32" i="90"/>
  <c r="BA32" i="90"/>
  <c r="AZ32" i="90"/>
  <c r="AY32" i="90"/>
  <c r="AX32" i="90"/>
  <c r="AW32" i="90"/>
  <c r="AV32" i="90"/>
  <c r="AU32" i="90"/>
  <c r="AT32" i="90"/>
  <c r="AS32" i="90"/>
  <c r="AR32" i="90"/>
  <c r="AQ32" i="90"/>
  <c r="AP32" i="90"/>
  <c r="AO32" i="90"/>
  <c r="AN32" i="90"/>
  <c r="AM32" i="90"/>
  <c r="AL32" i="90"/>
  <c r="AK32" i="90"/>
  <c r="AJ32" i="90"/>
  <c r="BG31" i="90"/>
  <c r="BF31" i="90"/>
  <c r="BE31" i="90"/>
  <c r="BD31" i="90"/>
  <c r="BC31" i="90"/>
  <c r="BB31" i="90"/>
  <c r="BA31" i="90"/>
  <c r="AZ31" i="90"/>
  <c r="AY31" i="90"/>
  <c r="AX31" i="90"/>
  <c r="AW31" i="90"/>
  <c r="AV31" i="90"/>
  <c r="AU31" i="90"/>
  <c r="AT31" i="90"/>
  <c r="AS31" i="90"/>
  <c r="AR31" i="90"/>
  <c r="AQ31" i="90"/>
  <c r="AP31" i="90"/>
  <c r="AO31" i="90"/>
  <c r="AN31" i="90"/>
  <c r="AM31" i="90"/>
  <c r="AL31" i="90"/>
  <c r="AK31" i="90"/>
  <c r="AJ31" i="90"/>
  <c r="BG30" i="90"/>
  <c r="BF30" i="90"/>
  <c r="BE30" i="90"/>
  <c r="BD30" i="90"/>
  <c r="BC30" i="90"/>
  <c r="BB30" i="90"/>
  <c r="BA30" i="90"/>
  <c r="AZ30" i="90"/>
  <c r="AY30" i="90"/>
  <c r="AX30" i="90"/>
  <c r="AW30" i="90"/>
  <c r="AV30" i="90"/>
  <c r="AU30" i="90"/>
  <c r="AT30" i="90"/>
  <c r="AS30" i="90"/>
  <c r="AR30" i="90"/>
  <c r="AQ30" i="90"/>
  <c r="AP30" i="90"/>
  <c r="AO30" i="90"/>
  <c r="AN30" i="90"/>
  <c r="AM30" i="90"/>
  <c r="AL30" i="90"/>
  <c r="AK30" i="90"/>
  <c r="AJ30" i="90"/>
  <c r="BG29" i="90"/>
  <c r="BF29" i="90"/>
  <c r="BE29" i="90"/>
  <c r="BD29" i="90"/>
  <c r="BC29" i="90"/>
  <c r="BB29" i="90"/>
  <c r="BA29" i="90"/>
  <c r="AZ29" i="90"/>
  <c r="AY29" i="90"/>
  <c r="AX29" i="90"/>
  <c r="AW29" i="90"/>
  <c r="AV29" i="90"/>
  <c r="AU29" i="90"/>
  <c r="AT29" i="90"/>
  <c r="AS29" i="90"/>
  <c r="AR29" i="90"/>
  <c r="AQ29" i="90"/>
  <c r="AP29" i="90"/>
  <c r="AO29" i="90"/>
  <c r="AN29" i="90"/>
  <c r="AM29" i="90"/>
  <c r="AL29" i="90"/>
  <c r="AK29" i="90"/>
  <c r="AJ29" i="90"/>
  <c r="BG28" i="90"/>
  <c r="BF28" i="90"/>
  <c r="BE28" i="90"/>
  <c r="BD28" i="90"/>
  <c r="BC28" i="90"/>
  <c r="BB28" i="90"/>
  <c r="BA28" i="90"/>
  <c r="AZ28" i="90"/>
  <c r="AY28" i="90"/>
  <c r="AX28" i="90"/>
  <c r="AW28" i="90"/>
  <c r="AV28" i="90"/>
  <c r="AU28" i="90"/>
  <c r="AT28" i="90"/>
  <c r="AS28" i="90"/>
  <c r="AR28" i="90"/>
  <c r="AQ28" i="90"/>
  <c r="AP28" i="90"/>
  <c r="AO28" i="90"/>
  <c r="AN28" i="90"/>
  <c r="AM28" i="90"/>
  <c r="AL28" i="90"/>
  <c r="AK28" i="90"/>
  <c r="AJ28" i="90"/>
  <c r="BG27" i="90"/>
  <c r="BF27" i="90"/>
  <c r="BE27" i="90"/>
  <c r="BD27" i="90"/>
  <c r="BC27" i="90"/>
  <c r="BB27" i="90"/>
  <c r="BA27" i="90"/>
  <c r="AZ27" i="90"/>
  <c r="AY27" i="90"/>
  <c r="AX27" i="90"/>
  <c r="AW27" i="90"/>
  <c r="AV27" i="90"/>
  <c r="AU27" i="90"/>
  <c r="AT27" i="90"/>
  <c r="AS27" i="90"/>
  <c r="AR27" i="90"/>
  <c r="AQ27" i="90"/>
  <c r="AP27" i="90"/>
  <c r="AO27" i="90"/>
  <c r="AN27" i="90"/>
  <c r="AM27" i="90"/>
  <c r="AL27" i="90"/>
  <c r="AK27" i="90"/>
  <c r="AJ27" i="90"/>
  <c r="BG26" i="90"/>
  <c r="BF26" i="90"/>
  <c r="BE26" i="90"/>
  <c r="BD26" i="90"/>
  <c r="BC26" i="90"/>
  <c r="BB26" i="90"/>
  <c r="BA26" i="90"/>
  <c r="AZ26" i="90"/>
  <c r="AY26" i="90"/>
  <c r="AX26" i="90"/>
  <c r="AW26" i="90"/>
  <c r="AV26" i="90"/>
  <c r="AU26" i="90"/>
  <c r="AT26" i="90"/>
  <c r="AS26" i="90"/>
  <c r="AR26" i="90"/>
  <c r="AQ26" i="90"/>
  <c r="AP26" i="90"/>
  <c r="AO26" i="90"/>
  <c r="AN26" i="90"/>
  <c r="AM26" i="90"/>
  <c r="AL26" i="90"/>
  <c r="AK26" i="90"/>
  <c r="AJ26" i="90"/>
  <c r="BG25" i="90"/>
  <c r="BF25" i="90"/>
  <c r="BE25" i="90"/>
  <c r="BD25" i="90"/>
  <c r="BC25" i="90"/>
  <c r="BB25" i="90"/>
  <c r="BA25" i="90"/>
  <c r="AZ25" i="90"/>
  <c r="AY25" i="90"/>
  <c r="AX25" i="90"/>
  <c r="AW25" i="90"/>
  <c r="AV25" i="90"/>
  <c r="AU25" i="90"/>
  <c r="AT25" i="90"/>
  <c r="AS25" i="90"/>
  <c r="AR25" i="90"/>
  <c r="AQ25" i="90"/>
  <c r="AP25" i="90"/>
  <c r="AO25" i="90"/>
  <c r="AN25" i="90"/>
  <c r="AM25" i="90"/>
  <c r="AL25" i="90"/>
  <c r="AK25" i="90"/>
  <c r="AJ25" i="90"/>
  <c r="BG24" i="90"/>
  <c r="BF24" i="90"/>
  <c r="BE24" i="90"/>
  <c r="BD24" i="90"/>
  <c r="BC24" i="90"/>
  <c r="BB24" i="90"/>
  <c r="BA24" i="90"/>
  <c r="AZ24" i="90"/>
  <c r="AY24" i="90"/>
  <c r="AX24" i="90"/>
  <c r="AW24" i="90"/>
  <c r="AV24" i="90"/>
  <c r="AU24" i="90"/>
  <c r="AT24" i="90"/>
  <c r="AS24" i="90"/>
  <c r="AR24" i="90"/>
  <c r="AQ24" i="90"/>
  <c r="AP24" i="90"/>
  <c r="AO24" i="90"/>
  <c r="AN24" i="90"/>
  <c r="AM24" i="90"/>
  <c r="AL24" i="90"/>
  <c r="AK24" i="90"/>
  <c r="AJ24" i="90"/>
  <c r="BG23" i="90"/>
  <c r="BF23" i="90"/>
  <c r="BE23" i="90"/>
  <c r="BD23" i="90"/>
  <c r="BC23" i="90"/>
  <c r="BB23" i="90"/>
  <c r="BA23" i="90"/>
  <c r="AZ23" i="90"/>
  <c r="AY23" i="90"/>
  <c r="AX23" i="90"/>
  <c r="AW23" i="90"/>
  <c r="AV23" i="90"/>
  <c r="AU23" i="90"/>
  <c r="AT23" i="90"/>
  <c r="AS23" i="90"/>
  <c r="AR23" i="90"/>
  <c r="AQ23" i="90"/>
  <c r="AP23" i="90"/>
  <c r="AO23" i="90"/>
  <c r="AN23" i="90"/>
  <c r="AM23" i="90"/>
  <c r="AL23" i="90"/>
  <c r="AK23" i="90"/>
  <c r="AJ23" i="90"/>
  <c r="BG22" i="90"/>
  <c r="BF22" i="90"/>
  <c r="BE22" i="90"/>
  <c r="BD22" i="90"/>
  <c r="BC22" i="90"/>
  <c r="BB22" i="90"/>
  <c r="BA22" i="90"/>
  <c r="AZ22" i="90"/>
  <c r="AY22" i="90"/>
  <c r="AX22" i="90"/>
  <c r="AW22" i="90"/>
  <c r="AV22" i="90"/>
  <c r="AU22" i="90"/>
  <c r="AT22" i="90"/>
  <c r="AS22" i="90"/>
  <c r="AR22" i="90"/>
  <c r="AQ22" i="90"/>
  <c r="AP22" i="90"/>
  <c r="AO22" i="90"/>
  <c r="AN22" i="90"/>
  <c r="AM22" i="90"/>
  <c r="AL22" i="90"/>
  <c r="AK22" i="90"/>
  <c r="AJ22" i="90"/>
  <c r="BG21" i="90"/>
  <c r="BF21" i="90"/>
  <c r="BE21" i="90"/>
  <c r="BD21" i="90"/>
  <c r="BC21" i="90"/>
  <c r="BB21" i="90"/>
  <c r="BA21" i="90"/>
  <c r="AZ21" i="90"/>
  <c r="AY21" i="90"/>
  <c r="AX21" i="90"/>
  <c r="AW21" i="90"/>
  <c r="AV21" i="90"/>
  <c r="AU21" i="90"/>
  <c r="AT21" i="90"/>
  <c r="AS21" i="90"/>
  <c r="AR21" i="90"/>
  <c r="AQ21" i="90"/>
  <c r="AP21" i="90"/>
  <c r="AO21" i="90"/>
  <c r="AN21" i="90"/>
  <c r="AM21" i="90"/>
  <c r="AL21" i="90"/>
  <c r="AK21" i="90"/>
  <c r="AJ21" i="90"/>
  <c r="BG20" i="90"/>
  <c r="BF20" i="90"/>
  <c r="BE20" i="90"/>
  <c r="BD20" i="90"/>
  <c r="BC20" i="90"/>
  <c r="BB20" i="90"/>
  <c r="BA20" i="90"/>
  <c r="AZ20" i="90"/>
  <c r="AY20" i="90"/>
  <c r="AX20" i="90"/>
  <c r="AW20" i="90"/>
  <c r="AV20" i="90"/>
  <c r="AU20" i="90"/>
  <c r="AT20" i="90"/>
  <c r="AS20" i="90"/>
  <c r="AR20" i="90"/>
  <c r="AQ20" i="90"/>
  <c r="AP20" i="90"/>
  <c r="AO20" i="90"/>
  <c r="AN20" i="90"/>
  <c r="AM20" i="90"/>
  <c r="AL20" i="90"/>
  <c r="AK20" i="90"/>
  <c r="AJ20" i="90"/>
  <c r="BG19" i="90"/>
  <c r="BF19" i="90"/>
  <c r="BE19" i="90"/>
  <c r="BD19" i="90"/>
  <c r="BC19" i="90"/>
  <c r="BB19" i="90"/>
  <c r="BA19" i="90"/>
  <c r="AZ19" i="90"/>
  <c r="AY19" i="90"/>
  <c r="AX19" i="90"/>
  <c r="AW19" i="90"/>
  <c r="AV19" i="90"/>
  <c r="AU19" i="90"/>
  <c r="AT19" i="90"/>
  <c r="AS19" i="90"/>
  <c r="AR19" i="90"/>
  <c r="AQ19" i="90"/>
  <c r="AP19" i="90"/>
  <c r="AO19" i="90"/>
  <c r="AN19" i="90"/>
  <c r="AM19" i="90"/>
  <c r="AL19" i="90"/>
  <c r="AK19" i="90"/>
  <c r="AJ19" i="90"/>
  <c r="BG18" i="90"/>
  <c r="BF18" i="90"/>
  <c r="BE18" i="90"/>
  <c r="BD18" i="90"/>
  <c r="BC18" i="90"/>
  <c r="BB18" i="90"/>
  <c r="BA18" i="90"/>
  <c r="AZ18" i="90"/>
  <c r="AY18" i="90"/>
  <c r="AX18" i="90"/>
  <c r="AW18" i="90"/>
  <c r="AV18" i="90"/>
  <c r="AU18" i="90"/>
  <c r="AT18" i="90"/>
  <c r="AS18" i="90"/>
  <c r="AR18" i="90"/>
  <c r="AQ18" i="90"/>
  <c r="AP18" i="90"/>
  <c r="AO18" i="90"/>
  <c r="AN18" i="90"/>
  <c r="AM18" i="90"/>
  <c r="AL18" i="90"/>
  <c r="AK18" i="90"/>
  <c r="AJ18" i="90"/>
  <c r="BG17" i="90"/>
  <c r="BF17" i="90"/>
  <c r="BE17" i="90"/>
  <c r="BD17" i="90"/>
  <c r="BC17" i="90"/>
  <c r="BB17" i="90"/>
  <c r="BA17" i="90"/>
  <c r="AZ17" i="90"/>
  <c r="AY17" i="90"/>
  <c r="AX17" i="90"/>
  <c r="AW17" i="90"/>
  <c r="AV17" i="90"/>
  <c r="AU17" i="90"/>
  <c r="AT17" i="90"/>
  <c r="AS17" i="90"/>
  <c r="AR17" i="90"/>
  <c r="AQ17" i="90"/>
  <c r="AP17" i="90"/>
  <c r="AO17" i="90"/>
  <c r="AN17" i="90"/>
  <c r="AM17" i="90"/>
  <c r="AL17" i="90"/>
  <c r="AK17" i="90"/>
  <c r="AJ17" i="90"/>
  <c r="BG16" i="90"/>
  <c r="BF16" i="90"/>
  <c r="BE16" i="90"/>
  <c r="BD16" i="90"/>
  <c r="BC16" i="90"/>
  <c r="BB16" i="90"/>
  <c r="BA16" i="90"/>
  <c r="AZ16" i="90"/>
  <c r="AY16" i="90"/>
  <c r="AX16" i="90"/>
  <c r="AW16" i="90"/>
  <c r="AV16" i="90"/>
  <c r="AU16" i="90"/>
  <c r="AT16" i="90"/>
  <c r="AS16" i="90"/>
  <c r="AR16" i="90"/>
  <c r="AQ16" i="90"/>
  <c r="AP16" i="90"/>
  <c r="AO16" i="90"/>
  <c r="AN16" i="90"/>
  <c r="AM16" i="90"/>
  <c r="AL16" i="90"/>
  <c r="AK16" i="90"/>
  <c r="AJ16" i="90"/>
  <c r="BG15" i="90"/>
  <c r="BF15" i="90"/>
  <c r="BE15" i="90"/>
  <c r="BD15" i="90"/>
  <c r="BC15" i="90"/>
  <c r="BB15" i="90"/>
  <c r="BA15" i="90"/>
  <c r="AZ15" i="90"/>
  <c r="AY15" i="90"/>
  <c r="AX15" i="90"/>
  <c r="AW15" i="90"/>
  <c r="AV15" i="90"/>
  <c r="AU15" i="90"/>
  <c r="AT15" i="90"/>
  <c r="AS15" i="90"/>
  <c r="AR15" i="90"/>
  <c r="AQ15" i="90"/>
  <c r="AP15" i="90"/>
  <c r="AO15" i="90"/>
  <c r="AN15" i="90"/>
  <c r="AM15" i="90"/>
  <c r="AL15" i="90"/>
  <c r="AK15" i="90"/>
  <c r="AJ15" i="90"/>
  <c r="BL14" i="90"/>
  <c r="BK14" i="90"/>
  <c r="BJ14" i="90"/>
  <c r="BI14" i="90"/>
  <c r="BH14" i="90"/>
  <c r="BG14" i="90"/>
  <c r="BF14" i="90"/>
  <c r="BE14" i="90"/>
  <c r="BD14" i="90"/>
  <c r="BC14" i="90"/>
  <c r="BB14" i="90"/>
  <c r="BA14" i="90"/>
  <c r="AZ14" i="90"/>
  <c r="AY14" i="90"/>
  <c r="AX14" i="90"/>
  <c r="AW14" i="90"/>
  <c r="AV14" i="90"/>
  <c r="AU14" i="90"/>
  <c r="AT14" i="90"/>
  <c r="AS14" i="90"/>
  <c r="AR14" i="90"/>
  <c r="AQ14" i="90"/>
  <c r="AP14" i="90"/>
  <c r="AO14" i="90"/>
  <c r="AN14" i="90"/>
  <c r="AM14" i="90"/>
  <c r="AL14" i="90"/>
  <c r="BL13" i="90"/>
  <c r="BK13" i="90"/>
  <c r="BJ13" i="90"/>
  <c r="BI13" i="90"/>
  <c r="BH13" i="90"/>
  <c r="BG13" i="90"/>
  <c r="BF13" i="90"/>
  <c r="BE13" i="90"/>
  <c r="BD13" i="90"/>
  <c r="BA13" i="90"/>
  <c r="AZ13" i="90"/>
  <c r="AY13" i="90"/>
  <c r="AX13" i="90"/>
  <c r="AW13" i="90"/>
  <c r="AV13" i="90"/>
  <c r="AU13" i="90"/>
  <c r="AT13" i="90"/>
  <c r="AS13" i="90"/>
  <c r="AR13" i="90"/>
  <c r="AQ13" i="90"/>
  <c r="AP13" i="90"/>
  <c r="AO13" i="90"/>
  <c r="AN13" i="90"/>
  <c r="AM13" i="90"/>
  <c r="AL13" i="90"/>
  <c r="BG44" i="91"/>
  <c r="BF44" i="91"/>
  <c r="BE44" i="91"/>
  <c r="BD44" i="91"/>
  <c r="BC44" i="91"/>
  <c r="BB44" i="91"/>
  <c r="BA44" i="91"/>
  <c r="AZ44" i="91"/>
  <c r="AY44" i="91"/>
  <c r="AX44" i="91"/>
  <c r="AW44" i="91"/>
  <c r="AV44" i="91"/>
  <c r="AU44" i="91"/>
  <c r="AT44" i="91"/>
  <c r="AS44" i="91"/>
  <c r="AR44" i="91"/>
  <c r="AQ44" i="91"/>
  <c r="AP44" i="91"/>
  <c r="AO44" i="91"/>
  <c r="AN44" i="91"/>
  <c r="AM44" i="91"/>
  <c r="AL44" i="91"/>
  <c r="AK44" i="91"/>
  <c r="AJ44" i="91"/>
  <c r="BG43" i="91"/>
  <c r="BF43" i="91"/>
  <c r="BE43" i="91"/>
  <c r="BD43" i="91"/>
  <c r="BC43" i="91"/>
  <c r="BB43" i="91"/>
  <c r="BA43" i="91"/>
  <c r="AZ43" i="91"/>
  <c r="AY43" i="91"/>
  <c r="AX43" i="91"/>
  <c r="AW43" i="91"/>
  <c r="AV43" i="91"/>
  <c r="AU43" i="91"/>
  <c r="AT43" i="91"/>
  <c r="AS43" i="91"/>
  <c r="AR43" i="91"/>
  <c r="AQ43" i="91"/>
  <c r="AP43" i="91"/>
  <c r="AO43" i="91"/>
  <c r="AN43" i="91"/>
  <c r="AM43" i="91"/>
  <c r="AL43" i="91"/>
  <c r="AK43" i="91"/>
  <c r="AJ43" i="91"/>
  <c r="BG42" i="91"/>
  <c r="BF42" i="91"/>
  <c r="BE42" i="91"/>
  <c r="BD42" i="91"/>
  <c r="BC42" i="91"/>
  <c r="BB42" i="91"/>
  <c r="BA42" i="91"/>
  <c r="AZ42" i="91"/>
  <c r="AY42" i="91"/>
  <c r="AX42" i="91"/>
  <c r="AW42" i="91"/>
  <c r="AV42" i="91"/>
  <c r="AU42" i="91"/>
  <c r="AT42" i="91"/>
  <c r="AS42" i="91"/>
  <c r="AR42" i="91"/>
  <c r="AQ42" i="91"/>
  <c r="AP42" i="91"/>
  <c r="AO42" i="91"/>
  <c r="AN42" i="91"/>
  <c r="AM42" i="91"/>
  <c r="AL42" i="91"/>
  <c r="AK42" i="91"/>
  <c r="AJ42" i="91"/>
  <c r="BG41" i="91"/>
  <c r="BF41" i="91"/>
  <c r="BE41" i="91"/>
  <c r="BD41" i="91"/>
  <c r="BC41" i="91"/>
  <c r="BB41" i="91"/>
  <c r="BA41" i="91"/>
  <c r="AZ41" i="91"/>
  <c r="AY41" i="91"/>
  <c r="AX41" i="91"/>
  <c r="AW41" i="91"/>
  <c r="AV41" i="91"/>
  <c r="AU41" i="91"/>
  <c r="AT41" i="91"/>
  <c r="AS41" i="91"/>
  <c r="AR41" i="91"/>
  <c r="AQ41" i="91"/>
  <c r="AP41" i="91"/>
  <c r="AO41" i="91"/>
  <c r="AN41" i="91"/>
  <c r="AM41" i="91"/>
  <c r="AL41" i="91"/>
  <c r="AK41" i="91"/>
  <c r="AJ41" i="91"/>
  <c r="BG40" i="91"/>
  <c r="BF40" i="91"/>
  <c r="BE40" i="91"/>
  <c r="BD40" i="91"/>
  <c r="BC40" i="91"/>
  <c r="BB40" i="91"/>
  <c r="BA40" i="91"/>
  <c r="AZ40" i="91"/>
  <c r="AY40" i="91"/>
  <c r="AX40" i="91"/>
  <c r="AW40" i="91"/>
  <c r="AV40" i="91"/>
  <c r="AU40" i="91"/>
  <c r="AT40" i="91"/>
  <c r="AS40" i="91"/>
  <c r="AR40" i="91"/>
  <c r="AQ40" i="91"/>
  <c r="AP40" i="91"/>
  <c r="AO40" i="91"/>
  <c r="AN40" i="91"/>
  <c r="AM40" i="91"/>
  <c r="AL40" i="91"/>
  <c r="AK40" i="91"/>
  <c r="AJ40" i="91"/>
  <c r="BG39" i="91"/>
  <c r="BF39" i="91"/>
  <c r="BE39" i="91"/>
  <c r="BD39" i="91"/>
  <c r="BC39" i="91"/>
  <c r="BB39" i="91"/>
  <c r="BA39" i="91"/>
  <c r="AZ39" i="91"/>
  <c r="AY39" i="91"/>
  <c r="AX39" i="91"/>
  <c r="AW39" i="91"/>
  <c r="AV39" i="91"/>
  <c r="AU39" i="91"/>
  <c r="AT39" i="91"/>
  <c r="AS39" i="91"/>
  <c r="AR39" i="91"/>
  <c r="AQ39" i="91"/>
  <c r="AP39" i="91"/>
  <c r="AO39" i="91"/>
  <c r="AN39" i="91"/>
  <c r="AM39" i="91"/>
  <c r="AL39" i="91"/>
  <c r="AK39" i="91"/>
  <c r="AJ39" i="91"/>
  <c r="BG38" i="91"/>
  <c r="BF38" i="91"/>
  <c r="BE38" i="91"/>
  <c r="BD38" i="91"/>
  <c r="BC38" i="91"/>
  <c r="BB38" i="91"/>
  <c r="BA38" i="91"/>
  <c r="AZ38" i="91"/>
  <c r="AY38" i="91"/>
  <c r="AX38" i="91"/>
  <c r="AW38" i="91"/>
  <c r="AV38" i="91"/>
  <c r="AU38" i="91"/>
  <c r="AT38" i="91"/>
  <c r="AS38" i="91"/>
  <c r="AR38" i="91"/>
  <c r="AQ38" i="91"/>
  <c r="AP38" i="91"/>
  <c r="AO38" i="91"/>
  <c r="AN38" i="91"/>
  <c r="AM38" i="91"/>
  <c r="AL38" i="91"/>
  <c r="AK38" i="91"/>
  <c r="AJ38" i="91"/>
  <c r="BG37" i="91"/>
  <c r="BF37" i="91"/>
  <c r="BE37" i="91"/>
  <c r="BD37" i="91"/>
  <c r="BC37" i="91"/>
  <c r="BB37" i="91"/>
  <c r="BA37" i="91"/>
  <c r="AZ37" i="91"/>
  <c r="AY37" i="91"/>
  <c r="AX37" i="91"/>
  <c r="AW37" i="91"/>
  <c r="AV37" i="91"/>
  <c r="AU37" i="91"/>
  <c r="AT37" i="91"/>
  <c r="AS37" i="91"/>
  <c r="AR37" i="91"/>
  <c r="AQ37" i="91"/>
  <c r="AP37" i="91"/>
  <c r="AO37" i="91"/>
  <c r="AN37" i="91"/>
  <c r="AM37" i="91"/>
  <c r="AL37" i="91"/>
  <c r="AK37" i="91"/>
  <c r="AJ37" i="91"/>
  <c r="BG36" i="91"/>
  <c r="BF36" i="91"/>
  <c r="BE36" i="91"/>
  <c r="BD36" i="91"/>
  <c r="BC36" i="91"/>
  <c r="BB36" i="91"/>
  <c r="BA36" i="91"/>
  <c r="AZ36" i="91"/>
  <c r="AY36" i="91"/>
  <c r="AX36" i="91"/>
  <c r="AW36" i="91"/>
  <c r="AV36" i="91"/>
  <c r="AU36" i="91"/>
  <c r="AT36" i="91"/>
  <c r="AS36" i="91"/>
  <c r="AR36" i="91"/>
  <c r="AQ36" i="91"/>
  <c r="AP36" i="91"/>
  <c r="AO36" i="91"/>
  <c r="AN36" i="91"/>
  <c r="AM36" i="91"/>
  <c r="AL36" i="91"/>
  <c r="AK36" i="91"/>
  <c r="AJ36" i="91"/>
  <c r="BG35" i="91"/>
  <c r="BF35" i="91"/>
  <c r="BE35" i="91"/>
  <c r="BD35" i="91"/>
  <c r="BC35" i="91"/>
  <c r="BB35" i="91"/>
  <c r="BA35" i="91"/>
  <c r="AZ35" i="91"/>
  <c r="AY35" i="91"/>
  <c r="AX35" i="91"/>
  <c r="AW35" i="91"/>
  <c r="AV35" i="91"/>
  <c r="AU35" i="91"/>
  <c r="AT35" i="91"/>
  <c r="AS35" i="91"/>
  <c r="AR35" i="91"/>
  <c r="AQ35" i="91"/>
  <c r="AP35" i="91"/>
  <c r="AO35" i="91"/>
  <c r="AN35" i="91"/>
  <c r="AM35" i="91"/>
  <c r="AL35" i="91"/>
  <c r="AK35" i="91"/>
  <c r="AJ35" i="91"/>
  <c r="BG34" i="91"/>
  <c r="BF34" i="91"/>
  <c r="BE34" i="91"/>
  <c r="BD34" i="91"/>
  <c r="BC34" i="91"/>
  <c r="BB34" i="91"/>
  <c r="BA34" i="91"/>
  <c r="AZ34" i="91"/>
  <c r="AY34" i="91"/>
  <c r="AX34" i="91"/>
  <c r="AW34" i="91"/>
  <c r="AV34" i="91"/>
  <c r="AU34" i="91"/>
  <c r="AT34" i="91"/>
  <c r="AS34" i="91"/>
  <c r="AR34" i="91"/>
  <c r="AQ34" i="91"/>
  <c r="AP34" i="91"/>
  <c r="AO34" i="91"/>
  <c r="AN34" i="91"/>
  <c r="AM34" i="91"/>
  <c r="AL34" i="91"/>
  <c r="AK34" i="91"/>
  <c r="AJ34" i="91"/>
  <c r="BG33" i="91"/>
  <c r="BF33" i="91"/>
  <c r="BE33" i="91"/>
  <c r="BD33" i="91"/>
  <c r="BC33" i="91"/>
  <c r="BB33" i="91"/>
  <c r="BA33" i="91"/>
  <c r="AZ33" i="91"/>
  <c r="AY33" i="91"/>
  <c r="AX33" i="91"/>
  <c r="AW33" i="91"/>
  <c r="AV33" i="91"/>
  <c r="AU33" i="91"/>
  <c r="AT33" i="91"/>
  <c r="AS33" i="91"/>
  <c r="AR33" i="91"/>
  <c r="AQ33" i="91"/>
  <c r="AP33" i="91"/>
  <c r="AO33" i="91"/>
  <c r="AN33" i="91"/>
  <c r="AM33" i="91"/>
  <c r="AL33" i="91"/>
  <c r="AK33" i="91"/>
  <c r="AJ33" i="91"/>
  <c r="BG32" i="91"/>
  <c r="BF32" i="91"/>
  <c r="BE32" i="91"/>
  <c r="BD32" i="91"/>
  <c r="BC32" i="91"/>
  <c r="BB32" i="91"/>
  <c r="BA32" i="91"/>
  <c r="AZ32" i="91"/>
  <c r="AY32" i="91"/>
  <c r="AX32" i="91"/>
  <c r="AW32" i="91"/>
  <c r="AV32" i="91"/>
  <c r="AU32" i="91"/>
  <c r="AT32" i="91"/>
  <c r="AS32" i="91"/>
  <c r="AR32" i="91"/>
  <c r="AQ32" i="91"/>
  <c r="AP32" i="91"/>
  <c r="AO32" i="91"/>
  <c r="AN32" i="91"/>
  <c r="AM32" i="91"/>
  <c r="AL32" i="91"/>
  <c r="AK32" i="91"/>
  <c r="AJ32" i="91"/>
  <c r="BG31" i="91"/>
  <c r="BF31" i="91"/>
  <c r="BE31" i="91"/>
  <c r="BD31" i="91"/>
  <c r="BC31" i="91"/>
  <c r="BB31" i="91"/>
  <c r="BA31" i="91"/>
  <c r="AZ31" i="91"/>
  <c r="AY31" i="91"/>
  <c r="AX31" i="91"/>
  <c r="AW31" i="91"/>
  <c r="AV31" i="91"/>
  <c r="AU31" i="91"/>
  <c r="AT31" i="91"/>
  <c r="AS31" i="91"/>
  <c r="AR31" i="91"/>
  <c r="AQ31" i="91"/>
  <c r="AP31" i="91"/>
  <c r="AO31" i="91"/>
  <c r="AN31" i="91"/>
  <c r="AM31" i="91"/>
  <c r="AL31" i="91"/>
  <c r="AK31" i="91"/>
  <c r="AJ31" i="91"/>
  <c r="BG30" i="91"/>
  <c r="BF30" i="91"/>
  <c r="BE30" i="91"/>
  <c r="BD30" i="91"/>
  <c r="BC30" i="91"/>
  <c r="BB30" i="91"/>
  <c r="BA30" i="91"/>
  <c r="AZ30" i="91"/>
  <c r="AY30" i="91"/>
  <c r="AX30" i="91"/>
  <c r="AW30" i="91"/>
  <c r="AV30" i="91"/>
  <c r="AU30" i="91"/>
  <c r="AT30" i="91"/>
  <c r="AS30" i="91"/>
  <c r="AR30" i="91"/>
  <c r="AQ30" i="91"/>
  <c r="AP30" i="91"/>
  <c r="AO30" i="91"/>
  <c r="AN30" i="91"/>
  <c r="AM30" i="91"/>
  <c r="AL30" i="91"/>
  <c r="AK30" i="91"/>
  <c r="AJ30" i="91"/>
  <c r="BG29" i="91"/>
  <c r="BF29" i="91"/>
  <c r="BE29" i="91"/>
  <c r="BD29" i="91"/>
  <c r="BC29" i="91"/>
  <c r="BB29" i="91"/>
  <c r="BA29" i="91"/>
  <c r="AZ29" i="91"/>
  <c r="AY29" i="91"/>
  <c r="AX29" i="91"/>
  <c r="AW29" i="91"/>
  <c r="AV29" i="91"/>
  <c r="AU29" i="91"/>
  <c r="AT29" i="91"/>
  <c r="AS29" i="91"/>
  <c r="AR29" i="91"/>
  <c r="AQ29" i="91"/>
  <c r="AP29" i="91"/>
  <c r="AO29" i="91"/>
  <c r="AN29" i="91"/>
  <c r="AM29" i="91"/>
  <c r="AL29" i="91"/>
  <c r="AK29" i="91"/>
  <c r="AJ29" i="91"/>
  <c r="BG28" i="91"/>
  <c r="BF28" i="91"/>
  <c r="BE28" i="91"/>
  <c r="BD28" i="91"/>
  <c r="BC28" i="91"/>
  <c r="BB28" i="91"/>
  <c r="BA28" i="91"/>
  <c r="AZ28" i="91"/>
  <c r="AY28" i="91"/>
  <c r="AX28" i="91"/>
  <c r="AW28" i="91"/>
  <c r="AV28" i="91"/>
  <c r="AU28" i="91"/>
  <c r="AT28" i="91"/>
  <c r="AS28" i="91"/>
  <c r="AR28" i="91"/>
  <c r="AQ28" i="91"/>
  <c r="AP28" i="91"/>
  <c r="AO28" i="91"/>
  <c r="AN28" i="91"/>
  <c r="AM28" i="91"/>
  <c r="AL28" i="91"/>
  <c r="AK28" i="91"/>
  <c r="AJ28" i="91"/>
  <c r="BG27" i="91"/>
  <c r="BF27" i="91"/>
  <c r="BE27" i="91"/>
  <c r="BD27" i="91"/>
  <c r="BC27" i="91"/>
  <c r="BB27" i="91"/>
  <c r="BA27" i="91"/>
  <c r="AZ27" i="91"/>
  <c r="AY27" i="91"/>
  <c r="AX27" i="91"/>
  <c r="AW27" i="91"/>
  <c r="AV27" i="91"/>
  <c r="AU27" i="91"/>
  <c r="AT27" i="91"/>
  <c r="AS27" i="91"/>
  <c r="AR27" i="91"/>
  <c r="AQ27" i="91"/>
  <c r="AP27" i="91"/>
  <c r="AO27" i="91"/>
  <c r="AN27" i="91"/>
  <c r="AM27" i="91"/>
  <c r="AL27" i="91"/>
  <c r="AK27" i="91"/>
  <c r="AJ27" i="91"/>
  <c r="BG26" i="91"/>
  <c r="BF26" i="91"/>
  <c r="BE26" i="91"/>
  <c r="BD26" i="91"/>
  <c r="BC26" i="91"/>
  <c r="BB26" i="91"/>
  <c r="BA26" i="91"/>
  <c r="AZ26" i="91"/>
  <c r="AY26" i="91"/>
  <c r="AX26" i="91"/>
  <c r="AW26" i="91"/>
  <c r="AV26" i="91"/>
  <c r="AU26" i="91"/>
  <c r="AT26" i="91"/>
  <c r="AS26" i="91"/>
  <c r="AR26" i="91"/>
  <c r="AQ26" i="91"/>
  <c r="AP26" i="91"/>
  <c r="AO26" i="91"/>
  <c r="AN26" i="91"/>
  <c r="AM26" i="91"/>
  <c r="AL26" i="91"/>
  <c r="AK26" i="91"/>
  <c r="AJ26" i="91"/>
  <c r="BG25" i="91"/>
  <c r="BF25" i="91"/>
  <c r="BE25" i="91"/>
  <c r="BD25" i="91"/>
  <c r="BC25" i="91"/>
  <c r="BB25" i="91"/>
  <c r="BA25" i="91"/>
  <c r="AZ25" i="91"/>
  <c r="AY25" i="91"/>
  <c r="AX25" i="91"/>
  <c r="AW25" i="91"/>
  <c r="AV25" i="91"/>
  <c r="AU25" i="91"/>
  <c r="AT25" i="91"/>
  <c r="AS25" i="91"/>
  <c r="AR25" i="91"/>
  <c r="AQ25" i="91"/>
  <c r="AP25" i="91"/>
  <c r="AO25" i="91"/>
  <c r="AN25" i="91"/>
  <c r="AM25" i="91"/>
  <c r="AL25" i="91"/>
  <c r="AK25" i="91"/>
  <c r="AJ25" i="91"/>
  <c r="BG24" i="91"/>
  <c r="BF24" i="91"/>
  <c r="BE24" i="91"/>
  <c r="BD24" i="91"/>
  <c r="BC24" i="91"/>
  <c r="BB24" i="91"/>
  <c r="BA24" i="91"/>
  <c r="AZ24" i="91"/>
  <c r="AY24" i="91"/>
  <c r="AX24" i="91"/>
  <c r="AW24" i="91"/>
  <c r="AV24" i="91"/>
  <c r="AU24" i="91"/>
  <c r="AT24" i="91"/>
  <c r="AS24" i="91"/>
  <c r="AR24" i="91"/>
  <c r="AQ24" i="91"/>
  <c r="AP24" i="91"/>
  <c r="AO24" i="91"/>
  <c r="AN24" i="91"/>
  <c r="AM24" i="91"/>
  <c r="AL24" i="91"/>
  <c r="AK24" i="91"/>
  <c r="AJ24" i="91"/>
  <c r="BG23" i="91"/>
  <c r="BF23" i="91"/>
  <c r="BE23" i="91"/>
  <c r="BD23" i="91"/>
  <c r="BC23" i="91"/>
  <c r="BB23" i="91"/>
  <c r="BA23" i="91"/>
  <c r="AZ23" i="91"/>
  <c r="AY23" i="91"/>
  <c r="AX23" i="91"/>
  <c r="AW23" i="91"/>
  <c r="AV23" i="91"/>
  <c r="AU23" i="91"/>
  <c r="AT23" i="91"/>
  <c r="AS23" i="91"/>
  <c r="AR23" i="91"/>
  <c r="AQ23" i="91"/>
  <c r="AP23" i="91"/>
  <c r="AO23" i="91"/>
  <c r="AN23" i="91"/>
  <c r="AM23" i="91"/>
  <c r="AL23" i="91"/>
  <c r="AK23" i="91"/>
  <c r="AJ23" i="91"/>
  <c r="BG22" i="91"/>
  <c r="BF22" i="91"/>
  <c r="BE22" i="91"/>
  <c r="BD22" i="91"/>
  <c r="BC22" i="91"/>
  <c r="BB22" i="91"/>
  <c r="BA22" i="91"/>
  <c r="AZ22" i="91"/>
  <c r="AY22" i="91"/>
  <c r="AX22" i="91"/>
  <c r="AW22" i="91"/>
  <c r="AV22" i="91"/>
  <c r="AU22" i="91"/>
  <c r="AT22" i="91"/>
  <c r="AS22" i="91"/>
  <c r="AR22" i="91"/>
  <c r="AQ22" i="91"/>
  <c r="AP22" i="91"/>
  <c r="AO22" i="91"/>
  <c r="AN22" i="91"/>
  <c r="AM22" i="91"/>
  <c r="AL22" i="91"/>
  <c r="AK22" i="91"/>
  <c r="AJ22" i="91"/>
  <c r="BG21" i="91"/>
  <c r="BF21" i="91"/>
  <c r="BE21" i="91"/>
  <c r="BD21" i="91"/>
  <c r="BC21" i="91"/>
  <c r="BB21" i="91"/>
  <c r="BA21" i="91"/>
  <c r="AZ21" i="91"/>
  <c r="AY21" i="91"/>
  <c r="AX21" i="91"/>
  <c r="AW21" i="91"/>
  <c r="AV21" i="91"/>
  <c r="AU21" i="91"/>
  <c r="AT21" i="91"/>
  <c r="AS21" i="91"/>
  <c r="AR21" i="91"/>
  <c r="AQ21" i="91"/>
  <c r="AP21" i="91"/>
  <c r="AO21" i="91"/>
  <c r="AN21" i="91"/>
  <c r="AM21" i="91"/>
  <c r="AL21" i="91"/>
  <c r="AK21" i="91"/>
  <c r="AJ21" i="91"/>
  <c r="BG20" i="91"/>
  <c r="BF20" i="91"/>
  <c r="BE20" i="91"/>
  <c r="BD20" i="91"/>
  <c r="BC20" i="91"/>
  <c r="BB20" i="91"/>
  <c r="BA20" i="91"/>
  <c r="AZ20" i="91"/>
  <c r="AY20" i="91"/>
  <c r="AX20" i="91"/>
  <c r="AW20" i="91"/>
  <c r="AV20" i="91"/>
  <c r="AU20" i="91"/>
  <c r="AT20" i="91"/>
  <c r="AS20" i="91"/>
  <c r="AR20" i="91"/>
  <c r="AQ20" i="91"/>
  <c r="AP20" i="91"/>
  <c r="AO20" i="91"/>
  <c r="AN20" i="91"/>
  <c r="AM20" i="91"/>
  <c r="AL20" i="91"/>
  <c r="AK20" i="91"/>
  <c r="AJ20" i="91"/>
  <c r="BG19" i="91"/>
  <c r="BF19" i="91"/>
  <c r="BE19" i="91"/>
  <c r="BD19" i="91"/>
  <c r="BC19" i="91"/>
  <c r="BB19" i="91"/>
  <c r="BA19" i="91"/>
  <c r="AZ19" i="91"/>
  <c r="AY19" i="91"/>
  <c r="AX19" i="91"/>
  <c r="AW19" i="91"/>
  <c r="AV19" i="91"/>
  <c r="AU19" i="91"/>
  <c r="AT19" i="91"/>
  <c r="AS19" i="91"/>
  <c r="AR19" i="91"/>
  <c r="AQ19" i="91"/>
  <c r="AP19" i="91"/>
  <c r="AO19" i="91"/>
  <c r="AN19" i="91"/>
  <c r="AM19" i="91"/>
  <c r="AL19" i="91"/>
  <c r="AK19" i="91"/>
  <c r="AJ19" i="91"/>
  <c r="BG18" i="91"/>
  <c r="BF18" i="91"/>
  <c r="BE18" i="91"/>
  <c r="BD18" i="91"/>
  <c r="BC18" i="91"/>
  <c r="BB18" i="91"/>
  <c r="BA18" i="91"/>
  <c r="AZ18" i="91"/>
  <c r="AY18" i="91"/>
  <c r="AX18" i="91"/>
  <c r="AW18" i="91"/>
  <c r="AV18" i="91"/>
  <c r="AU18" i="91"/>
  <c r="AT18" i="91"/>
  <c r="AS18" i="91"/>
  <c r="AR18" i="91"/>
  <c r="AQ18" i="91"/>
  <c r="AP18" i="91"/>
  <c r="AO18" i="91"/>
  <c r="AN18" i="91"/>
  <c r="AM18" i="91"/>
  <c r="AL18" i="91"/>
  <c r="AK18" i="91"/>
  <c r="AJ18" i="91"/>
  <c r="BG17" i="91"/>
  <c r="BF17" i="91"/>
  <c r="BE17" i="91"/>
  <c r="BD17" i="91"/>
  <c r="BC17" i="91"/>
  <c r="BB17" i="91"/>
  <c r="BA17" i="91"/>
  <c r="AZ17" i="91"/>
  <c r="AY17" i="91"/>
  <c r="AX17" i="91"/>
  <c r="AW17" i="91"/>
  <c r="AV17" i="91"/>
  <c r="AU17" i="91"/>
  <c r="AT17" i="91"/>
  <c r="AS17" i="91"/>
  <c r="AR17" i="91"/>
  <c r="AQ17" i="91"/>
  <c r="AP17" i="91"/>
  <c r="AO17" i="91"/>
  <c r="AN17" i="91"/>
  <c r="AM17" i="91"/>
  <c r="AL17" i="91"/>
  <c r="AK17" i="91"/>
  <c r="AJ17" i="91"/>
  <c r="BG16" i="91"/>
  <c r="BF16" i="91"/>
  <c r="BE16" i="91"/>
  <c r="BD16" i="91"/>
  <c r="BC16" i="91"/>
  <c r="BB16" i="91"/>
  <c r="BA16" i="91"/>
  <c r="AZ16" i="91"/>
  <c r="AY16" i="91"/>
  <c r="AX16" i="91"/>
  <c r="AW16" i="91"/>
  <c r="AV16" i="91"/>
  <c r="AU16" i="91"/>
  <c r="AT16" i="91"/>
  <c r="AS16" i="91"/>
  <c r="AR16" i="91"/>
  <c r="AQ16" i="91"/>
  <c r="AP16" i="91"/>
  <c r="AO16" i="91"/>
  <c r="AN16" i="91"/>
  <c r="AM16" i="91"/>
  <c r="AL16" i="91"/>
  <c r="AK16" i="91"/>
  <c r="AJ16" i="91"/>
  <c r="BG15" i="91"/>
  <c r="BF15" i="91"/>
  <c r="BE15" i="91"/>
  <c r="BD15" i="91"/>
  <c r="BC15" i="91"/>
  <c r="BB15" i="91"/>
  <c r="BA15" i="91"/>
  <c r="AZ15" i="91"/>
  <c r="AY15" i="91"/>
  <c r="AX15" i="91"/>
  <c r="AW15" i="91"/>
  <c r="AV15" i="91"/>
  <c r="AU15" i="91"/>
  <c r="AT15" i="91"/>
  <c r="AS15" i="91"/>
  <c r="AR15" i="91"/>
  <c r="AQ15" i="91"/>
  <c r="AP15" i="91"/>
  <c r="AO15" i="91"/>
  <c r="AN15" i="91"/>
  <c r="AM15" i="91"/>
  <c r="AL15" i="91"/>
  <c r="AK15" i="91"/>
  <c r="AJ15" i="91"/>
  <c r="BL14" i="91"/>
  <c r="BK14" i="91"/>
  <c r="BJ14" i="91"/>
  <c r="BI14" i="91"/>
  <c r="BH14" i="91"/>
  <c r="BG14" i="91"/>
  <c r="BF14" i="91"/>
  <c r="BE14" i="91"/>
  <c r="BD14" i="91"/>
  <c r="BC14" i="91"/>
  <c r="BB14" i="91"/>
  <c r="BA14" i="91"/>
  <c r="AZ14" i="91"/>
  <c r="AY14" i="91"/>
  <c r="AX14" i="91"/>
  <c r="AW14" i="91"/>
  <c r="AV14" i="91"/>
  <c r="AU14" i="91"/>
  <c r="AT14" i="91"/>
  <c r="AS14" i="91"/>
  <c r="AR14" i="91"/>
  <c r="AQ14" i="91"/>
  <c r="AP14" i="91"/>
  <c r="AO14" i="91"/>
  <c r="AN14" i="91"/>
  <c r="AM14" i="91"/>
  <c r="AL14" i="91"/>
  <c r="BL13" i="91"/>
  <c r="BK13" i="91"/>
  <c r="BJ13" i="91"/>
  <c r="BI13" i="91"/>
  <c r="BH13" i="91"/>
  <c r="BG13" i="91"/>
  <c r="BF13" i="91"/>
  <c r="BE13" i="91"/>
  <c r="BD13" i="91"/>
  <c r="BA13" i="91"/>
  <c r="AZ13" i="91"/>
  <c r="AY13" i="91"/>
  <c r="AX13" i="91"/>
  <c r="AW13" i="91"/>
  <c r="AV13" i="91"/>
  <c r="AU13" i="91"/>
  <c r="AT13" i="91"/>
  <c r="AS13" i="91"/>
  <c r="AR13" i="91"/>
  <c r="AQ13" i="91"/>
  <c r="AP13" i="91"/>
  <c r="AO13" i="91"/>
  <c r="AN13" i="91"/>
  <c r="AM13" i="91"/>
  <c r="AL13" i="91"/>
  <c r="BG44" i="92"/>
  <c r="BF44" i="92"/>
  <c r="BE44" i="92"/>
  <c r="BD44" i="92"/>
  <c r="BC44" i="92"/>
  <c r="BB44" i="92"/>
  <c r="BA44" i="92"/>
  <c r="AZ44" i="92"/>
  <c r="AY44" i="92"/>
  <c r="AX44" i="92"/>
  <c r="AW44" i="92"/>
  <c r="AV44" i="92"/>
  <c r="AU44" i="92"/>
  <c r="AT44" i="92"/>
  <c r="AS44" i="92"/>
  <c r="AR44" i="92"/>
  <c r="AQ44" i="92"/>
  <c r="AP44" i="92"/>
  <c r="AO44" i="92"/>
  <c r="AN44" i="92"/>
  <c r="AM44" i="92"/>
  <c r="AL44" i="92"/>
  <c r="AK44" i="92"/>
  <c r="AJ44" i="92"/>
  <c r="BG43" i="92"/>
  <c r="BF43" i="92"/>
  <c r="BE43" i="92"/>
  <c r="BD43" i="92"/>
  <c r="BC43" i="92"/>
  <c r="BB43" i="92"/>
  <c r="BA43" i="92"/>
  <c r="AZ43" i="92"/>
  <c r="AY43" i="92"/>
  <c r="AX43" i="92"/>
  <c r="AW43" i="92"/>
  <c r="AV43" i="92"/>
  <c r="AU43" i="92"/>
  <c r="AT43" i="92"/>
  <c r="AS43" i="92"/>
  <c r="AR43" i="92"/>
  <c r="AQ43" i="92"/>
  <c r="AP43" i="92"/>
  <c r="AO43" i="92"/>
  <c r="AN43" i="92"/>
  <c r="AM43" i="92"/>
  <c r="AL43" i="92"/>
  <c r="AK43" i="92"/>
  <c r="AJ43" i="92"/>
  <c r="BG42" i="92"/>
  <c r="BF42" i="92"/>
  <c r="BE42" i="92"/>
  <c r="BD42" i="92"/>
  <c r="BC42" i="92"/>
  <c r="BB42" i="92"/>
  <c r="BA42" i="92"/>
  <c r="AZ42" i="92"/>
  <c r="AY42" i="92"/>
  <c r="AX42" i="92"/>
  <c r="AW42" i="92"/>
  <c r="AV42" i="92"/>
  <c r="AU42" i="92"/>
  <c r="AT42" i="92"/>
  <c r="AS42" i="92"/>
  <c r="AR42" i="92"/>
  <c r="AQ42" i="92"/>
  <c r="AP42" i="92"/>
  <c r="AO42" i="92"/>
  <c r="AN42" i="92"/>
  <c r="AM42" i="92"/>
  <c r="AL42" i="92"/>
  <c r="AK42" i="92"/>
  <c r="AJ42" i="92"/>
  <c r="BG41" i="92"/>
  <c r="BF41" i="92"/>
  <c r="BE41" i="92"/>
  <c r="BD41" i="92"/>
  <c r="BC41" i="92"/>
  <c r="BB41" i="92"/>
  <c r="BA41" i="92"/>
  <c r="AZ41" i="92"/>
  <c r="AY41" i="92"/>
  <c r="AX41" i="92"/>
  <c r="AW41" i="92"/>
  <c r="AV41" i="92"/>
  <c r="AU41" i="92"/>
  <c r="AT41" i="92"/>
  <c r="AS41" i="92"/>
  <c r="AR41" i="92"/>
  <c r="AQ41" i="92"/>
  <c r="AP41" i="92"/>
  <c r="AO41" i="92"/>
  <c r="AN41" i="92"/>
  <c r="AM41" i="92"/>
  <c r="AL41" i="92"/>
  <c r="AK41" i="92"/>
  <c r="AJ41" i="92"/>
  <c r="BG40" i="92"/>
  <c r="BF40" i="92"/>
  <c r="BE40" i="92"/>
  <c r="BD40" i="92"/>
  <c r="BC40" i="92"/>
  <c r="BB40" i="92"/>
  <c r="BA40" i="92"/>
  <c r="AZ40" i="92"/>
  <c r="AY40" i="92"/>
  <c r="AX40" i="92"/>
  <c r="AW40" i="92"/>
  <c r="AV40" i="92"/>
  <c r="AU40" i="92"/>
  <c r="AT40" i="92"/>
  <c r="AS40" i="92"/>
  <c r="AR40" i="92"/>
  <c r="AQ40" i="92"/>
  <c r="AP40" i="92"/>
  <c r="AO40" i="92"/>
  <c r="AN40" i="92"/>
  <c r="AM40" i="92"/>
  <c r="AL40" i="92"/>
  <c r="AK40" i="92"/>
  <c r="AJ40" i="92"/>
  <c r="BG39" i="92"/>
  <c r="BF39" i="92"/>
  <c r="BE39" i="92"/>
  <c r="BD39" i="92"/>
  <c r="BC39" i="92"/>
  <c r="BB39" i="92"/>
  <c r="BA39" i="92"/>
  <c r="AZ39" i="92"/>
  <c r="AY39" i="92"/>
  <c r="AX39" i="92"/>
  <c r="AW39" i="92"/>
  <c r="AV39" i="92"/>
  <c r="AU39" i="92"/>
  <c r="AT39" i="92"/>
  <c r="AS39" i="92"/>
  <c r="AR39" i="92"/>
  <c r="AQ39" i="92"/>
  <c r="AP39" i="92"/>
  <c r="AO39" i="92"/>
  <c r="AN39" i="92"/>
  <c r="AM39" i="92"/>
  <c r="AL39" i="92"/>
  <c r="AK39" i="92"/>
  <c r="AJ39" i="92"/>
  <c r="BG38" i="92"/>
  <c r="BF38" i="92"/>
  <c r="BE38" i="92"/>
  <c r="BD38" i="92"/>
  <c r="BC38" i="92"/>
  <c r="BB38" i="92"/>
  <c r="BA38" i="92"/>
  <c r="AZ38" i="92"/>
  <c r="AY38" i="92"/>
  <c r="AX38" i="92"/>
  <c r="AW38" i="92"/>
  <c r="AV38" i="92"/>
  <c r="AU38" i="92"/>
  <c r="AT38" i="92"/>
  <c r="AS38" i="92"/>
  <c r="AR38" i="92"/>
  <c r="AQ38" i="92"/>
  <c r="AP38" i="92"/>
  <c r="AO38" i="92"/>
  <c r="AN38" i="92"/>
  <c r="AM38" i="92"/>
  <c r="AL38" i="92"/>
  <c r="AK38" i="92"/>
  <c r="AJ38" i="92"/>
  <c r="BG37" i="92"/>
  <c r="BF37" i="92"/>
  <c r="BE37" i="92"/>
  <c r="BD37" i="92"/>
  <c r="BC37" i="92"/>
  <c r="BB37" i="92"/>
  <c r="BA37" i="92"/>
  <c r="AZ37" i="92"/>
  <c r="AY37" i="92"/>
  <c r="AX37" i="92"/>
  <c r="AW37" i="92"/>
  <c r="AV37" i="92"/>
  <c r="AU37" i="92"/>
  <c r="AT37" i="92"/>
  <c r="AS37" i="92"/>
  <c r="AR37" i="92"/>
  <c r="AQ37" i="92"/>
  <c r="AP37" i="92"/>
  <c r="AO37" i="92"/>
  <c r="AN37" i="92"/>
  <c r="AM37" i="92"/>
  <c r="AL37" i="92"/>
  <c r="AK37" i="92"/>
  <c r="AJ37" i="92"/>
  <c r="BG36" i="92"/>
  <c r="BF36" i="92"/>
  <c r="BE36" i="92"/>
  <c r="BD36" i="92"/>
  <c r="BC36" i="92"/>
  <c r="BB36" i="92"/>
  <c r="BA36" i="92"/>
  <c r="AZ36" i="92"/>
  <c r="AY36" i="92"/>
  <c r="AX36" i="92"/>
  <c r="AW36" i="92"/>
  <c r="AV36" i="92"/>
  <c r="AU36" i="92"/>
  <c r="AT36" i="92"/>
  <c r="AS36" i="92"/>
  <c r="AR36" i="92"/>
  <c r="AQ36" i="92"/>
  <c r="AP36" i="92"/>
  <c r="AO36" i="92"/>
  <c r="AN36" i="92"/>
  <c r="AM36" i="92"/>
  <c r="AL36" i="92"/>
  <c r="AK36" i="92"/>
  <c r="AJ36" i="92"/>
  <c r="BG35" i="92"/>
  <c r="BF35" i="92"/>
  <c r="BE35" i="92"/>
  <c r="BD35" i="92"/>
  <c r="BC35" i="92"/>
  <c r="BB35" i="92"/>
  <c r="BA35" i="92"/>
  <c r="AZ35" i="92"/>
  <c r="AY35" i="92"/>
  <c r="AX35" i="92"/>
  <c r="AW35" i="92"/>
  <c r="AV35" i="92"/>
  <c r="AU35" i="92"/>
  <c r="AT35" i="92"/>
  <c r="AS35" i="92"/>
  <c r="AR35" i="92"/>
  <c r="AQ35" i="92"/>
  <c r="AP35" i="92"/>
  <c r="AO35" i="92"/>
  <c r="AN35" i="92"/>
  <c r="AM35" i="92"/>
  <c r="AL35" i="92"/>
  <c r="AK35" i="92"/>
  <c r="AJ35" i="92"/>
  <c r="BG34" i="92"/>
  <c r="BF34" i="92"/>
  <c r="BE34" i="92"/>
  <c r="BD34" i="92"/>
  <c r="BC34" i="92"/>
  <c r="BB34" i="92"/>
  <c r="BA34" i="92"/>
  <c r="AZ34" i="92"/>
  <c r="AY34" i="92"/>
  <c r="AX34" i="92"/>
  <c r="AW34" i="92"/>
  <c r="AV34" i="92"/>
  <c r="AU34" i="92"/>
  <c r="AT34" i="92"/>
  <c r="AS34" i="92"/>
  <c r="AR34" i="92"/>
  <c r="AQ34" i="92"/>
  <c r="AP34" i="92"/>
  <c r="AO34" i="92"/>
  <c r="AN34" i="92"/>
  <c r="AM34" i="92"/>
  <c r="AL34" i="92"/>
  <c r="AK34" i="92"/>
  <c r="AJ34" i="92"/>
  <c r="BG33" i="92"/>
  <c r="BF33" i="92"/>
  <c r="BE33" i="92"/>
  <c r="BD33" i="92"/>
  <c r="BC33" i="92"/>
  <c r="BB33" i="92"/>
  <c r="BA33" i="92"/>
  <c r="AZ33" i="92"/>
  <c r="AY33" i="92"/>
  <c r="AX33" i="92"/>
  <c r="AW33" i="92"/>
  <c r="AV33" i="92"/>
  <c r="AU33" i="92"/>
  <c r="AT33" i="92"/>
  <c r="AS33" i="92"/>
  <c r="AR33" i="92"/>
  <c r="AQ33" i="92"/>
  <c r="AP33" i="92"/>
  <c r="AO33" i="92"/>
  <c r="AN33" i="92"/>
  <c r="AM33" i="92"/>
  <c r="AL33" i="92"/>
  <c r="AK33" i="92"/>
  <c r="AJ33" i="92"/>
  <c r="BG32" i="92"/>
  <c r="BF32" i="92"/>
  <c r="BE32" i="92"/>
  <c r="BD32" i="92"/>
  <c r="BC32" i="92"/>
  <c r="BB32" i="92"/>
  <c r="BA32" i="92"/>
  <c r="AZ32" i="92"/>
  <c r="AY32" i="92"/>
  <c r="AX32" i="92"/>
  <c r="AW32" i="92"/>
  <c r="AV32" i="92"/>
  <c r="AU32" i="92"/>
  <c r="AT32" i="92"/>
  <c r="AS32" i="92"/>
  <c r="AR32" i="92"/>
  <c r="AQ32" i="92"/>
  <c r="AP32" i="92"/>
  <c r="AO32" i="92"/>
  <c r="AN32" i="92"/>
  <c r="AM32" i="92"/>
  <c r="AL32" i="92"/>
  <c r="AK32" i="92"/>
  <c r="AJ32" i="92"/>
  <c r="BG31" i="92"/>
  <c r="BF31" i="92"/>
  <c r="BE31" i="92"/>
  <c r="BD31" i="92"/>
  <c r="BC31" i="92"/>
  <c r="BB31" i="92"/>
  <c r="BA31" i="92"/>
  <c r="AZ31" i="92"/>
  <c r="AY31" i="92"/>
  <c r="AX31" i="92"/>
  <c r="AW31" i="92"/>
  <c r="AV31" i="92"/>
  <c r="AU31" i="92"/>
  <c r="AT31" i="92"/>
  <c r="AS31" i="92"/>
  <c r="AR31" i="92"/>
  <c r="AQ31" i="92"/>
  <c r="AP31" i="92"/>
  <c r="AO31" i="92"/>
  <c r="AN31" i="92"/>
  <c r="AM31" i="92"/>
  <c r="AL31" i="92"/>
  <c r="AK31" i="92"/>
  <c r="AJ31" i="92"/>
  <c r="BG30" i="92"/>
  <c r="BF30" i="92"/>
  <c r="BE30" i="92"/>
  <c r="BD30" i="92"/>
  <c r="BC30" i="92"/>
  <c r="BB30" i="92"/>
  <c r="BA30" i="92"/>
  <c r="AZ30" i="92"/>
  <c r="AY30" i="92"/>
  <c r="AX30" i="92"/>
  <c r="AW30" i="92"/>
  <c r="AV30" i="92"/>
  <c r="AU30" i="92"/>
  <c r="AT30" i="92"/>
  <c r="AS30" i="92"/>
  <c r="AR30" i="92"/>
  <c r="AQ30" i="92"/>
  <c r="AP30" i="92"/>
  <c r="AO30" i="92"/>
  <c r="AN30" i="92"/>
  <c r="AM30" i="92"/>
  <c r="AL30" i="92"/>
  <c r="AK30" i="92"/>
  <c r="AJ30" i="92"/>
  <c r="BG29" i="92"/>
  <c r="BF29" i="92"/>
  <c r="BE29" i="92"/>
  <c r="BD29" i="92"/>
  <c r="BC29" i="92"/>
  <c r="BB29" i="92"/>
  <c r="BA29" i="92"/>
  <c r="AZ29" i="92"/>
  <c r="AY29" i="92"/>
  <c r="AX29" i="92"/>
  <c r="AW29" i="92"/>
  <c r="AV29" i="92"/>
  <c r="AU29" i="92"/>
  <c r="AT29" i="92"/>
  <c r="AS29" i="92"/>
  <c r="AR29" i="92"/>
  <c r="AQ29" i="92"/>
  <c r="AP29" i="92"/>
  <c r="AO29" i="92"/>
  <c r="AN29" i="92"/>
  <c r="AM29" i="92"/>
  <c r="AL29" i="92"/>
  <c r="AK29" i="92"/>
  <c r="AJ29" i="92"/>
  <c r="BG28" i="92"/>
  <c r="BF28" i="92"/>
  <c r="BE28" i="92"/>
  <c r="BD28" i="92"/>
  <c r="BC28" i="92"/>
  <c r="BB28" i="92"/>
  <c r="BA28" i="92"/>
  <c r="AZ28" i="92"/>
  <c r="AY28" i="92"/>
  <c r="AX28" i="92"/>
  <c r="AW28" i="92"/>
  <c r="AV28" i="92"/>
  <c r="AU28" i="92"/>
  <c r="AT28" i="92"/>
  <c r="AS28" i="92"/>
  <c r="AR28" i="92"/>
  <c r="AQ28" i="92"/>
  <c r="AP28" i="92"/>
  <c r="AO28" i="92"/>
  <c r="AN28" i="92"/>
  <c r="AM28" i="92"/>
  <c r="AL28" i="92"/>
  <c r="AK28" i="92"/>
  <c r="AJ28" i="92"/>
  <c r="BG27" i="92"/>
  <c r="BF27" i="92"/>
  <c r="BE27" i="92"/>
  <c r="BD27" i="92"/>
  <c r="BC27" i="92"/>
  <c r="BB27" i="92"/>
  <c r="BA27" i="92"/>
  <c r="AZ27" i="92"/>
  <c r="AY27" i="92"/>
  <c r="AX27" i="92"/>
  <c r="AW27" i="92"/>
  <c r="AV27" i="92"/>
  <c r="AU27" i="92"/>
  <c r="AT27" i="92"/>
  <c r="AS27" i="92"/>
  <c r="AR27" i="92"/>
  <c r="AQ27" i="92"/>
  <c r="AP27" i="92"/>
  <c r="AO27" i="92"/>
  <c r="AN27" i="92"/>
  <c r="AM27" i="92"/>
  <c r="AL27" i="92"/>
  <c r="AK27" i="92"/>
  <c r="AJ27" i="92"/>
  <c r="BG26" i="92"/>
  <c r="BF26" i="92"/>
  <c r="BE26" i="92"/>
  <c r="BD26" i="92"/>
  <c r="BC26" i="92"/>
  <c r="BB26" i="92"/>
  <c r="BA26" i="92"/>
  <c r="AZ26" i="92"/>
  <c r="AY26" i="92"/>
  <c r="AX26" i="92"/>
  <c r="AW26" i="92"/>
  <c r="AV26" i="92"/>
  <c r="AU26" i="92"/>
  <c r="AT26" i="92"/>
  <c r="AS26" i="92"/>
  <c r="AR26" i="92"/>
  <c r="AQ26" i="92"/>
  <c r="AP26" i="92"/>
  <c r="AO26" i="92"/>
  <c r="AN26" i="92"/>
  <c r="AM26" i="92"/>
  <c r="AL26" i="92"/>
  <c r="AK26" i="92"/>
  <c r="AJ26" i="92"/>
  <c r="BG25" i="92"/>
  <c r="BF25" i="92"/>
  <c r="BE25" i="92"/>
  <c r="BD25" i="92"/>
  <c r="BC25" i="92"/>
  <c r="BB25" i="92"/>
  <c r="BA25" i="92"/>
  <c r="AZ25" i="92"/>
  <c r="AY25" i="92"/>
  <c r="AX25" i="92"/>
  <c r="AW25" i="92"/>
  <c r="AV25" i="92"/>
  <c r="AU25" i="92"/>
  <c r="AT25" i="92"/>
  <c r="AS25" i="92"/>
  <c r="AR25" i="92"/>
  <c r="AQ25" i="92"/>
  <c r="AP25" i="92"/>
  <c r="AO25" i="92"/>
  <c r="AN25" i="92"/>
  <c r="AM25" i="92"/>
  <c r="AL25" i="92"/>
  <c r="AK25" i="92"/>
  <c r="AJ25" i="92"/>
  <c r="BG24" i="92"/>
  <c r="BF24" i="92"/>
  <c r="BE24" i="92"/>
  <c r="BD24" i="92"/>
  <c r="BC24" i="92"/>
  <c r="BB24" i="92"/>
  <c r="BA24" i="92"/>
  <c r="AZ24" i="92"/>
  <c r="AY24" i="92"/>
  <c r="AX24" i="92"/>
  <c r="AW24" i="92"/>
  <c r="AV24" i="92"/>
  <c r="AU24" i="92"/>
  <c r="AT24" i="92"/>
  <c r="AS24" i="92"/>
  <c r="AR24" i="92"/>
  <c r="AQ24" i="92"/>
  <c r="AP24" i="92"/>
  <c r="AO24" i="92"/>
  <c r="AN24" i="92"/>
  <c r="AM24" i="92"/>
  <c r="AL24" i="92"/>
  <c r="AK24" i="92"/>
  <c r="AJ24" i="92"/>
  <c r="BG23" i="92"/>
  <c r="BF23" i="92"/>
  <c r="BE23" i="92"/>
  <c r="BD23" i="92"/>
  <c r="BC23" i="92"/>
  <c r="BB23" i="92"/>
  <c r="BA23" i="92"/>
  <c r="AZ23" i="92"/>
  <c r="AY23" i="92"/>
  <c r="AX23" i="92"/>
  <c r="AW23" i="92"/>
  <c r="AV23" i="92"/>
  <c r="AU23" i="92"/>
  <c r="AT23" i="92"/>
  <c r="AS23" i="92"/>
  <c r="AR23" i="92"/>
  <c r="AQ23" i="92"/>
  <c r="AP23" i="92"/>
  <c r="AO23" i="92"/>
  <c r="AN23" i="92"/>
  <c r="AM23" i="92"/>
  <c r="AL23" i="92"/>
  <c r="AK23" i="92"/>
  <c r="AJ23" i="92"/>
  <c r="BG22" i="92"/>
  <c r="BF22" i="92"/>
  <c r="BE22" i="92"/>
  <c r="BD22" i="92"/>
  <c r="BC22" i="92"/>
  <c r="BB22" i="92"/>
  <c r="BA22" i="92"/>
  <c r="AZ22" i="92"/>
  <c r="AY22" i="92"/>
  <c r="AX22" i="92"/>
  <c r="AW22" i="92"/>
  <c r="AV22" i="92"/>
  <c r="AU22" i="92"/>
  <c r="AT22" i="92"/>
  <c r="AS22" i="92"/>
  <c r="AR22" i="92"/>
  <c r="AQ22" i="92"/>
  <c r="AP22" i="92"/>
  <c r="AO22" i="92"/>
  <c r="AN22" i="92"/>
  <c r="AM22" i="92"/>
  <c r="AL22" i="92"/>
  <c r="AK22" i="92"/>
  <c r="AJ22" i="92"/>
  <c r="BG21" i="92"/>
  <c r="BF21" i="92"/>
  <c r="BE21" i="92"/>
  <c r="BD21" i="92"/>
  <c r="BC21" i="92"/>
  <c r="BB21" i="92"/>
  <c r="BA21" i="92"/>
  <c r="AZ21" i="92"/>
  <c r="AY21" i="92"/>
  <c r="AX21" i="92"/>
  <c r="AW21" i="92"/>
  <c r="AV21" i="92"/>
  <c r="AU21" i="92"/>
  <c r="AT21" i="92"/>
  <c r="AS21" i="92"/>
  <c r="AR21" i="92"/>
  <c r="AQ21" i="92"/>
  <c r="AP21" i="92"/>
  <c r="AO21" i="92"/>
  <c r="AN21" i="92"/>
  <c r="AM21" i="92"/>
  <c r="AL21" i="92"/>
  <c r="AK21" i="92"/>
  <c r="AJ21" i="92"/>
  <c r="BG20" i="92"/>
  <c r="BF20" i="92"/>
  <c r="BE20" i="92"/>
  <c r="BD20" i="92"/>
  <c r="BC20" i="92"/>
  <c r="BB20" i="92"/>
  <c r="BA20" i="92"/>
  <c r="AZ20" i="92"/>
  <c r="AY20" i="92"/>
  <c r="AX20" i="92"/>
  <c r="AW20" i="92"/>
  <c r="AV20" i="92"/>
  <c r="AU20" i="92"/>
  <c r="AT20" i="92"/>
  <c r="AS20" i="92"/>
  <c r="AR20" i="92"/>
  <c r="AQ20" i="92"/>
  <c r="AP20" i="92"/>
  <c r="AO20" i="92"/>
  <c r="AN20" i="92"/>
  <c r="AM20" i="92"/>
  <c r="AL20" i="92"/>
  <c r="AK20" i="92"/>
  <c r="AJ20" i="92"/>
  <c r="BG19" i="92"/>
  <c r="BF19" i="92"/>
  <c r="BE19" i="92"/>
  <c r="BD19" i="92"/>
  <c r="BC19" i="92"/>
  <c r="BB19" i="92"/>
  <c r="BA19" i="92"/>
  <c r="AZ19" i="92"/>
  <c r="AY19" i="92"/>
  <c r="AX19" i="92"/>
  <c r="AW19" i="92"/>
  <c r="AV19" i="92"/>
  <c r="AU19" i="92"/>
  <c r="AT19" i="92"/>
  <c r="AS19" i="92"/>
  <c r="AR19" i="92"/>
  <c r="AQ19" i="92"/>
  <c r="AP19" i="92"/>
  <c r="AO19" i="92"/>
  <c r="AN19" i="92"/>
  <c r="AM19" i="92"/>
  <c r="AL19" i="92"/>
  <c r="AK19" i="92"/>
  <c r="AJ19" i="92"/>
  <c r="BG18" i="92"/>
  <c r="BF18" i="92"/>
  <c r="BE18" i="92"/>
  <c r="BD18" i="92"/>
  <c r="BC18" i="92"/>
  <c r="BB18" i="92"/>
  <c r="BA18" i="92"/>
  <c r="AZ18" i="92"/>
  <c r="AY18" i="92"/>
  <c r="AX18" i="92"/>
  <c r="AW18" i="92"/>
  <c r="AV18" i="92"/>
  <c r="AU18" i="92"/>
  <c r="AT18" i="92"/>
  <c r="AS18" i="92"/>
  <c r="AR18" i="92"/>
  <c r="AQ18" i="92"/>
  <c r="AP18" i="92"/>
  <c r="AO18" i="92"/>
  <c r="AN18" i="92"/>
  <c r="AM18" i="92"/>
  <c r="AL18" i="92"/>
  <c r="AK18" i="92"/>
  <c r="AJ18" i="92"/>
  <c r="BG17" i="92"/>
  <c r="BF17" i="92"/>
  <c r="BE17" i="92"/>
  <c r="BD17" i="92"/>
  <c r="BC17" i="92"/>
  <c r="BB17" i="92"/>
  <c r="BA17" i="92"/>
  <c r="AZ17" i="92"/>
  <c r="AY17" i="92"/>
  <c r="AX17" i="92"/>
  <c r="AW17" i="92"/>
  <c r="AV17" i="92"/>
  <c r="AU17" i="92"/>
  <c r="AT17" i="92"/>
  <c r="AS17" i="92"/>
  <c r="AR17" i="92"/>
  <c r="AQ17" i="92"/>
  <c r="AP17" i="92"/>
  <c r="AO17" i="92"/>
  <c r="AN17" i="92"/>
  <c r="AM17" i="92"/>
  <c r="AL17" i="92"/>
  <c r="AK17" i="92"/>
  <c r="AJ17" i="92"/>
  <c r="BG16" i="92"/>
  <c r="BF16" i="92"/>
  <c r="BE16" i="92"/>
  <c r="BD16" i="92"/>
  <c r="BC16" i="92"/>
  <c r="BB16" i="92"/>
  <c r="BA16" i="92"/>
  <c r="AZ16" i="92"/>
  <c r="AY16" i="92"/>
  <c r="AX16" i="92"/>
  <c r="AW16" i="92"/>
  <c r="AV16" i="92"/>
  <c r="AU16" i="92"/>
  <c r="AT16" i="92"/>
  <c r="AS16" i="92"/>
  <c r="AR16" i="92"/>
  <c r="AQ16" i="92"/>
  <c r="AP16" i="92"/>
  <c r="AO16" i="92"/>
  <c r="AN16" i="92"/>
  <c r="AM16" i="92"/>
  <c r="AL16" i="92"/>
  <c r="AK16" i="92"/>
  <c r="AJ16" i="92"/>
  <c r="BG15" i="92"/>
  <c r="BF15" i="92"/>
  <c r="BE15" i="92"/>
  <c r="BD15" i="92"/>
  <c r="BC15" i="92"/>
  <c r="BB15" i="92"/>
  <c r="BA15" i="92"/>
  <c r="AZ15" i="92"/>
  <c r="AY15" i="92"/>
  <c r="AX15" i="92"/>
  <c r="AW15" i="92"/>
  <c r="AV15" i="92"/>
  <c r="AU15" i="92"/>
  <c r="AT15" i="92"/>
  <c r="AS15" i="92"/>
  <c r="AR15" i="92"/>
  <c r="AQ15" i="92"/>
  <c r="AP15" i="92"/>
  <c r="AO15" i="92"/>
  <c r="AN15" i="92"/>
  <c r="AM15" i="92"/>
  <c r="AL15" i="92"/>
  <c r="AK15" i="92"/>
  <c r="AJ15" i="92"/>
  <c r="BL14" i="92"/>
  <c r="BK14" i="92"/>
  <c r="BJ14" i="92"/>
  <c r="BI14" i="92"/>
  <c r="BH14" i="92"/>
  <c r="BG14" i="92"/>
  <c r="BF14" i="92"/>
  <c r="BE14" i="92"/>
  <c r="BD14" i="92"/>
  <c r="BC14" i="92"/>
  <c r="BB14" i="92"/>
  <c r="BA14" i="92"/>
  <c r="AZ14" i="92"/>
  <c r="AY14" i="92"/>
  <c r="AX14" i="92"/>
  <c r="AW14" i="92"/>
  <c r="AV14" i="92"/>
  <c r="AU14" i="92"/>
  <c r="AT14" i="92"/>
  <c r="AS14" i="92"/>
  <c r="AR14" i="92"/>
  <c r="AQ14" i="92"/>
  <c r="AP14" i="92"/>
  <c r="AO14" i="92"/>
  <c r="AN14" i="92"/>
  <c r="AM14" i="92"/>
  <c r="AL14" i="92"/>
  <c r="BL13" i="92"/>
  <c r="BK13" i="92"/>
  <c r="BJ13" i="92"/>
  <c r="BI13" i="92"/>
  <c r="BH13" i="92"/>
  <c r="BG13" i="92"/>
  <c r="BF13" i="92"/>
  <c r="BE13" i="92"/>
  <c r="BD13" i="92"/>
  <c r="BA13" i="92"/>
  <c r="AZ13" i="92"/>
  <c r="AY13" i="92"/>
  <c r="AX13" i="92"/>
  <c r="AW13" i="92"/>
  <c r="AV13" i="92"/>
  <c r="AU13" i="92"/>
  <c r="AT13" i="92"/>
  <c r="AS13" i="92"/>
  <c r="AR13" i="92"/>
  <c r="AQ13" i="92"/>
  <c r="AP13" i="92"/>
  <c r="AO13" i="92"/>
  <c r="AN13" i="92"/>
  <c r="AM13" i="92"/>
  <c r="AL13" i="92"/>
  <c r="BG44" i="93"/>
  <c r="BF44" i="93"/>
  <c r="BE44" i="93"/>
  <c r="BD44" i="93"/>
  <c r="BC44" i="93"/>
  <c r="BB44" i="93"/>
  <c r="BA44" i="93"/>
  <c r="AZ44" i="93"/>
  <c r="AY44" i="93"/>
  <c r="AX44" i="93"/>
  <c r="AW44" i="93"/>
  <c r="AV44" i="93"/>
  <c r="AU44" i="93"/>
  <c r="AT44" i="93"/>
  <c r="AS44" i="93"/>
  <c r="AR44" i="93"/>
  <c r="AQ44" i="93"/>
  <c r="AP44" i="93"/>
  <c r="AO44" i="93"/>
  <c r="AN44" i="93"/>
  <c r="AM44" i="93"/>
  <c r="AL44" i="93"/>
  <c r="AK44" i="93"/>
  <c r="AJ44" i="93"/>
  <c r="BG43" i="93"/>
  <c r="BF43" i="93"/>
  <c r="BE43" i="93"/>
  <c r="BD43" i="93"/>
  <c r="BC43" i="93"/>
  <c r="BB43" i="93"/>
  <c r="BA43" i="93"/>
  <c r="AZ43" i="93"/>
  <c r="AY43" i="93"/>
  <c r="AX43" i="93"/>
  <c r="AW43" i="93"/>
  <c r="AV43" i="93"/>
  <c r="AU43" i="93"/>
  <c r="AT43" i="93"/>
  <c r="AS43" i="93"/>
  <c r="AR43" i="93"/>
  <c r="AQ43" i="93"/>
  <c r="AP43" i="93"/>
  <c r="AO43" i="93"/>
  <c r="AN43" i="93"/>
  <c r="AM43" i="93"/>
  <c r="AL43" i="93"/>
  <c r="AK43" i="93"/>
  <c r="AJ43" i="93"/>
  <c r="BG42" i="93"/>
  <c r="BF42" i="93"/>
  <c r="BE42" i="93"/>
  <c r="BD42" i="93"/>
  <c r="BC42" i="93"/>
  <c r="BB42" i="93"/>
  <c r="BA42" i="93"/>
  <c r="AZ42" i="93"/>
  <c r="AY42" i="93"/>
  <c r="AX42" i="93"/>
  <c r="AW42" i="93"/>
  <c r="AV42" i="93"/>
  <c r="AU42" i="93"/>
  <c r="AT42" i="93"/>
  <c r="AS42" i="93"/>
  <c r="AR42" i="93"/>
  <c r="AQ42" i="93"/>
  <c r="AP42" i="93"/>
  <c r="AO42" i="93"/>
  <c r="AN42" i="93"/>
  <c r="AM42" i="93"/>
  <c r="AL42" i="93"/>
  <c r="AK42" i="93"/>
  <c r="AJ42" i="93"/>
  <c r="BG41" i="93"/>
  <c r="BF41" i="93"/>
  <c r="BE41" i="93"/>
  <c r="BD41" i="93"/>
  <c r="BC41" i="93"/>
  <c r="BB41" i="93"/>
  <c r="BA41" i="93"/>
  <c r="AZ41" i="93"/>
  <c r="AY41" i="93"/>
  <c r="AX41" i="93"/>
  <c r="AW41" i="93"/>
  <c r="AV41" i="93"/>
  <c r="AU41" i="93"/>
  <c r="AT41" i="93"/>
  <c r="AS41" i="93"/>
  <c r="AR41" i="93"/>
  <c r="AQ41" i="93"/>
  <c r="AP41" i="93"/>
  <c r="AO41" i="93"/>
  <c r="AN41" i="93"/>
  <c r="AM41" i="93"/>
  <c r="AL41" i="93"/>
  <c r="AK41" i="93"/>
  <c r="AJ41" i="93"/>
  <c r="BG40" i="93"/>
  <c r="BF40" i="93"/>
  <c r="BE40" i="93"/>
  <c r="BD40" i="93"/>
  <c r="BC40" i="93"/>
  <c r="BB40" i="93"/>
  <c r="BA40" i="93"/>
  <c r="AZ40" i="93"/>
  <c r="AY40" i="93"/>
  <c r="AX40" i="93"/>
  <c r="AW40" i="93"/>
  <c r="AV40" i="93"/>
  <c r="AU40" i="93"/>
  <c r="AT40" i="93"/>
  <c r="AS40" i="93"/>
  <c r="AR40" i="93"/>
  <c r="AQ40" i="93"/>
  <c r="AP40" i="93"/>
  <c r="AO40" i="93"/>
  <c r="AN40" i="93"/>
  <c r="AM40" i="93"/>
  <c r="AL40" i="93"/>
  <c r="AK40" i="93"/>
  <c r="AJ40" i="93"/>
  <c r="BG39" i="93"/>
  <c r="BF39" i="93"/>
  <c r="BE39" i="93"/>
  <c r="BD39" i="93"/>
  <c r="BC39" i="93"/>
  <c r="BB39" i="93"/>
  <c r="BA39" i="93"/>
  <c r="AZ39" i="93"/>
  <c r="AY39" i="93"/>
  <c r="AX39" i="93"/>
  <c r="AW39" i="93"/>
  <c r="AV39" i="93"/>
  <c r="AU39" i="93"/>
  <c r="AT39" i="93"/>
  <c r="AS39" i="93"/>
  <c r="AR39" i="93"/>
  <c r="AQ39" i="93"/>
  <c r="AP39" i="93"/>
  <c r="AO39" i="93"/>
  <c r="AN39" i="93"/>
  <c r="AM39" i="93"/>
  <c r="AL39" i="93"/>
  <c r="AK39" i="93"/>
  <c r="AJ39" i="93"/>
  <c r="BG38" i="93"/>
  <c r="BF38" i="93"/>
  <c r="BE38" i="93"/>
  <c r="BD38" i="93"/>
  <c r="BC38" i="93"/>
  <c r="BB38" i="93"/>
  <c r="BA38" i="93"/>
  <c r="AZ38" i="93"/>
  <c r="AY38" i="93"/>
  <c r="AX38" i="93"/>
  <c r="AW38" i="93"/>
  <c r="AV38" i="93"/>
  <c r="AU38" i="93"/>
  <c r="AT38" i="93"/>
  <c r="AS38" i="93"/>
  <c r="AR38" i="93"/>
  <c r="AQ38" i="93"/>
  <c r="AP38" i="93"/>
  <c r="AO38" i="93"/>
  <c r="AN38" i="93"/>
  <c r="AM38" i="93"/>
  <c r="AL38" i="93"/>
  <c r="AK38" i="93"/>
  <c r="AJ38" i="93"/>
  <c r="BG37" i="93"/>
  <c r="BF37" i="93"/>
  <c r="BE37" i="93"/>
  <c r="BD37" i="93"/>
  <c r="BC37" i="93"/>
  <c r="BB37" i="93"/>
  <c r="BA37" i="93"/>
  <c r="AZ37" i="93"/>
  <c r="AY37" i="93"/>
  <c r="AX37" i="93"/>
  <c r="AW37" i="93"/>
  <c r="AV37" i="93"/>
  <c r="AU37" i="93"/>
  <c r="AT37" i="93"/>
  <c r="AS37" i="93"/>
  <c r="AR37" i="93"/>
  <c r="AQ37" i="93"/>
  <c r="AP37" i="93"/>
  <c r="AO37" i="93"/>
  <c r="AN37" i="93"/>
  <c r="AM37" i="93"/>
  <c r="AL37" i="93"/>
  <c r="AK37" i="93"/>
  <c r="AJ37" i="93"/>
  <c r="BG36" i="93"/>
  <c r="BF36" i="93"/>
  <c r="BE36" i="93"/>
  <c r="BD36" i="93"/>
  <c r="BC36" i="93"/>
  <c r="BB36" i="93"/>
  <c r="BA36" i="93"/>
  <c r="AZ36" i="93"/>
  <c r="AY36" i="93"/>
  <c r="AX36" i="93"/>
  <c r="AW36" i="93"/>
  <c r="AV36" i="93"/>
  <c r="AU36" i="93"/>
  <c r="AT36" i="93"/>
  <c r="AS36" i="93"/>
  <c r="AR36" i="93"/>
  <c r="AQ36" i="93"/>
  <c r="AP36" i="93"/>
  <c r="AO36" i="93"/>
  <c r="AN36" i="93"/>
  <c r="AM36" i="93"/>
  <c r="AL36" i="93"/>
  <c r="AK36" i="93"/>
  <c r="AJ36" i="93"/>
  <c r="BG35" i="93"/>
  <c r="BF35" i="93"/>
  <c r="BE35" i="93"/>
  <c r="BD35" i="93"/>
  <c r="BC35" i="93"/>
  <c r="BB35" i="93"/>
  <c r="BA35" i="93"/>
  <c r="AZ35" i="93"/>
  <c r="AY35" i="93"/>
  <c r="AX35" i="93"/>
  <c r="AW35" i="93"/>
  <c r="AV35" i="93"/>
  <c r="AU35" i="93"/>
  <c r="AT35" i="93"/>
  <c r="AS35" i="93"/>
  <c r="AR35" i="93"/>
  <c r="AQ35" i="93"/>
  <c r="AP35" i="93"/>
  <c r="AO35" i="93"/>
  <c r="AN35" i="93"/>
  <c r="AM35" i="93"/>
  <c r="AL35" i="93"/>
  <c r="AK35" i="93"/>
  <c r="AJ35" i="93"/>
  <c r="BG34" i="93"/>
  <c r="BF34" i="93"/>
  <c r="BE34" i="93"/>
  <c r="BD34" i="93"/>
  <c r="BC34" i="93"/>
  <c r="BB34" i="93"/>
  <c r="BA34" i="93"/>
  <c r="AZ34" i="93"/>
  <c r="AY34" i="93"/>
  <c r="AX34" i="93"/>
  <c r="AW34" i="93"/>
  <c r="AV34" i="93"/>
  <c r="AU34" i="93"/>
  <c r="AT34" i="93"/>
  <c r="AS34" i="93"/>
  <c r="AR34" i="93"/>
  <c r="AQ34" i="93"/>
  <c r="AP34" i="93"/>
  <c r="AO34" i="93"/>
  <c r="AN34" i="93"/>
  <c r="AM34" i="93"/>
  <c r="AL34" i="93"/>
  <c r="AK34" i="93"/>
  <c r="AJ34" i="93"/>
  <c r="BG33" i="93"/>
  <c r="BF33" i="93"/>
  <c r="BE33" i="93"/>
  <c r="BD33" i="93"/>
  <c r="BC33" i="93"/>
  <c r="BB33" i="93"/>
  <c r="BA33" i="93"/>
  <c r="AZ33" i="93"/>
  <c r="AY33" i="93"/>
  <c r="AX33" i="93"/>
  <c r="AW33" i="93"/>
  <c r="AV33" i="93"/>
  <c r="AU33" i="93"/>
  <c r="AT33" i="93"/>
  <c r="AS33" i="93"/>
  <c r="AR33" i="93"/>
  <c r="AQ33" i="93"/>
  <c r="AP33" i="93"/>
  <c r="AO33" i="93"/>
  <c r="AN33" i="93"/>
  <c r="AM33" i="93"/>
  <c r="AL33" i="93"/>
  <c r="AK33" i="93"/>
  <c r="AJ33" i="93"/>
  <c r="BG32" i="93"/>
  <c r="BF32" i="93"/>
  <c r="BE32" i="93"/>
  <c r="BD32" i="93"/>
  <c r="BC32" i="93"/>
  <c r="BB32" i="93"/>
  <c r="BA32" i="93"/>
  <c r="AZ32" i="93"/>
  <c r="AY32" i="93"/>
  <c r="AX32" i="93"/>
  <c r="AW32" i="93"/>
  <c r="AV32" i="93"/>
  <c r="AU32" i="93"/>
  <c r="AT32" i="93"/>
  <c r="AS32" i="93"/>
  <c r="AR32" i="93"/>
  <c r="AQ32" i="93"/>
  <c r="AP32" i="93"/>
  <c r="AO32" i="93"/>
  <c r="AN32" i="93"/>
  <c r="AM32" i="93"/>
  <c r="AL32" i="93"/>
  <c r="AK32" i="93"/>
  <c r="AJ32" i="93"/>
  <c r="BG31" i="93"/>
  <c r="BF31" i="93"/>
  <c r="BE31" i="93"/>
  <c r="BD31" i="93"/>
  <c r="BC31" i="93"/>
  <c r="BB31" i="93"/>
  <c r="BA31" i="93"/>
  <c r="AZ31" i="93"/>
  <c r="AY31" i="93"/>
  <c r="AX31" i="93"/>
  <c r="AW31" i="93"/>
  <c r="AV31" i="93"/>
  <c r="AU31" i="93"/>
  <c r="AT31" i="93"/>
  <c r="AS31" i="93"/>
  <c r="AR31" i="93"/>
  <c r="AQ31" i="93"/>
  <c r="AP31" i="93"/>
  <c r="AO31" i="93"/>
  <c r="AN31" i="93"/>
  <c r="AM31" i="93"/>
  <c r="AL31" i="93"/>
  <c r="AK31" i="93"/>
  <c r="AJ31" i="93"/>
  <c r="BG30" i="93"/>
  <c r="BF30" i="93"/>
  <c r="BE30" i="93"/>
  <c r="BD30" i="93"/>
  <c r="BC30" i="93"/>
  <c r="BB30" i="93"/>
  <c r="BA30" i="93"/>
  <c r="AZ30" i="93"/>
  <c r="AY30" i="93"/>
  <c r="AX30" i="93"/>
  <c r="AW30" i="93"/>
  <c r="AV30" i="93"/>
  <c r="AU30" i="93"/>
  <c r="AT30" i="93"/>
  <c r="AS30" i="93"/>
  <c r="AR30" i="93"/>
  <c r="AQ30" i="93"/>
  <c r="AP30" i="93"/>
  <c r="AO30" i="93"/>
  <c r="AN30" i="93"/>
  <c r="AM30" i="93"/>
  <c r="AL30" i="93"/>
  <c r="AK30" i="93"/>
  <c r="AJ30" i="93"/>
  <c r="BG29" i="93"/>
  <c r="BF29" i="93"/>
  <c r="BE29" i="93"/>
  <c r="BD29" i="93"/>
  <c r="BC29" i="93"/>
  <c r="BB29" i="93"/>
  <c r="BA29" i="93"/>
  <c r="AZ29" i="93"/>
  <c r="AY29" i="93"/>
  <c r="AX29" i="93"/>
  <c r="AW29" i="93"/>
  <c r="AV29" i="93"/>
  <c r="AU29" i="93"/>
  <c r="AT29" i="93"/>
  <c r="AS29" i="93"/>
  <c r="AR29" i="93"/>
  <c r="AQ29" i="93"/>
  <c r="AP29" i="93"/>
  <c r="AO29" i="93"/>
  <c r="AN29" i="93"/>
  <c r="AM29" i="93"/>
  <c r="AL29" i="93"/>
  <c r="AK29" i="93"/>
  <c r="AJ29" i="93"/>
  <c r="BG28" i="93"/>
  <c r="BF28" i="93"/>
  <c r="BE28" i="93"/>
  <c r="BD28" i="93"/>
  <c r="BC28" i="93"/>
  <c r="BB28" i="93"/>
  <c r="BA28" i="93"/>
  <c r="AZ28" i="93"/>
  <c r="AY28" i="93"/>
  <c r="AX28" i="93"/>
  <c r="AW28" i="93"/>
  <c r="AV28" i="93"/>
  <c r="AU28" i="93"/>
  <c r="AT28" i="93"/>
  <c r="AS28" i="93"/>
  <c r="AR28" i="93"/>
  <c r="AQ28" i="93"/>
  <c r="AP28" i="93"/>
  <c r="AO28" i="93"/>
  <c r="AN28" i="93"/>
  <c r="AM28" i="93"/>
  <c r="AL28" i="93"/>
  <c r="AK28" i="93"/>
  <c r="AJ28" i="93"/>
  <c r="BG27" i="93"/>
  <c r="BF27" i="93"/>
  <c r="BE27" i="93"/>
  <c r="BD27" i="93"/>
  <c r="BC27" i="93"/>
  <c r="BB27" i="93"/>
  <c r="BA27" i="93"/>
  <c r="AZ27" i="93"/>
  <c r="AY27" i="93"/>
  <c r="AX27" i="93"/>
  <c r="AW27" i="93"/>
  <c r="AV27" i="93"/>
  <c r="AU27" i="93"/>
  <c r="AT27" i="93"/>
  <c r="AS27" i="93"/>
  <c r="AR27" i="93"/>
  <c r="AQ27" i="93"/>
  <c r="AP27" i="93"/>
  <c r="AO27" i="93"/>
  <c r="AN27" i="93"/>
  <c r="AM27" i="93"/>
  <c r="AL27" i="93"/>
  <c r="AK27" i="93"/>
  <c r="AJ27" i="93"/>
  <c r="BG26" i="93"/>
  <c r="BF26" i="93"/>
  <c r="BE26" i="93"/>
  <c r="BD26" i="93"/>
  <c r="BC26" i="93"/>
  <c r="BB26" i="93"/>
  <c r="BA26" i="93"/>
  <c r="AZ26" i="93"/>
  <c r="AY26" i="93"/>
  <c r="AX26" i="93"/>
  <c r="AW26" i="93"/>
  <c r="AV26" i="93"/>
  <c r="AU26" i="93"/>
  <c r="AT26" i="93"/>
  <c r="AS26" i="93"/>
  <c r="AR26" i="93"/>
  <c r="AQ26" i="93"/>
  <c r="AP26" i="93"/>
  <c r="AO26" i="93"/>
  <c r="AN26" i="93"/>
  <c r="AM26" i="93"/>
  <c r="AL26" i="93"/>
  <c r="AK26" i="93"/>
  <c r="AJ26" i="93"/>
  <c r="BG25" i="93"/>
  <c r="BF25" i="93"/>
  <c r="BE25" i="93"/>
  <c r="BD25" i="93"/>
  <c r="BC25" i="93"/>
  <c r="BB25" i="93"/>
  <c r="BA25" i="93"/>
  <c r="AZ25" i="93"/>
  <c r="AY25" i="93"/>
  <c r="AX25" i="93"/>
  <c r="AW25" i="93"/>
  <c r="AV25" i="93"/>
  <c r="AU25" i="93"/>
  <c r="AT25" i="93"/>
  <c r="AS25" i="93"/>
  <c r="AR25" i="93"/>
  <c r="AQ25" i="93"/>
  <c r="AP25" i="93"/>
  <c r="AO25" i="93"/>
  <c r="AN25" i="93"/>
  <c r="AM25" i="93"/>
  <c r="AL25" i="93"/>
  <c r="AK25" i="93"/>
  <c r="AJ25" i="93"/>
  <c r="BG24" i="93"/>
  <c r="BF24" i="93"/>
  <c r="BE24" i="93"/>
  <c r="BD24" i="93"/>
  <c r="BC24" i="93"/>
  <c r="BB24" i="93"/>
  <c r="BA24" i="93"/>
  <c r="AZ24" i="93"/>
  <c r="AY24" i="93"/>
  <c r="AX24" i="93"/>
  <c r="AW24" i="93"/>
  <c r="AV24" i="93"/>
  <c r="AU24" i="93"/>
  <c r="AT24" i="93"/>
  <c r="AS24" i="93"/>
  <c r="AR24" i="93"/>
  <c r="AQ24" i="93"/>
  <c r="AP24" i="93"/>
  <c r="AO24" i="93"/>
  <c r="AN24" i="93"/>
  <c r="AM24" i="93"/>
  <c r="AL24" i="93"/>
  <c r="AK24" i="93"/>
  <c r="AJ24" i="93"/>
  <c r="BG23" i="93"/>
  <c r="BF23" i="93"/>
  <c r="BE23" i="93"/>
  <c r="BD23" i="93"/>
  <c r="BC23" i="93"/>
  <c r="BB23" i="93"/>
  <c r="BA23" i="93"/>
  <c r="AZ23" i="93"/>
  <c r="AY23" i="93"/>
  <c r="AX23" i="93"/>
  <c r="AW23" i="93"/>
  <c r="AV23" i="93"/>
  <c r="AU23" i="93"/>
  <c r="AT23" i="93"/>
  <c r="AS23" i="93"/>
  <c r="AR23" i="93"/>
  <c r="AQ23" i="93"/>
  <c r="AP23" i="93"/>
  <c r="AO23" i="93"/>
  <c r="AN23" i="93"/>
  <c r="AM23" i="93"/>
  <c r="AL23" i="93"/>
  <c r="AK23" i="93"/>
  <c r="AJ23" i="93"/>
  <c r="BG22" i="93"/>
  <c r="BF22" i="93"/>
  <c r="BE22" i="93"/>
  <c r="BD22" i="93"/>
  <c r="BC22" i="93"/>
  <c r="BB22" i="93"/>
  <c r="BA22" i="93"/>
  <c r="AZ22" i="93"/>
  <c r="AY22" i="93"/>
  <c r="AX22" i="93"/>
  <c r="AW22" i="93"/>
  <c r="AV22" i="93"/>
  <c r="AU22" i="93"/>
  <c r="AT22" i="93"/>
  <c r="AS22" i="93"/>
  <c r="AR22" i="93"/>
  <c r="AQ22" i="93"/>
  <c r="AP22" i="93"/>
  <c r="AO22" i="93"/>
  <c r="AN22" i="93"/>
  <c r="AM22" i="93"/>
  <c r="AL22" i="93"/>
  <c r="AK22" i="93"/>
  <c r="AJ22" i="93"/>
  <c r="BG21" i="93"/>
  <c r="BF21" i="93"/>
  <c r="BE21" i="93"/>
  <c r="BD21" i="93"/>
  <c r="BC21" i="93"/>
  <c r="BB21" i="93"/>
  <c r="BA21" i="93"/>
  <c r="AZ21" i="93"/>
  <c r="AY21" i="93"/>
  <c r="AX21" i="93"/>
  <c r="AW21" i="93"/>
  <c r="AV21" i="93"/>
  <c r="AU21" i="93"/>
  <c r="AT21" i="93"/>
  <c r="AS21" i="93"/>
  <c r="AR21" i="93"/>
  <c r="AQ21" i="93"/>
  <c r="AP21" i="93"/>
  <c r="AO21" i="93"/>
  <c r="AN21" i="93"/>
  <c r="AM21" i="93"/>
  <c r="AL21" i="93"/>
  <c r="AK21" i="93"/>
  <c r="AJ21" i="93"/>
  <c r="BG20" i="93"/>
  <c r="BF20" i="93"/>
  <c r="BE20" i="93"/>
  <c r="BD20" i="93"/>
  <c r="BC20" i="93"/>
  <c r="BB20" i="93"/>
  <c r="BA20" i="93"/>
  <c r="AZ20" i="93"/>
  <c r="AY20" i="93"/>
  <c r="AX20" i="93"/>
  <c r="AW20" i="93"/>
  <c r="AV20" i="93"/>
  <c r="AU20" i="93"/>
  <c r="AT20" i="93"/>
  <c r="AS20" i="93"/>
  <c r="AR20" i="93"/>
  <c r="AQ20" i="93"/>
  <c r="AP20" i="93"/>
  <c r="AO20" i="93"/>
  <c r="AN20" i="93"/>
  <c r="AM20" i="93"/>
  <c r="AL20" i="93"/>
  <c r="AK20" i="93"/>
  <c r="AJ20" i="93"/>
  <c r="BG19" i="93"/>
  <c r="BF19" i="93"/>
  <c r="BE19" i="93"/>
  <c r="BD19" i="93"/>
  <c r="BC19" i="93"/>
  <c r="BB19" i="93"/>
  <c r="BA19" i="93"/>
  <c r="AZ19" i="93"/>
  <c r="AY19" i="93"/>
  <c r="AX19" i="93"/>
  <c r="AW19" i="93"/>
  <c r="AV19" i="93"/>
  <c r="AU19" i="93"/>
  <c r="AT19" i="93"/>
  <c r="AS19" i="93"/>
  <c r="AR19" i="93"/>
  <c r="AQ19" i="93"/>
  <c r="AP19" i="93"/>
  <c r="AO19" i="93"/>
  <c r="AN19" i="93"/>
  <c r="AM19" i="93"/>
  <c r="AL19" i="93"/>
  <c r="AK19" i="93"/>
  <c r="AJ19" i="93"/>
  <c r="BG18" i="93"/>
  <c r="BF18" i="93"/>
  <c r="BE18" i="93"/>
  <c r="BD18" i="93"/>
  <c r="BC18" i="93"/>
  <c r="BB18" i="93"/>
  <c r="BA18" i="93"/>
  <c r="AZ18" i="93"/>
  <c r="AY18" i="93"/>
  <c r="AX18" i="93"/>
  <c r="AW18" i="93"/>
  <c r="AV18" i="93"/>
  <c r="AU18" i="93"/>
  <c r="AT18" i="93"/>
  <c r="AS18" i="93"/>
  <c r="AR18" i="93"/>
  <c r="AQ18" i="93"/>
  <c r="AP18" i="93"/>
  <c r="AO18" i="93"/>
  <c r="AN18" i="93"/>
  <c r="AM18" i="93"/>
  <c r="AL18" i="93"/>
  <c r="AK18" i="93"/>
  <c r="AJ18" i="93"/>
  <c r="BG17" i="93"/>
  <c r="BF17" i="93"/>
  <c r="BE17" i="93"/>
  <c r="BD17" i="93"/>
  <c r="BC17" i="93"/>
  <c r="BB17" i="93"/>
  <c r="BA17" i="93"/>
  <c r="AZ17" i="93"/>
  <c r="AY17" i="93"/>
  <c r="AX17" i="93"/>
  <c r="AW17" i="93"/>
  <c r="AV17" i="93"/>
  <c r="AU17" i="93"/>
  <c r="AT17" i="93"/>
  <c r="AS17" i="93"/>
  <c r="AR17" i="93"/>
  <c r="AQ17" i="93"/>
  <c r="AP17" i="93"/>
  <c r="AO17" i="93"/>
  <c r="AN17" i="93"/>
  <c r="AM17" i="93"/>
  <c r="AL17" i="93"/>
  <c r="AK17" i="93"/>
  <c r="AJ17" i="93"/>
  <c r="BG16" i="93"/>
  <c r="BF16" i="93"/>
  <c r="BE16" i="93"/>
  <c r="BD16" i="93"/>
  <c r="BC16" i="93"/>
  <c r="BB16" i="93"/>
  <c r="BA16" i="93"/>
  <c r="AZ16" i="93"/>
  <c r="AY16" i="93"/>
  <c r="AX16" i="93"/>
  <c r="AW16" i="93"/>
  <c r="AV16" i="93"/>
  <c r="AU16" i="93"/>
  <c r="AT16" i="93"/>
  <c r="AS16" i="93"/>
  <c r="AR16" i="93"/>
  <c r="AQ16" i="93"/>
  <c r="AP16" i="93"/>
  <c r="AO16" i="93"/>
  <c r="AN16" i="93"/>
  <c r="AM16" i="93"/>
  <c r="AL16" i="93"/>
  <c r="AK16" i="93"/>
  <c r="AJ16" i="93"/>
  <c r="BG15" i="93"/>
  <c r="BF15" i="93"/>
  <c r="BE15" i="93"/>
  <c r="BD15" i="93"/>
  <c r="BC15" i="93"/>
  <c r="BB15" i="93"/>
  <c r="BA15" i="93"/>
  <c r="AZ15" i="93"/>
  <c r="AY15" i="93"/>
  <c r="AX15" i="93"/>
  <c r="AW15" i="93"/>
  <c r="AV15" i="93"/>
  <c r="AU15" i="93"/>
  <c r="AT15" i="93"/>
  <c r="AS15" i="93"/>
  <c r="AR15" i="93"/>
  <c r="AQ15" i="93"/>
  <c r="AP15" i="93"/>
  <c r="AO15" i="93"/>
  <c r="AN15" i="93"/>
  <c r="AM15" i="93"/>
  <c r="AL15" i="93"/>
  <c r="AK15" i="93"/>
  <c r="AJ15" i="93"/>
  <c r="BL14" i="93"/>
  <c r="BK14" i="93"/>
  <c r="BJ14" i="93"/>
  <c r="BI14" i="93"/>
  <c r="BH14" i="93"/>
  <c r="BG14" i="93"/>
  <c r="BF14" i="93"/>
  <c r="BE14" i="93"/>
  <c r="BD14" i="93"/>
  <c r="BC14" i="93"/>
  <c r="BB14" i="93"/>
  <c r="BA14" i="93"/>
  <c r="AZ14" i="93"/>
  <c r="AY14" i="93"/>
  <c r="AX14" i="93"/>
  <c r="AW14" i="93"/>
  <c r="AV14" i="93"/>
  <c r="AU14" i="93"/>
  <c r="AT14" i="93"/>
  <c r="AS14" i="93"/>
  <c r="AR14" i="93"/>
  <c r="AQ14" i="93"/>
  <c r="AP14" i="93"/>
  <c r="AO14" i="93"/>
  <c r="AN14" i="93"/>
  <c r="AM14" i="93"/>
  <c r="AL14" i="93"/>
  <c r="BL13" i="93"/>
  <c r="BK13" i="93"/>
  <c r="BJ13" i="93"/>
  <c r="BI13" i="93"/>
  <c r="BH13" i="93"/>
  <c r="BG13" i="93"/>
  <c r="BF13" i="93"/>
  <c r="BE13" i="93"/>
  <c r="BD13" i="93"/>
  <c r="BA13" i="93"/>
  <c r="AZ13" i="93"/>
  <c r="AY13" i="93"/>
  <c r="AX13" i="93"/>
  <c r="AW13" i="93"/>
  <c r="AV13" i="93"/>
  <c r="AU13" i="93"/>
  <c r="AT13" i="93"/>
  <c r="AS13" i="93"/>
  <c r="AR13" i="93"/>
  <c r="AQ13" i="93"/>
  <c r="AP13" i="93"/>
  <c r="AO13" i="93"/>
  <c r="AN13" i="93"/>
  <c r="AM13" i="93"/>
  <c r="AL13" i="93"/>
  <c r="BG44" i="94"/>
  <c r="BF44" i="94"/>
  <c r="BE44" i="94"/>
  <c r="BD44" i="94"/>
  <c r="BC44" i="94"/>
  <c r="BB44" i="94"/>
  <c r="BA44" i="94"/>
  <c r="AZ44" i="94"/>
  <c r="AY44" i="94"/>
  <c r="AX44" i="94"/>
  <c r="AW44" i="94"/>
  <c r="AV44" i="94"/>
  <c r="AU44" i="94"/>
  <c r="AT44" i="94"/>
  <c r="AS44" i="94"/>
  <c r="AR44" i="94"/>
  <c r="AQ44" i="94"/>
  <c r="AP44" i="94"/>
  <c r="AO44" i="94"/>
  <c r="AN44" i="94"/>
  <c r="AM44" i="94"/>
  <c r="AL44" i="94"/>
  <c r="AK44" i="94"/>
  <c r="AJ44" i="94"/>
  <c r="BG43" i="94"/>
  <c r="BF43" i="94"/>
  <c r="BE43" i="94"/>
  <c r="BD43" i="94"/>
  <c r="BC43" i="94"/>
  <c r="BB43" i="94"/>
  <c r="BA43" i="94"/>
  <c r="AZ43" i="94"/>
  <c r="AY43" i="94"/>
  <c r="AX43" i="94"/>
  <c r="AW43" i="94"/>
  <c r="AV43" i="94"/>
  <c r="AU43" i="94"/>
  <c r="AT43" i="94"/>
  <c r="AS43" i="94"/>
  <c r="AR43" i="94"/>
  <c r="AQ43" i="94"/>
  <c r="AP43" i="94"/>
  <c r="AO43" i="94"/>
  <c r="AN43" i="94"/>
  <c r="AM43" i="94"/>
  <c r="AL43" i="94"/>
  <c r="AK43" i="94"/>
  <c r="AJ43" i="94"/>
  <c r="BG42" i="94"/>
  <c r="BF42" i="94"/>
  <c r="BE42" i="94"/>
  <c r="BD42" i="94"/>
  <c r="BC42" i="94"/>
  <c r="BB42" i="94"/>
  <c r="BA42" i="94"/>
  <c r="AZ42" i="94"/>
  <c r="AY42" i="94"/>
  <c r="AX42" i="94"/>
  <c r="AW42" i="94"/>
  <c r="AV42" i="94"/>
  <c r="AU42" i="94"/>
  <c r="AT42" i="94"/>
  <c r="AS42" i="94"/>
  <c r="AR42" i="94"/>
  <c r="AQ42" i="94"/>
  <c r="AP42" i="94"/>
  <c r="AO42" i="94"/>
  <c r="AN42" i="94"/>
  <c r="AM42" i="94"/>
  <c r="AL42" i="94"/>
  <c r="AK42" i="94"/>
  <c r="AJ42" i="94"/>
  <c r="BG41" i="94"/>
  <c r="BF41" i="94"/>
  <c r="BE41" i="94"/>
  <c r="BD41" i="94"/>
  <c r="BC41" i="94"/>
  <c r="BB41" i="94"/>
  <c r="BA41" i="94"/>
  <c r="AZ41" i="94"/>
  <c r="AY41" i="94"/>
  <c r="AX41" i="94"/>
  <c r="AW41" i="94"/>
  <c r="AV41" i="94"/>
  <c r="AU41" i="94"/>
  <c r="AT41" i="94"/>
  <c r="AS41" i="94"/>
  <c r="AR41" i="94"/>
  <c r="AQ41" i="94"/>
  <c r="AP41" i="94"/>
  <c r="AO41" i="94"/>
  <c r="AN41" i="94"/>
  <c r="AM41" i="94"/>
  <c r="AL41" i="94"/>
  <c r="AK41" i="94"/>
  <c r="AJ41" i="94"/>
  <c r="BG40" i="94"/>
  <c r="BF40" i="94"/>
  <c r="BE40" i="94"/>
  <c r="BD40" i="94"/>
  <c r="BC40" i="94"/>
  <c r="BB40" i="94"/>
  <c r="BA40" i="94"/>
  <c r="AZ40" i="94"/>
  <c r="AY40" i="94"/>
  <c r="AX40" i="94"/>
  <c r="AW40" i="94"/>
  <c r="AV40" i="94"/>
  <c r="AU40" i="94"/>
  <c r="AT40" i="94"/>
  <c r="AS40" i="94"/>
  <c r="AR40" i="94"/>
  <c r="AQ40" i="94"/>
  <c r="AP40" i="94"/>
  <c r="AO40" i="94"/>
  <c r="AN40" i="94"/>
  <c r="AM40" i="94"/>
  <c r="AL40" i="94"/>
  <c r="AK40" i="94"/>
  <c r="AJ40" i="94"/>
  <c r="BG39" i="94"/>
  <c r="BF39" i="94"/>
  <c r="BE39" i="94"/>
  <c r="BD39" i="94"/>
  <c r="BC39" i="94"/>
  <c r="BB39" i="94"/>
  <c r="BA39" i="94"/>
  <c r="AZ39" i="94"/>
  <c r="AY39" i="94"/>
  <c r="AX39" i="94"/>
  <c r="AW39" i="94"/>
  <c r="AV39" i="94"/>
  <c r="AU39" i="94"/>
  <c r="AT39" i="94"/>
  <c r="AS39" i="94"/>
  <c r="AR39" i="94"/>
  <c r="AQ39" i="94"/>
  <c r="AP39" i="94"/>
  <c r="AO39" i="94"/>
  <c r="AN39" i="94"/>
  <c r="AM39" i="94"/>
  <c r="AL39" i="94"/>
  <c r="AK39" i="94"/>
  <c r="AJ39" i="94"/>
  <c r="BG38" i="94"/>
  <c r="BF38" i="94"/>
  <c r="BE38" i="94"/>
  <c r="BD38" i="94"/>
  <c r="BC38" i="94"/>
  <c r="BB38" i="94"/>
  <c r="BA38" i="94"/>
  <c r="AZ38" i="94"/>
  <c r="AY38" i="94"/>
  <c r="AX38" i="94"/>
  <c r="AW38" i="94"/>
  <c r="AV38" i="94"/>
  <c r="AU38" i="94"/>
  <c r="AT38" i="94"/>
  <c r="AS38" i="94"/>
  <c r="AR38" i="94"/>
  <c r="AQ38" i="94"/>
  <c r="AP38" i="94"/>
  <c r="AO38" i="94"/>
  <c r="AN38" i="94"/>
  <c r="AM38" i="94"/>
  <c r="AL38" i="94"/>
  <c r="AK38" i="94"/>
  <c r="AJ38" i="94"/>
  <c r="BG37" i="94"/>
  <c r="BF37" i="94"/>
  <c r="BE37" i="94"/>
  <c r="BD37" i="94"/>
  <c r="BC37" i="94"/>
  <c r="BB37" i="94"/>
  <c r="BA37" i="94"/>
  <c r="AZ37" i="94"/>
  <c r="AY37" i="94"/>
  <c r="AX37" i="94"/>
  <c r="AW37" i="94"/>
  <c r="AV37" i="94"/>
  <c r="AU37" i="94"/>
  <c r="AT37" i="94"/>
  <c r="AS37" i="94"/>
  <c r="AR37" i="94"/>
  <c r="AQ37" i="94"/>
  <c r="AP37" i="94"/>
  <c r="AO37" i="94"/>
  <c r="AN37" i="94"/>
  <c r="AM37" i="94"/>
  <c r="AL37" i="94"/>
  <c r="AK37" i="94"/>
  <c r="AJ37" i="94"/>
  <c r="BG36" i="94"/>
  <c r="BF36" i="94"/>
  <c r="BE36" i="94"/>
  <c r="BD36" i="94"/>
  <c r="BC36" i="94"/>
  <c r="BB36" i="94"/>
  <c r="BA36" i="94"/>
  <c r="AZ36" i="94"/>
  <c r="AY36" i="94"/>
  <c r="AX36" i="94"/>
  <c r="AW36" i="94"/>
  <c r="AV36" i="94"/>
  <c r="AU36" i="94"/>
  <c r="AT36" i="94"/>
  <c r="AS36" i="94"/>
  <c r="AR36" i="94"/>
  <c r="AQ36" i="94"/>
  <c r="AP36" i="94"/>
  <c r="AO36" i="94"/>
  <c r="AN36" i="94"/>
  <c r="AM36" i="94"/>
  <c r="AL36" i="94"/>
  <c r="AK36" i="94"/>
  <c r="AJ36" i="94"/>
  <c r="BG35" i="94"/>
  <c r="BF35" i="94"/>
  <c r="BE35" i="94"/>
  <c r="BD35" i="94"/>
  <c r="BC35" i="94"/>
  <c r="BB35" i="94"/>
  <c r="BA35" i="94"/>
  <c r="AZ35" i="94"/>
  <c r="AY35" i="94"/>
  <c r="AX35" i="94"/>
  <c r="AW35" i="94"/>
  <c r="AV35" i="94"/>
  <c r="AU35" i="94"/>
  <c r="AT35" i="94"/>
  <c r="AS35" i="94"/>
  <c r="AR35" i="94"/>
  <c r="AQ35" i="94"/>
  <c r="AP35" i="94"/>
  <c r="AO35" i="94"/>
  <c r="AN35" i="94"/>
  <c r="AM35" i="94"/>
  <c r="AL35" i="94"/>
  <c r="AK35" i="94"/>
  <c r="AJ35" i="94"/>
  <c r="BG34" i="94"/>
  <c r="BF34" i="94"/>
  <c r="BE34" i="94"/>
  <c r="BD34" i="94"/>
  <c r="BC34" i="94"/>
  <c r="BB34" i="94"/>
  <c r="BA34" i="94"/>
  <c r="AZ34" i="94"/>
  <c r="AY34" i="94"/>
  <c r="AX34" i="94"/>
  <c r="AW34" i="94"/>
  <c r="AV34" i="94"/>
  <c r="AU34" i="94"/>
  <c r="AT34" i="94"/>
  <c r="AS34" i="94"/>
  <c r="AR34" i="94"/>
  <c r="AQ34" i="94"/>
  <c r="AP34" i="94"/>
  <c r="AO34" i="94"/>
  <c r="AN34" i="94"/>
  <c r="AM34" i="94"/>
  <c r="AL34" i="94"/>
  <c r="AK34" i="94"/>
  <c r="AJ34" i="94"/>
  <c r="BG33" i="94"/>
  <c r="BF33" i="94"/>
  <c r="BE33" i="94"/>
  <c r="BD33" i="94"/>
  <c r="BC33" i="94"/>
  <c r="BB33" i="94"/>
  <c r="BA33" i="94"/>
  <c r="AZ33" i="94"/>
  <c r="AY33" i="94"/>
  <c r="AX33" i="94"/>
  <c r="AW33" i="94"/>
  <c r="AV33" i="94"/>
  <c r="AU33" i="94"/>
  <c r="AT33" i="94"/>
  <c r="AS33" i="94"/>
  <c r="AR33" i="94"/>
  <c r="AQ33" i="94"/>
  <c r="AP33" i="94"/>
  <c r="AO33" i="94"/>
  <c r="AN33" i="94"/>
  <c r="AM33" i="94"/>
  <c r="AL33" i="94"/>
  <c r="AK33" i="94"/>
  <c r="AJ33" i="94"/>
  <c r="BG32" i="94"/>
  <c r="BF32" i="94"/>
  <c r="BE32" i="94"/>
  <c r="BD32" i="94"/>
  <c r="BC32" i="94"/>
  <c r="BB32" i="94"/>
  <c r="BA32" i="94"/>
  <c r="AZ32" i="94"/>
  <c r="AY32" i="94"/>
  <c r="AX32" i="94"/>
  <c r="AW32" i="94"/>
  <c r="AV32" i="94"/>
  <c r="AU32" i="94"/>
  <c r="AT32" i="94"/>
  <c r="AS32" i="94"/>
  <c r="AR32" i="94"/>
  <c r="AQ32" i="94"/>
  <c r="AP32" i="94"/>
  <c r="AO32" i="94"/>
  <c r="AN32" i="94"/>
  <c r="AM32" i="94"/>
  <c r="AL32" i="94"/>
  <c r="AK32" i="94"/>
  <c r="AJ32" i="94"/>
  <c r="BG31" i="94"/>
  <c r="BF31" i="94"/>
  <c r="BE31" i="94"/>
  <c r="BD31" i="94"/>
  <c r="BC31" i="94"/>
  <c r="BB31" i="94"/>
  <c r="BA31" i="94"/>
  <c r="AZ31" i="94"/>
  <c r="AY31" i="94"/>
  <c r="AX31" i="94"/>
  <c r="AW31" i="94"/>
  <c r="AV31" i="94"/>
  <c r="AU31" i="94"/>
  <c r="AT31" i="94"/>
  <c r="AS31" i="94"/>
  <c r="AR31" i="94"/>
  <c r="AQ31" i="94"/>
  <c r="AP31" i="94"/>
  <c r="AO31" i="94"/>
  <c r="AN31" i="94"/>
  <c r="AM31" i="94"/>
  <c r="AL31" i="94"/>
  <c r="AK31" i="94"/>
  <c r="AJ31" i="94"/>
  <c r="BG30" i="94"/>
  <c r="BF30" i="94"/>
  <c r="BE30" i="94"/>
  <c r="BD30" i="94"/>
  <c r="BC30" i="94"/>
  <c r="BB30" i="94"/>
  <c r="BA30" i="94"/>
  <c r="AZ30" i="94"/>
  <c r="AY30" i="94"/>
  <c r="AX30" i="94"/>
  <c r="AW30" i="94"/>
  <c r="AV30" i="94"/>
  <c r="AU30" i="94"/>
  <c r="AT30" i="94"/>
  <c r="AS30" i="94"/>
  <c r="AR30" i="94"/>
  <c r="AQ30" i="94"/>
  <c r="AP30" i="94"/>
  <c r="AO30" i="94"/>
  <c r="AN30" i="94"/>
  <c r="AM30" i="94"/>
  <c r="AL30" i="94"/>
  <c r="AK30" i="94"/>
  <c r="AJ30" i="94"/>
  <c r="BG29" i="94"/>
  <c r="BF29" i="94"/>
  <c r="BE29" i="94"/>
  <c r="BD29" i="94"/>
  <c r="BC29" i="94"/>
  <c r="BB29" i="94"/>
  <c r="BA29" i="94"/>
  <c r="AZ29" i="94"/>
  <c r="AY29" i="94"/>
  <c r="AX29" i="94"/>
  <c r="AW29" i="94"/>
  <c r="AV29" i="94"/>
  <c r="AU29" i="94"/>
  <c r="AT29" i="94"/>
  <c r="AS29" i="94"/>
  <c r="AR29" i="94"/>
  <c r="AQ29" i="94"/>
  <c r="AP29" i="94"/>
  <c r="AO29" i="94"/>
  <c r="AN29" i="94"/>
  <c r="AM29" i="94"/>
  <c r="AL29" i="94"/>
  <c r="AK29" i="94"/>
  <c r="AJ29" i="94"/>
  <c r="BG28" i="94"/>
  <c r="BF28" i="94"/>
  <c r="BE28" i="94"/>
  <c r="BD28" i="94"/>
  <c r="BC28" i="94"/>
  <c r="BB28" i="94"/>
  <c r="BA28" i="94"/>
  <c r="AZ28" i="94"/>
  <c r="AY28" i="94"/>
  <c r="AX28" i="94"/>
  <c r="AW28" i="94"/>
  <c r="AV28" i="94"/>
  <c r="AU28" i="94"/>
  <c r="AT28" i="94"/>
  <c r="AS28" i="94"/>
  <c r="AR28" i="94"/>
  <c r="AQ28" i="94"/>
  <c r="AP28" i="94"/>
  <c r="AO28" i="94"/>
  <c r="AN28" i="94"/>
  <c r="AM28" i="94"/>
  <c r="AL28" i="94"/>
  <c r="AK28" i="94"/>
  <c r="AJ28" i="94"/>
  <c r="BG27" i="94"/>
  <c r="BF27" i="94"/>
  <c r="BE27" i="94"/>
  <c r="BD27" i="94"/>
  <c r="BC27" i="94"/>
  <c r="BB27" i="94"/>
  <c r="BA27" i="94"/>
  <c r="AZ27" i="94"/>
  <c r="AY27" i="94"/>
  <c r="AX27" i="94"/>
  <c r="AW27" i="94"/>
  <c r="AV27" i="94"/>
  <c r="AU27" i="94"/>
  <c r="AT27" i="94"/>
  <c r="AS27" i="94"/>
  <c r="AR27" i="94"/>
  <c r="AQ27" i="94"/>
  <c r="AP27" i="94"/>
  <c r="AO27" i="94"/>
  <c r="AN27" i="94"/>
  <c r="AM27" i="94"/>
  <c r="AL27" i="94"/>
  <c r="AK27" i="94"/>
  <c r="AJ27" i="94"/>
  <c r="BG26" i="94"/>
  <c r="BF26" i="94"/>
  <c r="BE26" i="94"/>
  <c r="BD26" i="94"/>
  <c r="BC26" i="94"/>
  <c r="BB26" i="94"/>
  <c r="BA26" i="94"/>
  <c r="AZ26" i="94"/>
  <c r="AY26" i="94"/>
  <c r="AX26" i="94"/>
  <c r="AW26" i="94"/>
  <c r="AV26" i="94"/>
  <c r="AU26" i="94"/>
  <c r="AT26" i="94"/>
  <c r="AS26" i="94"/>
  <c r="AR26" i="94"/>
  <c r="AQ26" i="94"/>
  <c r="AP26" i="94"/>
  <c r="AO26" i="94"/>
  <c r="AN26" i="94"/>
  <c r="AM26" i="94"/>
  <c r="AL26" i="94"/>
  <c r="AK26" i="94"/>
  <c r="AJ26" i="94"/>
  <c r="BG25" i="94"/>
  <c r="BF25" i="94"/>
  <c r="BE25" i="94"/>
  <c r="BD25" i="94"/>
  <c r="BC25" i="94"/>
  <c r="BB25" i="94"/>
  <c r="BA25" i="94"/>
  <c r="AZ25" i="94"/>
  <c r="AY25" i="94"/>
  <c r="AX25" i="94"/>
  <c r="AW25" i="94"/>
  <c r="AV25" i="94"/>
  <c r="AU25" i="94"/>
  <c r="AT25" i="94"/>
  <c r="AS25" i="94"/>
  <c r="AR25" i="94"/>
  <c r="AQ25" i="94"/>
  <c r="AP25" i="94"/>
  <c r="AO25" i="94"/>
  <c r="AN25" i="94"/>
  <c r="AM25" i="94"/>
  <c r="AL25" i="94"/>
  <c r="AK25" i="94"/>
  <c r="AJ25" i="94"/>
  <c r="BG24" i="94"/>
  <c r="BF24" i="94"/>
  <c r="BE24" i="94"/>
  <c r="BD24" i="94"/>
  <c r="BC24" i="94"/>
  <c r="BB24" i="94"/>
  <c r="BA24" i="94"/>
  <c r="AZ24" i="94"/>
  <c r="AY24" i="94"/>
  <c r="AX24" i="94"/>
  <c r="AW24" i="94"/>
  <c r="AV24" i="94"/>
  <c r="AU24" i="94"/>
  <c r="AT24" i="94"/>
  <c r="AS24" i="94"/>
  <c r="AR24" i="94"/>
  <c r="AQ24" i="94"/>
  <c r="AP24" i="94"/>
  <c r="AO24" i="94"/>
  <c r="AN24" i="94"/>
  <c r="AM24" i="94"/>
  <c r="AL24" i="94"/>
  <c r="AK24" i="94"/>
  <c r="AJ24" i="94"/>
  <c r="BG23" i="94"/>
  <c r="BF23" i="94"/>
  <c r="BE23" i="94"/>
  <c r="BD23" i="94"/>
  <c r="BC23" i="94"/>
  <c r="BB23" i="94"/>
  <c r="BA23" i="94"/>
  <c r="AZ23" i="94"/>
  <c r="AY23" i="94"/>
  <c r="AX23" i="94"/>
  <c r="AW23" i="94"/>
  <c r="AV23" i="94"/>
  <c r="AU23" i="94"/>
  <c r="AT23" i="94"/>
  <c r="AS23" i="94"/>
  <c r="AR23" i="94"/>
  <c r="AQ23" i="94"/>
  <c r="AP23" i="94"/>
  <c r="AO23" i="94"/>
  <c r="AN23" i="94"/>
  <c r="AM23" i="94"/>
  <c r="AL23" i="94"/>
  <c r="AK23" i="94"/>
  <c r="AJ23" i="94"/>
  <c r="BG22" i="94"/>
  <c r="BF22" i="94"/>
  <c r="BE22" i="94"/>
  <c r="BD22" i="94"/>
  <c r="BC22" i="94"/>
  <c r="BB22" i="94"/>
  <c r="BA22" i="94"/>
  <c r="AZ22" i="94"/>
  <c r="AY22" i="94"/>
  <c r="AX22" i="94"/>
  <c r="AW22" i="94"/>
  <c r="AV22" i="94"/>
  <c r="AU22" i="94"/>
  <c r="AT22" i="94"/>
  <c r="AS22" i="94"/>
  <c r="AR22" i="94"/>
  <c r="AQ22" i="94"/>
  <c r="AP22" i="94"/>
  <c r="AO22" i="94"/>
  <c r="AN22" i="94"/>
  <c r="AM22" i="94"/>
  <c r="AL22" i="94"/>
  <c r="AK22" i="94"/>
  <c r="AJ22" i="94"/>
  <c r="BG21" i="94"/>
  <c r="BF21" i="94"/>
  <c r="BE21" i="94"/>
  <c r="BD21" i="94"/>
  <c r="BC21" i="94"/>
  <c r="BB21" i="94"/>
  <c r="BA21" i="94"/>
  <c r="AZ21" i="94"/>
  <c r="AY21" i="94"/>
  <c r="AX21" i="94"/>
  <c r="AW21" i="94"/>
  <c r="AV21" i="94"/>
  <c r="AU21" i="94"/>
  <c r="AT21" i="94"/>
  <c r="AS21" i="94"/>
  <c r="AR21" i="94"/>
  <c r="AQ21" i="94"/>
  <c r="AP21" i="94"/>
  <c r="AO21" i="94"/>
  <c r="AN21" i="94"/>
  <c r="AM21" i="94"/>
  <c r="AL21" i="94"/>
  <c r="AK21" i="94"/>
  <c r="AJ21" i="94"/>
  <c r="BG20" i="94"/>
  <c r="BF20" i="94"/>
  <c r="BE20" i="94"/>
  <c r="BD20" i="94"/>
  <c r="BC20" i="94"/>
  <c r="BB20" i="94"/>
  <c r="BA20" i="94"/>
  <c r="AZ20" i="94"/>
  <c r="AY20" i="94"/>
  <c r="AX20" i="94"/>
  <c r="AW20" i="94"/>
  <c r="AV20" i="94"/>
  <c r="AU20" i="94"/>
  <c r="AT20" i="94"/>
  <c r="AS20" i="94"/>
  <c r="AR20" i="94"/>
  <c r="AQ20" i="94"/>
  <c r="AP20" i="94"/>
  <c r="AO20" i="94"/>
  <c r="AN20" i="94"/>
  <c r="AM20" i="94"/>
  <c r="AL20" i="94"/>
  <c r="AK20" i="94"/>
  <c r="AJ20" i="94"/>
  <c r="BG19" i="94"/>
  <c r="BF19" i="94"/>
  <c r="BE19" i="94"/>
  <c r="BD19" i="94"/>
  <c r="BC19" i="94"/>
  <c r="BB19" i="94"/>
  <c r="BA19" i="94"/>
  <c r="AZ19" i="94"/>
  <c r="AY19" i="94"/>
  <c r="AX19" i="94"/>
  <c r="AW19" i="94"/>
  <c r="AV19" i="94"/>
  <c r="AU19" i="94"/>
  <c r="AT19" i="94"/>
  <c r="AS19" i="94"/>
  <c r="AR19" i="94"/>
  <c r="AQ19" i="94"/>
  <c r="AP19" i="94"/>
  <c r="AO19" i="94"/>
  <c r="AN19" i="94"/>
  <c r="AM19" i="94"/>
  <c r="AL19" i="94"/>
  <c r="AK19" i="94"/>
  <c r="AJ19" i="94"/>
  <c r="BG18" i="94"/>
  <c r="BF18" i="94"/>
  <c r="BE18" i="94"/>
  <c r="BD18" i="94"/>
  <c r="BC18" i="94"/>
  <c r="BB18" i="94"/>
  <c r="BA18" i="94"/>
  <c r="AZ18" i="94"/>
  <c r="AY18" i="94"/>
  <c r="AX18" i="94"/>
  <c r="AW18" i="94"/>
  <c r="AV18" i="94"/>
  <c r="AU18" i="94"/>
  <c r="AT18" i="94"/>
  <c r="AS18" i="94"/>
  <c r="AR18" i="94"/>
  <c r="AQ18" i="94"/>
  <c r="AP18" i="94"/>
  <c r="AO18" i="94"/>
  <c r="AN18" i="94"/>
  <c r="AM18" i="94"/>
  <c r="AL18" i="94"/>
  <c r="AK18" i="94"/>
  <c r="AJ18" i="94"/>
  <c r="BG17" i="94"/>
  <c r="BF17" i="94"/>
  <c r="BE17" i="94"/>
  <c r="BD17" i="94"/>
  <c r="BC17" i="94"/>
  <c r="BB17" i="94"/>
  <c r="BA17" i="94"/>
  <c r="AZ17" i="94"/>
  <c r="AY17" i="94"/>
  <c r="AX17" i="94"/>
  <c r="AW17" i="94"/>
  <c r="AV17" i="94"/>
  <c r="AU17" i="94"/>
  <c r="AT17" i="94"/>
  <c r="AS17" i="94"/>
  <c r="AR17" i="94"/>
  <c r="AQ17" i="94"/>
  <c r="AP17" i="94"/>
  <c r="AO17" i="94"/>
  <c r="AN17" i="94"/>
  <c r="AM17" i="94"/>
  <c r="AL17" i="94"/>
  <c r="AK17" i="94"/>
  <c r="AJ17" i="94"/>
  <c r="BG16" i="94"/>
  <c r="BF16" i="94"/>
  <c r="BE16" i="94"/>
  <c r="BD16" i="94"/>
  <c r="BC16" i="94"/>
  <c r="BB16" i="94"/>
  <c r="BA16" i="94"/>
  <c r="AZ16" i="94"/>
  <c r="AY16" i="94"/>
  <c r="AX16" i="94"/>
  <c r="AW16" i="94"/>
  <c r="AV16" i="94"/>
  <c r="AU16" i="94"/>
  <c r="AT16" i="94"/>
  <c r="AS16" i="94"/>
  <c r="AR16" i="94"/>
  <c r="AQ16" i="94"/>
  <c r="AP16" i="94"/>
  <c r="AO16" i="94"/>
  <c r="AN16" i="94"/>
  <c r="AM16" i="94"/>
  <c r="AL16" i="94"/>
  <c r="AK16" i="94"/>
  <c r="AJ16" i="94"/>
  <c r="BG15" i="94"/>
  <c r="BF15" i="94"/>
  <c r="BE15" i="94"/>
  <c r="BD15" i="94"/>
  <c r="BC15" i="94"/>
  <c r="BB15" i="94"/>
  <c r="BA15" i="94"/>
  <c r="AZ15" i="94"/>
  <c r="AY15" i="94"/>
  <c r="AX15" i="94"/>
  <c r="AW15" i="94"/>
  <c r="AV15" i="94"/>
  <c r="AU15" i="94"/>
  <c r="AT15" i="94"/>
  <c r="AS15" i="94"/>
  <c r="AR15" i="94"/>
  <c r="AQ15" i="94"/>
  <c r="AP15" i="94"/>
  <c r="AO15" i="94"/>
  <c r="AN15" i="94"/>
  <c r="AM15" i="94"/>
  <c r="AL15" i="94"/>
  <c r="AK15" i="94"/>
  <c r="AJ15" i="94"/>
  <c r="BL14" i="94"/>
  <c r="BK14" i="94"/>
  <c r="BJ14" i="94"/>
  <c r="BI14" i="94"/>
  <c r="BH14" i="94"/>
  <c r="BG14" i="94"/>
  <c r="BF14" i="94"/>
  <c r="BE14" i="94"/>
  <c r="BD14" i="94"/>
  <c r="BC14" i="94"/>
  <c r="BB14" i="94"/>
  <c r="BA14" i="94"/>
  <c r="AZ14" i="94"/>
  <c r="AY14" i="94"/>
  <c r="AX14" i="94"/>
  <c r="AW14" i="94"/>
  <c r="AV14" i="94"/>
  <c r="AU14" i="94"/>
  <c r="AT14" i="94"/>
  <c r="AS14" i="94"/>
  <c r="AR14" i="94"/>
  <c r="AQ14" i="94"/>
  <c r="AP14" i="94"/>
  <c r="AO14" i="94"/>
  <c r="AN14" i="94"/>
  <c r="AM14" i="94"/>
  <c r="AL14" i="94"/>
  <c r="BL13" i="94"/>
  <c r="BK13" i="94"/>
  <c r="BJ13" i="94"/>
  <c r="BI13" i="94"/>
  <c r="BH13" i="94"/>
  <c r="BG13" i="94"/>
  <c r="BF13" i="94"/>
  <c r="BE13" i="94"/>
  <c r="BD13" i="94"/>
  <c r="BA13" i="94"/>
  <c r="AZ13" i="94"/>
  <c r="AY13" i="94"/>
  <c r="AX13" i="94"/>
  <c r="AW13" i="94"/>
  <c r="AV13" i="94"/>
  <c r="AU13" i="94"/>
  <c r="AT13" i="94"/>
  <c r="AS13" i="94"/>
  <c r="AR13" i="94"/>
  <c r="AQ13" i="94"/>
  <c r="AP13" i="94"/>
  <c r="AO13" i="94"/>
  <c r="AN13" i="94"/>
  <c r="AM13" i="94"/>
  <c r="AL13" i="94"/>
  <c r="BG44" i="95"/>
  <c r="BF44" i="95"/>
  <c r="BE44" i="95"/>
  <c r="BD44" i="95"/>
  <c r="BC44" i="95"/>
  <c r="BB44" i="95"/>
  <c r="BA44" i="95"/>
  <c r="AZ44" i="95"/>
  <c r="AY44" i="95"/>
  <c r="AX44" i="95"/>
  <c r="AW44" i="95"/>
  <c r="AV44" i="95"/>
  <c r="AU44" i="95"/>
  <c r="AT44" i="95"/>
  <c r="AS44" i="95"/>
  <c r="AR44" i="95"/>
  <c r="AQ44" i="95"/>
  <c r="AP44" i="95"/>
  <c r="AO44" i="95"/>
  <c r="AN44" i="95"/>
  <c r="AM44" i="95"/>
  <c r="AL44" i="95"/>
  <c r="AK44" i="95"/>
  <c r="AJ44" i="95"/>
  <c r="BG43" i="95"/>
  <c r="BF43" i="95"/>
  <c r="BE43" i="95"/>
  <c r="BD43" i="95"/>
  <c r="BC43" i="95"/>
  <c r="BB43" i="95"/>
  <c r="BA43" i="95"/>
  <c r="AZ43" i="95"/>
  <c r="AY43" i="95"/>
  <c r="AX43" i="95"/>
  <c r="AW43" i="95"/>
  <c r="AV43" i="95"/>
  <c r="AU43" i="95"/>
  <c r="AT43" i="95"/>
  <c r="AS43" i="95"/>
  <c r="AR43" i="95"/>
  <c r="AQ43" i="95"/>
  <c r="AP43" i="95"/>
  <c r="AO43" i="95"/>
  <c r="AN43" i="95"/>
  <c r="AM43" i="95"/>
  <c r="AL43" i="95"/>
  <c r="AK43" i="95"/>
  <c r="AJ43" i="95"/>
  <c r="BG42" i="95"/>
  <c r="BF42" i="95"/>
  <c r="BE42" i="95"/>
  <c r="BD42" i="95"/>
  <c r="BC42" i="95"/>
  <c r="BB42" i="95"/>
  <c r="BA42" i="95"/>
  <c r="AZ42" i="95"/>
  <c r="AY42" i="95"/>
  <c r="AX42" i="95"/>
  <c r="AW42" i="95"/>
  <c r="AV42" i="95"/>
  <c r="AU42" i="95"/>
  <c r="AT42" i="95"/>
  <c r="AS42" i="95"/>
  <c r="AR42" i="95"/>
  <c r="AQ42" i="95"/>
  <c r="AP42" i="95"/>
  <c r="AO42" i="95"/>
  <c r="AN42" i="95"/>
  <c r="AM42" i="95"/>
  <c r="AL42" i="95"/>
  <c r="AK42" i="95"/>
  <c r="AJ42" i="95"/>
  <c r="BG41" i="95"/>
  <c r="BF41" i="95"/>
  <c r="BE41" i="95"/>
  <c r="BD41" i="95"/>
  <c r="BC41" i="95"/>
  <c r="BB41" i="95"/>
  <c r="BA41" i="95"/>
  <c r="AZ41" i="95"/>
  <c r="AY41" i="95"/>
  <c r="AX41" i="95"/>
  <c r="AW41" i="95"/>
  <c r="AV41" i="95"/>
  <c r="AU41" i="95"/>
  <c r="AT41" i="95"/>
  <c r="AS41" i="95"/>
  <c r="AR41" i="95"/>
  <c r="AQ41" i="95"/>
  <c r="AP41" i="95"/>
  <c r="AO41" i="95"/>
  <c r="AN41" i="95"/>
  <c r="AM41" i="95"/>
  <c r="AL41" i="95"/>
  <c r="AK41" i="95"/>
  <c r="AJ41" i="95"/>
  <c r="BG40" i="95"/>
  <c r="BF40" i="95"/>
  <c r="BE40" i="95"/>
  <c r="BD40" i="95"/>
  <c r="BC40" i="95"/>
  <c r="BB40" i="95"/>
  <c r="BA40" i="95"/>
  <c r="AZ40" i="95"/>
  <c r="AY40" i="95"/>
  <c r="AX40" i="95"/>
  <c r="AW40" i="95"/>
  <c r="AV40" i="95"/>
  <c r="AU40" i="95"/>
  <c r="AT40" i="95"/>
  <c r="AS40" i="95"/>
  <c r="AR40" i="95"/>
  <c r="AQ40" i="95"/>
  <c r="AP40" i="95"/>
  <c r="AO40" i="95"/>
  <c r="AN40" i="95"/>
  <c r="AM40" i="95"/>
  <c r="AL40" i="95"/>
  <c r="AK40" i="95"/>
  <c r="AJ40" i="95"/>
  <c r="BG39" i="95"/>
  <c r="BF39" i="95"/>
  <c r="BE39" i="95"/>
  <c r="BD39" i="95"/>
  <c r="BC39" i="95"/>
  <c r="BB39" i="95"/>
  <c r="BA39" i="95"/>
  <c r="AZ39" i="95"/>
  <c r="AY39" i="95"/>
  <c r="AX39" i="95"/>
  <c r="AW39" i="95"/>
  <c r="AV39" i="95"/>
  <c r="AU39" i="95"/>
  <c r="AT39" i="95"/>
  <c r="AS39" i="95"/>
  <c r="AR39" i="95"/>
  <c r="AQ39" i="95"/>
  <c r="AP39" i="95"/>
  <c r="AO39" i="95"/>
  <c r="AN39" i="95"/>
  <c r="AM39" i="95"/>
  <c r="AL39" i="95"/>
  <c r="AK39" i="95"/>
  <c r="AJ39" i="95"/>
  <c r="BG38" i="95"/>
  <c r="BF38" i="95"/>
  <c r="BE38" i="95"/>
  <c r="BD38" i="95"/>
  <c r="BC38" i="95"/>
  <c r="BB38" i="95"/>
  <c r="BA38" i="95"/>
  <c r="AZ38" i="95"/>
  <c r="AY38" i="95"/>
  <c r="AX38" i="95"/>
  <c r="AW38" i="95"/>
  <c r="AV38" i="95"/>
  <c r="AU38" i="95"/>
  <c r="AT38" i="95"/>
  <c r="AS38" i="95"/>
  <c r="AR38" i="95"/>
  <c r="AQ38" i="95"/>
  <c r="AP38" i="95"/>
  <c r="AO38" i="95"/>
  <c r="AN38" i="95"/>
  <c r="AM38" i="95"/>
  <c r="AL38" i="95"/>
  <c r="AK38" i="95"/>
  <c r="AJ38" i="95"/>
  <c r="BG37" i="95"/>
  <c r="BF37" i="95"/>
  <c r="BE37" i="95"/>
  <c r="BD37" i="95"/>
  <c r="BC37" i="95"/>
  <c r="BB37" i="95"/>
  <c r="BA37" i="95"/>
  <c r="AZ37" i="95"/>
  <c r="AY37" i="95"/>
  <c r="AX37" i="95"/>
  <c r="AW37" i="95"/>
  <c r="AV37" i="95"/>
  <c r="AU37" i="95"/>
  <c r="AT37" i="95"/>
  <c r="AS37" i="95"/>
  <c r="AR37" i="95"/>
  <c r="AQ37" i="95"/>
  <c r="AP37" i="95"/>
  <c r="AO37" i="95"/>
  <c r="AN37" i="95"/>
  <c r="AM37" i="95"/>
  <c r="AL37" i="95"/>
  <c r="AK37" i="95"/>
  <c r="AJ37" i="95"/>
  <c r="BG36" i="95"/>
  <c r="BF36" i="95"/>
  <c r="BE36" i="95"/>
  <c r="BD36" i="95"/>
  <c r="BC36" i="95"/>
  <c r="BB36" i="95"/>
  <c r="BA36" i="95"/>
  <c r="AZ36" i="95"/>
  <c r="AY36" i="95"/>
  <c r="AX36" i="95"/>
  <c r="AW36" i="95"/>
  <c r="AV36" i="95"/>
  <c r="AU36" i="95"/>
  <c r="AT36" i="95"/>
  <c r="AS36" i="95"/>
  <c r="AR36" i="95"/>
  <c r="AQ36" i="95"/>
  <c r="AP36" i="95"/>
  <c r="AO36" i="95"/>
  <c r="AN36" i="95"/>
  <c r="AM36" i="95"/>
  <c r="AL36" i="95"/>
  <c r="AK36" i="95"/>
  <c r="AJ36" i="95"/>
  <c r="BG35" i="95"/>
  <c r="BF35" i="95"/>
  <c r="BE35" i="95"/>
  <c r="BD35" i="95"/>
  <c r="BC35" i="95"/>
  <c r="BB35" i="95"/>
  <c r="BA35" i="95"/>
  <c r="AZ35" i="95"/>
  <c r="AY35" i="95"/>
  <c r="AX35" i="95"/>
  <c r="AW35" i="95"/>
  <c r="AV35" i="95"/>
  <c r="AU35" i="95"/>
  <c r="AT35" i="95"/>
  <c r="AS35" i="95"/>
  <c r="AR35" i="95"/>
  <c r="AQ35" i="95"/>
  <c r="AP35" i="95"/>
  <c r="AO35" i="95"/>
  <c r="AN35" i="95"/>
  <c r="AM35" i="95"/>
  <c r="AL35" i="95"/>
  <c r="AK35" i="95"/>
  <c r="AJ35" i="95"/>
  <c r="BG34" i="95"/>
  <c r="BF34" i="95"/>
  <c r="BE34" i="95"/>
  <c r="BD34" i="95"/>
  <c r="BC34" i="95"/>
  <c r="BB34" i="95"/>
  <c r="BA34" i="95"/>
  <c r="AZ34" i="95"/>
  <c r="AY34" i="95"/>
  <c r="AX34" i="95"/>
  <c r="AW34" i="95"/>
  <c r="AV34" i="95"/>
  <c r="AU34" i="95"/>
  <c r="AT34" i="95"/>
  <c r="AS34" i="95"/>
  <c r="AR34" i="95"/>
  <c r="AQ34" i="95"/>
  <c r="AP34" i="95"/>
  <c r="AO34" i="95"/>
  <c r="AN34" i="95"/>
  <c r="AM34" i="95"/>
  <c r="AL34" i="95"/>
  <c r="AK34" i="95"/>
  <c r="AJ34" i="95"/>
  <c r="BG33" i="95"/>
  <c r="BF33" i="95"/>
  <c r="BE33" i="95"/>
  <c r="BD33" i="95"/>
  <c r="BC33" i="95"/>
  <c r="BB33" i="95"/>
  <c r="BA33" i="95"/>
  <c r="AZ33" i="95"/>
  <c r="AY33" i="95"/>
  <c r="AX33" i="95"/>
  <c r="AW33" i="95"/>
  <c r="AV33" i="95"/>
  <c r="AU33" i="95"/>
  <c r="AT33" i="95"/>
  <c r="AS33" i="95"/>
  <c r="AR33" i="95"/>
  <c r="AQ33" i="95"/>
  <c r="AP33" i="95"/>
  <c r="AO33" i="95"/>
  <c r="AN33" i="95"/>
  <c r="AM33" i="95"/>
  <c r="AL33" i="95"/>
  <c r="AK33" i="95"/>
  <c r="AJ33" i="95"/>
  <c r="BG32" i="95"/>
  <c r="BF32" i="95"/>
  <c r="BE32" i="95"/>
  <c r="BD32" i="95"/>
  <c r="BC32" i="95"/>
  <c r="BB32" i="95"/>
  <c r="BA32" i="95"/>
  <c r="AZ32" i="95"/>
  <c r="AY32" i="95"/>
  <c r="AX32" i="95"/>
  <c r="AW32" i="95"/>
  <c r="AV32" i="95"/>
  <c r="AU32" i="95"/>
  <c r="AT32" i="95"/>
  <c r="AS32" i="95"/>
  <c r="AR32" i="95"/>
  <c r="AQ32" i="95"/>
  <c r="AP32" i="95"/>
  <c r="AO32" i="95"/>
  <c r="AN32" i="95"/>
  <c r="AM32" i="95"/>
  <c r="AL32" i="95"/>
  <c r="AK32" i="95"/>
  <c r="AJ32" i="95"/>
  <c r="BG31" i="95"/>
  <c r="BF31" i="95"/>
  <c r="BE31" i="95"/>
  <c r="BD31" i="95"/>
  <c r="BC31" i="95"/>
  <c r="BB31" i="95"/>
  <c r="BA31" i="95"/>
  <c r="AZ31" i="95"/>
  <c r="AY31" i="95"/>
  <c r="AX31" i="95"/>
  <c r="AW31" i="95"/>
  <c r="AV31" i="95"/>
  <c r="AU31" i="95"/>
  <c r="AT31" i="95"/>
  <c r="AS31" i="95"/>
  <c r="AR31" i="95"/>
  <c r="AQ31" i="95"/>
  <c r="AP31" i="95"/>
  <c r="AO31" i="95"/>
  <c r="AN31" i="95"/>
  <c r="AM31" i="95"/>
  <c r="AL31" i="95"/>
  <c r="AK31" i="95"/>
  <c r="AJ31" i="95"/>
  <c r="BG30" i="95"/>
  <c r="BF30" i="95"/>
  <c r="BE30" i="95"/>
  <c r="BD30" i="95"/>
  <c r="BC30" i="95"/>
  <c r="BB30" i="95"/>
  <c r="BA30" i="95"/>
  <c r="AZ30" i="95"/>
  <c r="AY30" i="95"/>
  <c r="AX30" i="95"/>
  <c r="AW30" i="95"/>
  <c r="AV30" i="95"/>
  <c r="AU30" i="95"/>
  <c r="AT30" i="95"/>
  <c r="AS30" i="95"/>
  <c r="AR30" i="95"/>
  <c r="AQ30" i="95"/>
  <c r="AP30" i="95"/>
  <c r="AO30" i="95"/>
  <c r="AN30" i="95"/>
  <c r="AM30" i="95"/>
  <c r="AL30" i="95"/>
  <c r="AK30" i="95"/>
  <c r="AJ30" i="95"/>
  <c r="BG29" i="95"/>
  <c r="BF29" i="95"/>
  <c r="BE29" i="95"/>
  <c r="BD29" i="95"/>
  <c r="BC29" i="95"/>
  <c r="BB29" i="95"/>
  <c r="BA29" i="95"/>
  <c r="AZ29" i="95"/>
  <c r="AY29" i="95"/>
  <c r="AX29" i="95"/>
  <c r="AW29" i="95"/>
  <c r="AV29" i="95"/>
  <c r="AU29" i="95"/>
  <c r="AT29" i="95"/>
  <c r="AS29" i="95"/>
  <c r="AR29" i="95"/>
  <c r="AQ29" i="95"/>
  <c r="AP29" i="95"/>
  <c r="AO29" i="95"/>
  <c r="AN29" i="95"/>
  <c r="AM29" i="95"/>
  <c r="AL29" i="95"/>
  <c r="AK29" i="95"/>
  <c r="AJ29" i="95"/>
  <c r="BG28" i="95"/>
  <c r="BF28" i="95"/>
  <c r="BE28" i="95"/>
  <c r="BD28" i="95"/>
  <c r="BC28" i="95"/>
  <c r="BB28" i="95"/>
  <c r="BA28" i="95"/>
  <c r="AZ28" i="95"/>
  <c r="AY28" i="95"/>
  <c r="AX28" i="95"/>
  <c r="AW28" i="95"/>
  <c r="AV28" i="95"/>
  <c r="AU28" i="95"/>
  <c r="AT28" i="95"/>
  <c r="AS28" i="95"/>
  <c r="AR28" i="95"/>
  <c r="AQ28" i="95"/>
  <c r="AP28" i="95"/>
  <c r="AO28" i="95"/>
  <c r="AN28" i="95"/>
  <c r="AM28" i="95"/>
  <c r="AL28" i="95"/>
  <c r="AK28" i="95"/>
  <c r="AJ28" i="95"/>
  <c r="BG27" i="95"/>
  <c r="BF27" i="95"/>
  <c r="BE27" i="95"/>
  <c r="BD27" i="95"/>
  <c r="BC27" i="95"/>
  <c r="BB27" i="95"/>
  <c r="BA27" i="95"/>
  <c r="AZ27" i="95"/>
  <c r="AY27" i="95"/>
  <c r="AX27" i="95"/>
  <c r="AW27" i="95"/>
  <c r="AV27" i="95"/>
  <c r="AU27" i="95"/>
  <c r="AT27" i="95"/>
  <c r="AS27" i="95"/>
  <c r="AR27" i="95"/>
  <c r="AQ27" i="95"/>
  <c r="AP27" i="95"/>
  <c r="AO27" i="95"/>
  <c r="AN27" i="95"/>
  <c r="AM27" i="95"/>
  <c r="AL27" i="95"/>
  <c r="AK27" i="95"/>
  <c r="AJ27" i="95"/>
  <c r="BG26" i="95"/>
  <c r="BF26" i="95"/>
  <c r="BE26" i="95"/>
  <c r="BD26" i="95"/>
  <c r="BC26" i="95"/>
  <c r="BB26" i="95"/>
  <c r="BA26" i="95"/>
  <c r="AZ26" i="95"/>
  <c r="AY26" i="95"/>
  <c r="AX26" i="95"/>
  <c r="AW26" i="95"/>
  <c r="AV26" i="95"/>
  <c r="AU26" i="95"/>
  <c r="AT26" i="95"/>
  <c r="AS26" i="95"/>
  <c r="AR26" i="95"/>
  <c r="AQ26" i="95"/>
  <c r="AP26" i="95"/>
  <c r="AO26" i="95"/>
  <c r="AN26" i="95"/>
  <c r="AM26" i="95"/>
  <c r="AL26" i="95"/>
  <c r="AK26" i="95"/>
  <c r="AJ26" i="95"/>
  <c r="BG25" i="95"/>
  <c r="BF25" i="95"/>
  <c r="BE25" i="95"/>
  <c r="BD25" i="95"/>
  <c r="BC25" i="95"/>
  <c r="BB25" i="95"/>
  <c r="BA25" i="95"/>
  <c r="AZ25" i="95"/>
  <c r="AY25" i="95"/>
  <c r="AX25" i="95"/>
  <c r="AW25" i="95"/>
  <c r="AV25" i="95"/>
  <c r="AU25" i="95"/>
  <c r="AT25" i="95"/>
  <c r="AS25" i="95"/>
  <c r="AR25" i="95"/>
  <c r="AQ25" i="95"/>
  <c r="AP25" i="95"/>
  <c r="AO25" i="95"/>
  <c r="AN25" i="95"/>
  <c r="AM25" i="95"/>
  <c r="AL25" i="95"/>
  <c r="AK25" i="95"/>
  <c r="AJ25" i="95"/>
  <c r="BG24" i="95"/>
  <c r="BF24" i="95"/>
  <c r="BE24" i="95"/>
  <c r="BD24" i="95"/>
  <c r="BC24" i="95"/>
  <c r="BB24" i="95"/>
  <c r="BA24" i="95"/>
  <c r="AZ24" i="95"/>
  <c r="AY24" i="95"/>
  <c r="AX24" i="95"/>
  <c r="AW24" i="95"/>
  <c r="AV24" i="95"/>
  <c r="AU24" i="95"/>
  <c r="AT24" i="95"/>
  <c r="AS24" i="95"/>
  <c r="AR24" i="95"/>
  <c r="AQ24" i="95"/>
  <c r="AP24" i="95"/>
  <c r="AO24" i="95"/>
  <c r="AN24" i="95"/>
  <c r="AM24" i="95"/>
  <c r="AL24" i="95"/>
  <c r="AK24" i="95"/>
  <c r="AJ24" i="95"/>
  <c r="BG23" i="95"/>
  <c r="BF23" i="95"/>
  <c r="BE23" i="95"/>
  <c r="BD23" i="95"/>
  <c r="BC23" i="95"/>
  <c r="BB23" i="95"/>
  <c r="BA23" i="95"/>
  <c r="AZ23" i="95"/>
  <c r="AY23" i="95"/>
  <c r="AX23" i="95"/>
  <c r="AW23" i="95"/>
  <c r="AV23" i="95"/>
  <c r="AU23" i="95"/>
  <c r="AT23" i="95"/>
  <c r="AS23" i="95"/>
  <c r="AR23" i="95"/>
  <c r="AQ23" i="95"/>
  <c r="AP23" i="95"/>
  <c r="AO23" i="95"/>
  <c r="AN23" i="95"/>
  <c r="AM23" i="95"/>
  <c r="AL23" i="95"/>
  <c r="AK23" i="95"/>
  <c r="AJ23" i="95"/>
  <c r="BG22" i="95"/>
  <c r="BF22" i="95"/>
  <c r="BE22" i="95"/>
  <c r="BD22" i="95"/>
  <c r="BC22" i="95"/>
  <c r="BB22" i="95"/>
  <c r="BA22" i="95"/>
  <c r="AZ22" i="95"/>
  <c r="AY22" i="95"/>
  <c r="AX22" i="95"/>
  <c r="AW22" i="95"/>
  <c r="AV22" i="95"/>
  <c r="AU22" i="95"/>
  <c r="AT22" i="95"/>
  <c r="AS22" i="95"/>
  <c r="AR22" i="95"/>
  <c r="AQ22" i="95"/>
  <c r="AP22" i="95"/>
  <c r="AO22" i="95"/>
  <c r="AN22" i="95"/>
  <c r="AM22" i="95"/>
  <c r="AL22" i="95"/>
  <c r="AK22" i="95"/>
  <c r="AJ22" i="95"/>
  <c r="BG21" i="95"/>
  <c r="BF21" i="95"/>
  <c r="BE21" i="95"/>
  <c r="BD21" i="95"/>
  <c r="BC21" i="95"/>
  <c r="BB21" i="95"/>
  <c r="BA21" i="95"/>
  <c r="AZ21" i="95"/>
  <c r="AY21" i="95"/>
  <c r="AX21" i="95"/>
  <c r="AW21" i="95"/>
  <c r="AV21" i="95"/>
  <c r="AU21" i="95"/>
  <c r="AT21" i="95"/>
  <c r="AS21" i="95"/>
  <c r="AR21" i="95"/>
  <c r="AQ21" i="95"/>
  <c r="AP21" i="95"/>
  <c r="AO21" i="95"/>
  <c r="AN21" i="95"/>
  <c r="AM21" i="95"/>
  <c r="AL21" i="95"/>
  <c r="AK21" i="95"/>
  <c r="AJ21" i="95"/>
  <c r="BG20" i="95"/>
  <c r="BF20" i="95"/>
  <c r="BE20" i="95"/>
  <c r="BD20" i="95"/>
  <c r="BC20" i="95"/>
  <c r="BB20" i="95"/>
  <c r="BA20" i="95"/>
  <c r="AZ20" i="95"/>
  <c r="AY20" i="95"/>
  <c r="AX20" i="95"/>
  <c r="AW20" i="95"/>
  <c r="AV20" i="95"/>
  <c r="AU20" i="95"/>
  <c r="AT20" i="95"/>
  <c r="AS20" i="95"/>
  <c r="AR20" i="95"/>
  <c r="AQ20" i="95"/>
  <c r="AP20" i="95"/>
  <c r="AO20" i="95"/>
  <c r="AN20" i="95"/>
  <c r="AM20" i="95"/>
  <c r="AL20" i="95"/>
  <c r="AK20" i="95"/>
  <c r="AJ20" i="95"/>
  <c r="BG19" i="95"/>
  <c r="BF19" i="95"/>
  <c r="BE19" i="95"/>
  <c r="BD19" i="95"/>
  <c r="BC19" i="95"/>
  <c r="BB19" i="95"/>
  <c r="BA19" i="95"/>
  <c r="AZ19" i="95"/>
  <c r="AY19" i="95"/>
  <c r="AX19" i="95"/>
  <c r="AW19" i="95"/>
  <c r="AV19" i="95"/>
  <c r="AU19" i="95"/>
  <c r="AT19" i="95"/>
  <c r="AS19" i="95"/>
  <c r="AR19" i="95"/>
  <c r="AQ19" i="95"/>
  <c r="AP19" i="95"/>
  <c r="AO19" i="95"/>
  <c r="AN19" i="95"/>
  <c r="AM19" i="95"/>
  <c r="AL19" i="95"/>
  <c r="AK19" i="95"/>
  <c r="AJ19" i="95"/>
  <c r="BG18" i="95"/>
  <c r="BF18" i="95"/>
  <c r="BE18" i="95"/>
  <c r="BD18" i="95"/>
  <c r="BC18" i="95"/>
  <c r="BB18" i="95"/>
  <c r="BA18" i="95"/>
  <c r="AZ18" i="95"/>
  <c r="AY18" i="95"/>
  <c r="AX18" i="95"/>
  <c r="AW18" i="95"/>
  <c r="AV18" i="95"/>
  <c r="AU18" i="95"/>
  <c r="AT18" i="95"/>
  <c r="AS18" i="95"/>
  <c r="AR18" i="95"/>
  <c r="AQ18" i="95"/>
  <c r="AP18" i="95"/>
  <c r="AO18" i="95"/>
  <c r="AN18" i="95"/>
  <c r="AM18" i="95"/>
  <c r="AL18" i="95"/>
  <c r="AK18" i="95"/>
  <c r="AJ18" i="95"/>
  <c r="BG17" i="95"/>
  <c r="BF17" i="95"/>
  <c r="BE17" i="95"/>
  <c r="BD17" i="95"/>
  <c r="BC17" i="95"/>
  <c r="BB17" i="95"/>
  <c r="BA17" i="95"/>
  <c r="AZ17" i="95"/>
  <c r="AY17" i="95"/>
  <c r="AX17" i="95"/>
  <c r="AW17" i="95"/>
  <c r="AV17" i="95"/>
  <c r="AU17" i="95"/>
  <c r="AT17" i="95"/>
  <c r="AS17" i="95"/>
  <c r="AR17" i="95"/>
  <c r="AQ17" i="95"/>
  <c r="AP17" i="95"/>
  <c r="AO17" i="95"/>
  <c r="AN17" i="95"/>
  <c r="AM17" i="95"/>
  <c r="AL17" i="95"/>
  <c r="AK17" i="95"/>
  <c r="AJ17" i="95"/>
  <c r="BG16" i="95"/>
  <c r="BF16" i="95"/>
  <c r="BE16" i="95"/>
  <c r="BD16" i="95"/>
  <c r="BC16" i="95"/>
  <c r="BB16" i="95"/>
  <c r="BA16" i="95"/>
  <c r="AZ16" i="95"/>
  <c r="AY16" i="95"/>
  <c r="AX16" i="95"/>
  <c r="AW16" i="95"/>
  <c r="AV16" i="95"/>
  <c r="AU16" i="95"/>
  <c r="AT16" i="95"/>
  <c r="AS16" i="95"/>
  <c r="AR16" i="95"/>
  <c r="AQ16" i="95"/>
  <c r="AP16" i="95"/>
  <c r="AO16" i="95"/>
  <c r="AN16" i="95"/>
  <c r="AM16" i="95"/>
  <c r="AL16" i="95"/>
  <c r="AK16" i="95"/>
  <c r="AJ16" i="95"/>
  <c r="BG15" i="95"/>
  <c r="BF15" i="95"/>
  <c r="BE15" i="95"/>
  <c r="BD15" i="95"/>
  <c r="BC15" i="95"/>
  <c r="BB15" i="95"/>
  <c r="BA15" i="95"/>
  <c r="AZ15" i="95"/>
  <c r="AY15" i="95"/>
  <c r="AX15" i="95"/>
  <c r="AW15" i="95"/>
  <c r="AV15" i="95"/>
  <c r="AU15" i="95"/>
  <c r="AT15" i="95"/>
  <c r="AS15" i="95"/>
  <c r="AR15" i="95"/>
  <c r="AQ15" i="95"/>
  <c r="AP15" i="95"/>
  <c r="AO15" i="95"/>
  <c r="AN15" i="95"/>
  <c r="AM15" i="95"/>
  <c r="AL15" i="95"/>
  <c r="AK15" i="95"/>
  <c r="AJ15" i="95"/>
  <c r="BL14" i="95"/>
  <c r="BK14" i="95"/>
  <c r="BJ14" i="95"/>
  <c r="BI14" i="95"/>
  <c r="BH14" i="95"/>
  <c r="BG14" i="95"/>
  <c r="BF14" i="95"/>
  <c r="BE14" i="95"/>
  <c r="BD14" i="95"/>
  <c r="BC14" i="95"/>
  <c r="BB14" i="95"/>
  <c r="BA14" i="95"/>
  <c r="AZ14" i="95"/>
  <c r="AY14" i="95"/>
  <c r="AX14" i="95"/>
  <c r="AW14" i="95"/>
  <c r="AV14" i="95"/>
  <c r="AU14" i="95"/>
  <c r="AT14" i="95"/>
  <c r="AS14" i="95"/>
  <c r="AR14" i="95"/>
  <c r="AQ14" i="95"/>
  <c r="AP14" i="95"/>
  <c r="AO14" i="95"/>
  <c r="AN14" i="95"/>
  <c r="AM14" i="95"/>
  <c r="AL14" i="95"/>
  <c r="BL13" i="95"/>
  <c r="BK13" i="95"/>
  <c r="BJ13" i="95"/>
  <c r="BI13" i="95"/>
  <c r="BH13" i="95"/>
  <c r="BG13" i="95"/>
  <c r="BF13" i="95"/>
  <c r="BE13" i="95"/>
  <c r="BD13" i="95"/>
  <c r="BA13" i="95"/>
  <c r="AZ13" i="95"/>
  <c r="AY13" i="95"/>
  <c r="AX13" i="95"/>
  <c r="AW13" i="95"/>
  <c r="AV13" i="95"/>
  <c r="AU13" i="95"/>
  <c r="AT13" i="95"/>
  <c r="AS13" i="95"/>
  <c r="AR13" i="95"/>
  <c r="AQ13" i="95"/>
  <c r="AP13" i="95"/>
  <c r="AO13" i="95"/>
  <c r="AN13" i="95"/>
  <c r="AM13" i="95"/>
  <c r="AL13" i="95"/>
  <c r="BG44" i="96"/>
  <c r="BF44" i="96"/>
  <c r="BE44" i="96"/>
  <c r="BD44" i="96"/>
  <c r="BC44" i="96"/>
  <c r="BB44" i="96"/>
  <c r="BA44" i="96"/>
  <c r="AZ44" i="96"/>
  <c r="AY44" i="96"/>
  <c r="AX44" i="96"/>
  <c r="AW44" i="96"/>
  <c r="AV44" i="96"/>
  <c r="AU44" i="96"/>
  <c r="AT44" i="96"/>
  <c r="AS44" i="96"/>
  <c r="AR44" i="96"/>
  <c r="AQ44" i="96"/>
  <c r="AP44" i="96"/>
  <c r="AO44" i="96"/>
  <c r="AN44" i="96"/>
  <c r="AM44" i="96"/>
  <c r="AL44" i="96"/>
  <c r="AK44" i="96"/>
  <c r="AJ44" i="96"/>
  <c r="BG43" i="96"/>
  <c r="BF43" i="96"/>
  <c r="BE43" i="96"/>
  <c r="BD43" i="96"/>
  <c r="BC43" i="96"/>
  <c r="BB43" i="96"/>
  <c r="BA43" i="96"/>
  <c r="AZ43" i="96"/>
  <c r="AY43" i="96"/>
  <c r="AX43" i="96"/>
  <c r="AW43" i="96"/>
  <c r="AV43" i="96"/>
  <c r="AU43" i="96"/>
  <c r="AT43" i="96"/>
  <c r="AS43" i="96"/>
  <c r="AR43" i="96"/>
  <c r="AQ43" i="96"/>
  <c r="AP43" i="96"/>
  <c r="AO43" i="96"/>
  <c r="AN43" i="96"/>
  <c r="AM43" i="96"/>
  <c r="AL43" i="96"/>
  <c r="AK43" i="96"/>
  <c r="AJ43" i="96"/>
  <c r="BG42" i="96"/>
  <c r="BF42" i="96"/>
  <c r="BE42" i="96"/>
  <c r="BD42" i="96"/>
  <c r="BC42" i="96"/>
  <c r="BB42" i="96"/>
  <c r="BA42" i="96"/>
  <c r="AZ42" i="96"/>
  <c r="AY42" i="96"/>
  <c r="AX42" i="96"/>
  <c r="AW42" i="96"/>
  <c r="AV42" i="96"/>
  <c r="AU42" i="96"/>
  <c r="AT42" i="96"/>
  <c r="AS42" i="96"/>
  <c r="AR42" i="96"/>
  <c r="AQ42" i="96"/>
  <c r="AP42" i="96"/>
  <c r="AO42" i="96"/>
  <c r="AN42" i="96"/>
  <c r="AM42" i="96"/>
  <c r="AL42" i="96"/>
  <c r="AK42" i="96"/>
  <c r="AJ42" i="96"/>
  <c r="BG41" i="96"/>
  <c r="BF41" i="96"/>
  <c r="BE41" i="96"/>
  <c r="BD41" i="96"/>
  <c r="BC41" i="96"/>
  <c r="BB41" i="96"/>
  <c r="BA41" i="96"/>
  <c r="AZ41" i="96"/>
  <c r="AY41" i="96"/>
  <c r="AX41" i="96"/>
  <c r="AW41" i="96"/>
  <c r="AV41" i="96"/>
  <c r="AU41" i="96"/>
  <c r="AT41" i="96"/>
  <c r="AS41" i="96"/>
  <c r="AR41" i="96"/>
  <c r="AQ41" i="96"/>
  <c r="AP41" i="96"/>
  <c r="AO41" i="96"/>
  <c r="AN41" i="96"/>
  <c r="AM41" i="96"/>
  <c r="AL41" i="96"/>
  <c r="AK41" i="96"/>
  <c r="AJ41" i="96"/>
  <c r="BG40" i="96"/>
  <c r="BF40" i="96"/>
  <c r="BE40" i="96"/>
  <c r="BD40" i="96"/>
  <c r="BC40" i="96"/>
  <c r="BB40" i="96"/>
  <c r="BA40" i="96"/>
  <c r="AZ40" i="96"/>
  <c r="AY40" i="96"/>
  <c r="AX40" i="96"/>
  <c r="AW40" i="96"/>
  <c r="AV40" i="96"/>
  <c r="AU40" i="96"/>
  <c r="AT40" i="96"/>
  <c r="AS40" i="96"/>
  <c r="AR40" i="96"/>
  <c r="AQ40" i="96"/>
  <c r="AP40" i="96"/>
  <c r="AO40" i="96"/>
  <c r="AN40" i="96"/>
  <c r="AM40" i="96"/>
  <c r="AL40" i="96"/>
  <c r="AK40" i="96"/>
  <c r="AJ40" i="96"/>
  <c r="BG39" i="96"/>
  <c r="BF39" i="96"/>
  <c r="BE39" i="96"/>
  <c r="BD39" i="96"/>
  <c r="BC39" i="96"/>
  <c r="BB39" i="96"/>
  <c r="BA39" i="96"/>
  <c r="AZ39" i="96"/>
  <c r="AY39" i="96"/>
  <c r="AX39" i="96"/>
  <c r="AW39" i="96"/>
  <c r="AV39" i="96"/>
  <c r="AU39" i="96"/>
  <c r="AT39" i="96"/>
  <c r="AS39" i="96"/>
  <c r="AR39" i="96"/>
  <c r="AQ39" i="96"/>
  <c r="AP39" i="96"/>
  <c r="AO39" i="96"/>
  <c r="AN39" i="96"/>
  <c r="AM39" i="96"/>
  <c r="AL39" i="96"/>
  <c r="AK39" i="96"/>
  <c r="AJ39" i="96"/>
  <c r="BG38" i="96"/>
  <c r="BF38" i="96"/>
  <c r="BE38" i="96"/>
  <c r="BD38" i="96"/>
  <c r="BC38" i="96"/>
  <c r="BB38" i="96"/>
  <c r="BA38" i="96"/>
  <c r="AZ38" i="96"/>
  <c r="AY38" i="96"/>
  <c r="AX38" i="96"/>
  <c r="AW38" i="96"/>
  <c r="AV38" i="96"/>
  <c r="AU38" i="96"/>
  <c r="AT38" i="96"/>
  <c r="AS38" i="96"/>
  <c r="AR38" i="96"/>
  <c r="AQ38" i="96"/>
  <c r="AP38" i="96"/>
  <c r="AO38" i="96"/>
  <c r="AN38" i="96"/>
  <c r="AM38" i="96"/>
  <c r="AL38" i="96"/>
  <c r="AK38" i="96"/>
  <c r="AJ38" i="96"/>
  <c r="BG37" i="96"/>
  <c r="BF37" i="96"/>
  <c r="BE37" i="96"/>
  <c r="BD37" i="96"/>
  <c r="BC37" i="96"/>
  <c r="BB37" i="96"/>
  <c r="BA37" i="96"/>
  <c r="AZ37" i="96"/>
  <c r="AY37" i="96"/>
  <c r="AX37" i="96"/>
  <c r="AW37" i="96"/>
  <c r="AV37" i="96"/>
  <c r="AU37" i="96"/>
  <c r="AT37" i="96"/>
  <c r="AS37" i="96"/>
  <c r="AR37" i="96"/>
  <c r="AQ37" i="96"/>
  <c r="AP37" i="96"/>
  <c r="AO37" i="96"/>
  <c r="AN37" i="96"/>
  <c r="AM37" i="96"/>
  <c r="AL37" i="96"/>
  <c r="AK37" i="96"/>
  <c r="AJ37" i="96"/>
  <c r="BG36" i="96"/>
  <c r="BF36" i="96"/>
  <c r="BE36" i="96"/>
  <c r="BD36" i="96"/>
  <c r="BC36" i="96"/>
  <c r="BB36" i="96"/>
  <c r="BA36" i="96"/>
  <c r="AZ36" i="96"/>
  <c r="AY36" i="96"/>
  <c r="AX36" i="96"/>
  <c r="AW36" i="96"/>
  <c r="AV36" i="96"/>
  <c r="AU36" i="96"/>
  <c r="AT36" i="96"/>
  <c r="AS36" i="96"/>
  <c r="AR36" i="96"/>
  <c r="AQ36" i="96"/>
  <c r="AP36" i="96"/>
  <c r="AO36" i="96"/>
  <c r="AN36" i="96"/>
  <c r="AM36" i="96"/>
  <c r="AL36" i="96"/>
  <c r="AK36" i="96"/>
  <c r="AJ36" i="96"/>
  <c r="BG35" i="96"/>
  <c r="BF35" i="96"/>
  <c r="BE35" i="96"/>
  <c r="BD35" i="96"/>
  <c r="BC35" i="96"/>
  <c r="BB35" i="96"/>
  <c r="BA35" i="96"/>
  <c r="AZ35" i="96"/>
  <c r="AY35" i="96"/>
  <c r="AX35" i="96"/>
  <c r="AW35" i="96"/>
  <c r="AV35" i="96"/>
  <c r="AU35" i="96"/>
  <c r="AT35" i="96"/>
  <c r="AS35" i="96"/>
  <c r="AR35" i="96"/>
  <c r="AQ35" i="96"/>
  <c r="AP35" i="96"/>
  <c r="AO35" i="96"/>
  <c r="AN35" i="96"/>
  <c r="AM35" i="96"/>
  <c r="AL35" i="96"/>
  <c r="AK35" i="96"/>
  <c r="AJ35" i="96"/>
  <c r="BG34" i="96"/>
  <c r="BF34" i="96"/>
  <c r="BE34" i="96"/>
  <c r="BD34" i="96"/>
  <c r="BC34" i="96"/>
  <c r="BB34" i="96"/>
  <c r="BA34" i="96"/>
  <c r="AZ34" i="96"/>
  <c r="AY34" i="96"/>
  <c r="AX34" i="96"/>
  <c r="AW34" i="96"/>
  <c r="AV34" i="96"/>
  <c r="AU34" i="96"/>
  <c r="AT34" i="96"/>
  <c r="AS34" i="96"/>
  <c r="AR34" i="96"/>
  <c r="AQ34" i="96"/>
  <c r="AP34" i="96"/>
  <c r="AO34" i="96"/>
  <c r="AN34" i="96"/>
  <c r="AM34" i="96"/>
  <c r="AL34" i="96"/>
  <c r="AK34" i="96"/>
  <c r="AJ34" i="96"/>
  <c r="BG33" i="96"/>
  <c r="BF33" i="96"/>
  <c r="BE33" i="96"/>
  <c r="BD33" i="96"/>
  <c r="BC33" i="96"/>
  <c r="BB33" i="96"/>
  <c r="BA33" i="96"/>
  <c r="AZ33" i="96"/>
  <c r="AY33" i="96"/>
  <c r="AX33" i="96"/>
  <c r="AW33" i="96"/>
  <c r="AV33" i="96"/>
  <c r="AU33" i="96"/>
  <c r="AT33" i="96"/>
  <c r="AS33" i="96"/>
  <c r="AR33" i="96"/>
  <c r="AQ33" i="96"/>
  <c r="AP33" i="96"/>
  <c r="AO33" i="96"/>
  <c r="AN33" i="96"/>
  <c r="AM33" i="96"/>
  <c r="AL33" i="96"/>
  <c r="AK33" i="96"/>
  <c r="AJ33" i="96"/>
  <c r="BG32" i="96"/>
  <c r="BF32" i="96"/>
  <c r="BE32" i="96"/>
  <c r="BD32" i="96"/>
  <c r="BC32" i="96"/>
  <c r="BB32" i="96"/>
  <c r="BA32" i="96"/>
  <c r="AZ32" i="96"/>
  <c r="AY32" i="96"/>
  <c r="AX32" i="96"/>
  <c r="AW32" i="96"/>
  <c r="AV32" i="96"/>
  <c r="AU32" i="96"/>
  <c r="AT32" i="96"/>
  <c r="AS32" i="96"/>
  <c r="AR32" i="96"/>
  <c r="AQ32" i="96"/>
  <c r="AP32" i="96"/>
  <c r="AO32" i="96"/>
  <c r="AN32" i="96"/>
  <c r="AM32" i="96"/>
  <c r="AL32" i="96"/>
  <c r="AK32" i="96"/>
  <c r="AJ32" i="96"/>
  <c r="BG31" i="96"/>
  <c r="BF31" i="96"/>
  <c r="BE31" i="96"/>
  <c r="BD31" i="96"/>
  <c r="BC31" i="96"/>
  <c r="BB31" i="96"/>
  <c r="BA31" i="96"/>
  <c r="AZ31" i="96"/>
  <c r="AY31" i="96"/>
  <c r="AX31" i="96"/>
  <c r="AW31" i="96"/>
  <c r="AV31" i="96"/>
  <c r="AU31" i="96"/>
  <c r="AT31" i="96"/>
  <c r="AS31" i="96"/>
  <c r="AR31" i="96"/>
  <c r="AQ31" i="96"/>
  <c r="AP31" i="96"/>
  <c r="AO31" i="96"/>
  <c r="AN31" i="96"/>
  <c r="AM31" i="96"/>
  <c r="AL31" i="96"/>
  <c r="AK31" i="96"/>
  <c r="AJ31" i="96"/>
  <c r="BG30" i="96"/>
  <c r="BF30" i="96"/>
  <c r="BE30" i="96"/>
  <c r="BD30" i="96"/>
  <c r="BC30" i="96"/>
  <c r="BB30" i="96"/>
  <c r="BA30" i="96"/>
  <c r="AZ30" i="96"/>
  <c r="AY30" i="96"/>
  <c r="AX30" i="96"/>
  <c r="AW30" i="96"/>
  <c r="AV30" i="96"/>
  <c r="AU30" i="96"/>
  <c r="AT30" i="96"/>
  <c r="AS30" i="96"/>
  <c r="AR30" i="96"/>
  <c r="AQ30" i="96"/>
  <c r="AP30" i="96"/>
  <c r="AO30" i="96"/>
  <c r="AN30" i="96"/>
  <c r="AM30" i="96"/>
  <c r="AL30" i="96"/>
  <c r="AK30" i="96"/>
  <c r="AJ30" i="96"/>
  <c r="BG29" i="96"/>
  <c r="BF29" i="96"/>
  <c r="BE29" i="96"/>
  <c r="BD29" i="96"/>
  <c r="BC29" i="96"/>
  <c r="BB29" i="96"/>
  <c r="BA29" i="96"/>
  <c r="AZ29" i="96"/>
  <c r="AY29" i="96"/>
  <c r="AX29" i="96"/>
  <c r="AW29" i="96"/>
  <c r="AV29" i="96"/>
  <c r="AU29" i="96"/>
  <c r="AT29" i="96"/>
  <c r="AS29" i="96"/>
  <c r="AR29" i="96"/>
  <c r="AQ29" i="96"/>
  <c r="AP29" i="96"/>
  <c r="AO29" i="96"/>
  <c r="AN29" i="96"/>
  <c r="AM29" i="96"/>
  <c r="AL29" i="96"/>
  <c r="AK29" i="96"/>
  <c r="AJ29" i="96"/>
  <c r="BG28" i="96"/>
  <c r="BF28" i="96"/>
  <c r="BE28" i="96"/>
  <c r="BD28" i="96"/>
  <c r="BC28" i="96"/>
  <c r="BB28" i="96"/>
  <c r="BA28" i="96"/>
  <c r="AZ28" i="96"/>
  <c r="AY28" i="96"/>
  <c r="AX28" i="96"/>
  <c r="AW28" i="96"/>
  <c r="AV28" i="96"/>
  <c r="AU28" i="96"/>
  <c r="AT28" i="96"/>
  <c r="AS28" i="96"/>
  <c r="AR28" i="96"/>
  <c r="AQ28" i="96"/>
  <c r="AP28" i="96"/>
  <c r="AO28" i="96"/>
  <c r="AN28" i="96"/>
  <c r="AM28" i="96"/>
  <c r="AL28" i="96"/>
  <c r="AK28" i="96"/>
  <c r="AJ28" i="96"/>
  <c r="BG27" i="96"/>
  <c r="BF27" i="96"/>
  <c r="BE27" i="96"/>
  <c r="BD27" i="96"/>
  <c r="BC27" i="96"/>
  <c r="BB27" i="96"/>
  <c r="BA27" i="96"/>
  <c r="AZ27" i="96"/>
  <c r="AY27" i="96"/>
  <c r="AX27" i="96"/>
  <c r="AW27" i="96"/>
  <c r="AV27" i="96"/>
  <c r="AU27" i="96"/>
  <c r="AT27" i="96"/>
  <c r="AS27" i="96"/>
  <c r="AR27" i="96"/>
  <c r="AQ27" i="96"/>
  <c r="AP27" i="96"/>
  <c r="AO27" i="96"/>
  <c r="AN27" i="96"/>
  <c r="AM27" i="96"/>
  <c r="AL27" i="96"/>
  <c r="AK27" i="96"/>
  <c r="AJ27" i="96"/>
  <c r="BG26" i="96"/>
  <c r="BF26" i="96"/>
  <c r="BE26" i="96"/>
  <c r="BD26" i="96"/>
  <c r="BC26" i="96"/>
  <c r="BB26" i="96"/>
  <c r="BA26" i="96"/>
  <c r="AZ26" i="96"/>
  <c r="AY26" i="96"/>
  <c r="AX26" i="96"/>
  <c r="AW26" i="96"/>
  <c r="AV26" i="96"/>
  <c r="AU26" i="96"/>
  <c r="AT26" i="96"/>
  <c r="AS26" i="96"/>
  <c r="AR26" i="96"/>
  <c r="AQ26" i="96"/>
  <c r="AP26" i="96"/>
  <c r="AO26" i="96"/>
  <c r="AN26" i="96"/>
  <c r="AM26" i="96"/>
  <c r="AL26" i="96"/>
  <c r="AK26" i="96"/>
  <c r="AJ26" i="96"/>
  <c r="BG25" i="96"/>
  <c r="BF25" i="96"/>
  <c r="BE25" i="96"/>
  <c r="BD25" i="96"/>
  <c r="BC25" i="96"/>
  <c r="BB25" i="96"/>
  <c r="BA25" i="96"/>
  <c r="AZ25" i="96"/>
  <c r="AY25" i="96"/>
  <c r="AX25" i="96"/>
  <c r="AW25" i="96"/>
  <c r="AV25" i="96"/>
  <c r="AU25" i="96"/>
  <c r="AT25" i="96"/>
  <c r="AS25" i="96"/>
  <c r="AR25" i="96"/>
  <c r="AQ25" i="96"/>
  <c r="AP25" i="96"/>
  <c r="AO25" i="96"/>
  <c r="AN25" i="96"/>
  <c r="AM25" i="96"/>
  <c r="AL25" i="96"/>
  <c r="AK25" i="96"/>
  <c r="AJ25" i="96"/>
  <c r="BG24" i="96"/>
  <c r="BF24" i="96"/>
  <c r="BE24" i="96"/>
  <c r="BD24" i="96"/>
  <c r="BC24" i="96"/>
  <c r="BB24" i="96"/>
  <c r="BA24" i="96"/>
  <c r="AZ24" i="96"/>
  <c r="AY24" i="96"/>
  <c r="AX24" i="96"/>
  <c r="AW24" i="96"/>
  <c r="AV24" i="96"/>
  <c r="AU24" i="96"/>
  <c r="AT24" i="96"/>
  <c r="AS24" i="96"/>
  <c r="AR24" i="96"/>
  <c r="AQ24" i="96"/>
  <c r="AP24" i="96"/>
  <c r="AO24" i="96"/>
  <c r="AN24" i="96"/>
  <c r="AM24" i="96"/>
  <c r="AL24" i="96"/>
  <c r="AK24" i="96"/>
  <c r="AJ24" i="96"/>
  <c r="BG23" i="96"/>
  <c r="BF23" i="96"/>
  <c r="BE23" i="96"/>
  <c r="BD23" i="96"/>
  <c r="BC23" i="96"/>
  <c r="BB23" i="96"/>
  <c r="BA23" i="96"/>
  <c r="AZ23" i="96"/>
  <c r="AY23" i="96"/>
  <c r="AX23" i="96"/>
  <c r="AW23" i="96"/>
  <c r="AV23" i="96"/>
  <c r="AU23" i="96"/>
  <c r="AT23" i="96"/>
  <c r="AS23" i="96"/>
  <c r="AR23" i="96"/>
  <c r="AQ23" i="96"/>
  <c r="AP23" i="96"/>
  <c r="AO23" i="96"/>
  <c r="AN23" i="96"/>
  <c r="AM23" i="96"/>
  <c r="AL23" i="96"/>
  <c r="AK23" i="96"/>
  <c r="AJ23" i="96"/>
  <c r="BG22" i="96"/>
  <c r="BF22" i="96"/>
  <c r="BE22" i="96"/>
  <c r="BD22" i="96"/>
  <c r="BC22" i="96"/>
  <c r="BB22" i="96"/>
  <c r="BA22" i="96"/>
  <c r="AZ22" i="96"/>
  <c r="AY22" i="96"/>
  <c r="AX22" i="96"/>
  <c r="AW22" i="96"/>
  <c r="AV22" i="96"/>
  <c r="AU22" i="96"/>
  <c r="AT22" i="96"/>
  <c r="AS22" i="96"/>
  <c r="AR22" i="96"/>
  <c r="AQ22" i="96"/>
  <c r="AP22" i="96"/>
  <c r="AO22" i="96"/>
  <c r="AN22" i="96"/>
  <c r="AM22" i="96"/>
  <c r="AL22" i="96"/>
  <c r="AK22" i="96"/>
  <c r="AJ22" i="96"/>
  <c r="BG21" i="96"/>
  <c r="BF21" i="96"/>
  <c r="BE21" i="96"/>
  <c r="BD21" i="96"/>
  <c r="BC21" i="96"/>
  <c r="BB21" i="96"/>
  <c r="BA21" i="96"/>
  <c r="AZ21" i="96"/>
  <c r="AY21" i="96"/>
  <c r="AX21" i="96"/>
  <c r="AW21" i="96"/>
  <c r="AV21" i="96"/>
  <c r="AU21" i="96"/>
  <c r="AT21" i="96"/>
  <c r="AS21" i="96"/>
  <c r="AR21" i="96"/>
  <c r="AQ21" i="96"/>
  <c r="AP21" i="96"/>
  <c r="AO21" i="96"/>
  <c r="AN21" i="96"/>
  <c r="AM21" i="96"/>
  <c r="AL21" i="96"/>
  <c r="AK21" i="96"/>
  <c r="AJ21" i="96"/>
  <c r="BG20" i="96"/>
  <c r="BF20" i="96"/>
  <c r="BE20" i="96"/>
  <c r="BD20" i="96"/>
  <c r="BC20" i="96"/>
  <c r="BB20" i="96"/>
  <c r="BA20" i="96"/>
  <c r="AZ20" i="96"/>
  <c r="AY20" i="96"/>
  <c r="AX20" i="96"/>
  <c r="AW20" i="96"/>
  <c r="AV20" i="96"/>
  <c r="AU20" i="96"/>
  <c r="AT20" i="96"/>
  <c r="AS20" i="96"/>
  <c r="AR20" i="96"/>
  <c r="AQ20" i="96"/>
  <c r="AP20" i="96"/>
  <c r="AO20" i="96"/>
  <c r="AN20" i="96"/>
  <c r="AM20" i="96"/>
  <c r="AL20" i="96"/>
  <c r="AK20" i="96"/>
  <c r="AJ20" i="96"/>
  <c r="BG19" i="96"/>
  <c r="BF19" i="96"/>
  <c r="BE19" i="96"/>
  <c r="BD19" i="96"/>
  <c r="BC19" i="96"/>
  <c r="BB19" i="96"/>
  <c r="BA19" i="96"/>
  <c r="AZ19" i="96"/>
  <c r="AY19" i="96"/>
  <c r="AX19" i="96"/>
  <c r="AW19" i="96"/>
  <c r="AV19" i="96"/>
  <c r="AU19" i="96"/>
  <c r="AT19" i="96"/>
  <c r="AS19" i="96"/>
  <c r="AR19" i="96"/>
  <c r="AQ19" i="96"/>
  <c r="AP19" i="96"/>
  <c r="AO19" i="96"/>
  <c r="AN19" i="96"/>
  <c r="AM19" i="96"/>
  <c r="AL19" i="96"/>
  <c r="AK19" i="96"/>
  <c r="AJ19" i="96"/>
  <c r="BG18" i="96"/>
  <c r="BF18" i="96"/>
  <c r="BE18" i="96"/>
  <c r="BD18" i="96"/>
  <c r="BC18" i="96"/>
  <c r="BB18" i="96"/>
  <c r="BA18" i="96"/>
  <c r="AZ18" i="96"/>
  <c r="AY18" i="96"/>
  <c r="AX18" i="96"/>
  <c r="AW18" i="96"/>
  <c r="AV18" i="96"/>
  <c r="AU18" i="96"/>
  <c r="AT18" i="96"/>
  <c r="AS18" i="96"/>
  <c r="AR18" i="96"/>
  <c r="AQ18" i="96"/>
  <c r="AP18" i="96"/>
  <c r="AO18" i="96"/>
  <c r="AN18" i="96"/>
  <c r="AM18" i="96"/>
  <c r="AL18" i="96"/>
  <c r="AK18" i="96"/>
  <c r="AJ18" i="96"/>
  <c r="BG17" i="96"/>
  <c r="BF17" i="96"/>
  <c r="BE17" i="96"/>
  <c r="BD17" i="96"/>
  <c r="BC17" i="96"/>
  <c r="BB17" i="96"/>
  <c r="BA17" i="96"/>
  <c r="AZ17" i="96"/>
  <c r="AY17" i="96"/>
  <c r="AX17" i="96"/>
  <c r="AW17" i="96"/>
  <c r="AV17" i="96"/>
  <c r="AU17" i="96"/>
  <c r="AT17" i="96"/>
  <c r="AS17" i="96"/>
  <c r="AR17" i="96"/>
  <c r="AQ17" i="96"/>
  <c r="AP17" i="96"/>
  <c r="AO17" i="96"/>
  <c r="AN17" i="96"/>
  <c r="AM17" i="96"/>
  <c r="AL17" i="96"/>
  <c r="AK17" i="96"/>
  <c r="AJ17" i="96"/>
  <c r="BG16" i="96"/>
  <c r="BF16" i="96"/>
  <c r="BE16" i="96"/>
  <c r="BD16" i="96"/>
  <c r="BC16" i="96"/>
  <c r="BB16" i="96"/>
  <c r="BA16" i="96"/>
  <c r="AZ16" i="96"/>
  <c r="AY16" i="96"/>
  <c r="AX16" i="96"/>
  <c r="AW16" i="96"/>
  <c r="AV16" i="96"/>
  <c r="AU16" i="96"/>
  <c r="AT16" i="96"/>
  <c r="AS16" i="96"/>
  <c r="AR16" i="96"/>
  <c r="AQ16" i="96"/>
  <c r="AP16" i="96"/>
  <c r="AO16" i="96"/>
  <c r="AN16" i="96"/>
  <c r="AM16" i="96"/>
  <c r="AL16" i="96"/>
  <c r="AK16" i="96"/>
  <c r="AJ16" i="96"/>
  <c r="BG15" i="96"/>
  <c r="BF15" i="96"/>
  <c r="BE15" i="96"/>
  <c r="BD15" i="96"/>
  <c r="BC15" i="96"/>
  <c r="BB15" i="96"/>
  <c r="BA15" i="96"/>
  <c r="AZ15" i="96"/>
  <c r="AY15" i="96"/>
  <c r="AX15" i="96"/>
  <c r="AW15" i="96"/>
  <c r="AV15" i="96"/>
  <c r="AU15" i="96"/>
  <c r="AT15" i="96"/>
  <c r="AS15" i="96"/>
  <c r="AR15" i="96"/>
  <c r="AQ15" i="96"/>
  <c r="AP15" i="96"/>
  <c r="AO15" i="96"/>
  <c r="AN15" i="96"/>
  <c r="AM15" i="96"/>
  <c r="AL15" i="96"/>
  <c r="AK15" i="96"/>
  <c r="AJ15" i="96"/>
  <c r="BL14" i="96"/>
  <c r="BK14" i="96"/>
  <c r="BJ14" i="96"/>
  <c r="BI14" i="96"/>
  <c r="BH14" i="96"/>
  <c r="BG14" i="96"/>
  <c r="BF14" i="96"/>
  <c r="BE14" i="96"/>
  <c r="BD14" i="96"/>
  <c r="BC14" i="96"/>
  <c r="BB14" i="96"/>
  <c r="BA14" i="96"/>
  <c r="AZ14" i="96"/>
  <c r="AY14" i="96"/>
  <c r="AX14" i="96"/>
  <c r="AW14" i="96"/>
  <c r="AV14" i="96"/>
  <c r="AU14" i="96"/>
  <c r="AT14" i="96"/>
  <c r="AS14" i="96"/>
  <c r="AR14" i="96"/>
  <c r="AQ14" i="96"/>
  <c r="AP14" i="96"/>
  <c r="AO14" i="96"/>
  <c r="AN14" i="96"/>
  <c r="AM14" i="96"/>
  <c r="AL14" i="96"/>
  <c r="BL13" i="96"/>
  <c r="BK13" i="96"/>
  <c r="BJ13" i="96"/>
  <c r="BI13" i="96"/>
  <c r="BH13" i="96"/>
  <c r="BG13" i="96"/>
  <c r="BF13" i="96"/>
  <c r="BE13" i="96"/>
  <c r="BD13" i="96"/>
  <c r="BA13" i="96"/>
  <c r="AZ13" i="96"/>
  <c r="AY13" i="96"/>
  <c r="AX13" i="96"/>
  <c r="AW13" i="96"/>
  <c r="AV13" i="96"/>
  <c r="AU13" i="96"/>
  <c r="AT13" i="96"/>
  <c r="AS13" i="96"/>
  <c r="AR13" i="96"/>
  <c r="AQ13" i="96"/>
  <c r="AP13" i="96"/>
  <c r="AO13" i="96"/>
  <c r="AN13" i="96"/>
  <c r="AM13" i="96"/>
  <c r="AL13" i="96"/>
  <c r="BG44" i="97"/>
  <c r="BF44" i="97"/>
  <c r="BE44" i="97"/>
  <c r="BD44" i="97"/>
  <c r="BC44" i="97"/>
  <c r="BB44" i="97"/>
  <c r="BA44" i="97"/>
  <c r="AZ44" i="97"/>
  <c r="AY44" i="97"/>
  <c r="AX44" i="97"/>
  <c r="AW44" i="97"/>
  <c r="AV44" i="97"/>
  <c r="AU44" i="97"/>
  <c r="AT44" i="97"/>
  <c r="AS44" i="97"/>
  <c r="AR44" i="97"/>
  <c r="AQ44" i="97"/>
  <c r="AP44" i="97"/>
  <c r="AO44" i="97"/>
  <c r="AN44" i="97"/>
  <c r="AM44" i="97"/>
  <c r="AL44" i="97"/>
  <c r="AK44" i="97"/>
  <c r="AJ44" i="97"/>
  <c r="BG43" i="97"/>
  <c r="BF43" i="97"/>
  <c r="BE43" i="97"/>
  <c r="BD43" i="97"/>
  <c r="BC43" i="97"/>
  <c r="BB43" i="97"/>
  <c r="BA43" i="97"/>
  <c r="AZ43" i="97"/>
  <c r="AY43" i="97"/>
  <c r="AX43" i="97"/>
  <c r="AW43" i="97"/>
  <c r="AV43" i="97"/>
  <c r="AU43" i="97"/>
  <c r="AT43" i="97"/>
  <c r="AS43" i="97"/>
  <c r="AR43" i="97"/>
  <c r="AQ43" i="97"/>
  <c r="AP43" i="97"/>
  <c r="AO43" i="97"/>
  <c r="AN43" i="97"/>
  <c r="AM43" i="97"/>
  <c r="AL43" i="97"/>
  <c r="AK43" i="97"/>
  <c r="AJ43" i="97"/>
  <c r="BG42" i="97"/>
  <c r="BF42" i="97"/>
  <c r="BE42" i="97"/>
  <c r="BD42" i="97"/>
  <c r="BC42" i="97"/>
  <c r="BB42" i="97"/>
  <c r="BA42" i="97"/>
  <c r="AZ42" i="97"/>
  <c r="AY42" i="97"/>
  <c r="AX42" i="97"/>
  <c r="AW42" i="97"/>
  <c r="AV42" i="97"/>
  <c r="AU42" i="97"/>
  <c r="AT42" i="97"/>
  <c r="AS42" i="97"/>
  <c r="AR42" i="97"/>
  <c r="AQ42" i="97"/>
  <c r="AP42" i="97"/>
  <c r="AO42" i="97"/>
  <c r="AN42" i="97"/>
  <c r="AM42" i="97"/>
  <c r="AL42" i="97"/>
  <c r="AK42" i="97"/>
  <c r="AJ42" i="97"/>
  <c r="BG41" i="97"/>
  <c r="BF41" i="97"/>
  <c r="BE41" i="97"/>
  <c r="BD41" i="97"/>
  <c r="BC41" i="97"/>
  <c r="BB41" i="97"/>
  <c r="BA41" i="97"/>
  <c r="AZ41" i="97"/>
  <c r="AY41" i="97"/>
  <c r="AX41" i="97"/>
  <c r="AW41" i="97"/>
  <c r="AV41" i="97"/>
  <c r="AU41" i="97"/>
  <c r="AT41" i="97"/>
  <c r="AS41" i="97"/>
  <c r="AR41" i="97"/>
  <c r="AQ41" i="97"/>
  <c r="AP41" i="97"/>
  <c r="AO41" i="97"/>
  <c r="AN41" i="97"/>
  <c r="AM41" i="97"/>
  <c r="AL41" i="97"/>
  <c r="AK41" i="97"/>
  <c r="AJ41" i="97"/>
  <c r="BG40" i="97"/>
  <c r="BF40" i="97"/>
  <c r="BE40" i="97"/>
  <c r="BD40" i="97"/>
  <c r="BC40" i="97"/>
  <c r="BB40" i="97"/>
  <c r="BA40" i="97"/>
  <c r="AZ40" i="97"/>
  <c r="AY40" i="97"/>
  <c r="AX40" i="97"/>
  <c r="AW40" i="97"/>
  <c r="AV40" i="97"/>
  <c r="AU40" i="97"/>
  <c r="AT40" i="97"/>
  <c r="AS40" i="97"/>
  <c r="AR40" i="97"/>
  <c r="AQ40" i="97"/>
  <c r="AP40" i="97"/>
  <c r="AO40" i="97"/>
  <c r="AN40" i="97"/>
  <c r="AM40" i="97"/>
  <c r="AL40" i="97"/>
  <c r="AK40" i="97"/>
  <c r="AJ40" i="97"/>
  <c r="BG39" i="97"/>
  <c r="BF39" i="97"/>
  <c r="BE39" i="97"/>
  <c r="BD39" i="97"/>
  <c r="BC39" i="97"/>
  <c r="BB39" i="97"/>
  <c r="BA39" i="97"/>
  <c r="AZ39" i="97"/>
  <c r="AY39" i="97"/>
  <c r="AX39" i="97"/>
  <c r="AW39" i="97"/>
  <c r="AV39" i="97"/>
  <c r="AU39" i="97"/>
  <c r="AT39" i="97"/>
  <c r="AS39" i="97"/>
  <c r="AR39" i="97"/>
  <c r="AQ39" i="97"/>
  <c r="AP39" i="97"/>
  <c r="AO39" i="97"/>
  <c r="AN39" i="97"/>
  <c r="AM39" i="97"/>
  <c r="AL39" i="97"/>
  <c r="AK39" i="97"/>
  <c r="AJ39" i="97"/>
  <c r="BG38" i="97"/>
  <c r="BF38" i="97"/>
  <c r="BE38" i="97"/>
  <c r="BD38" i="97"/>
  <c r="BC38" i="97"/>
  <c r="BB38" i="97"/>
  <c r="BA38" i="97"/>
  <c r="AZ38" i="97"/>
  <c r="AY38" i="97"/>
  <c r="AX38" i="97"/>
  <c r="AW38" i="97"/>
  <c r="AV38" i="97"/>
  <c r="AU38" i="97"/>
  <c r="AT38" i="97"/>
  <c r="AS38" i="97"/>
  <c r="AR38" i="97"/>
  <c r="AQ38" i="97"/>
  <c r="AP38" i="97"/>
  <c r="AO38" i="97"/>
  <c r="AN38" i="97"/>
  <c r="AM38" i="97"/>
  <c r="AL38" i="97"/>
  <c r="AK38" i="97"/>
  <c r="AJ38" i="97"/>
  <c r="BG37" i="97"/>
  <c r="BF37" i="97"/>
  <c r="BE37" i="97"/>
  <c r="BD37" i="97"/>
  <c r="BC37" i="97"/>
  <c r="BB37" i="97"/>
  <c r="BA37" i="97"/>
  <c r="AZ37" i="97"/>
  <c r="AY37" i="97"/>
  <c r="AX37" i="97"/>
  <c r="AW37" i="97"/>
  <c r="AV37" i="97"/>
  <c r="AU37" i="97"/>
  <c r="AT37" i="97"/>
  <c r="AS37" i="97"/>
  <c r="AR37" i="97"/>
  <c r="AQ37" i="97"/>
  <c r="AP37" i="97"/>
  <c r="AO37" i="97"/>
  <c r="AN37" i="97"/>
  <c r="AM37" i="97"/>
  <c r="AL37" i="97"/>
  <c r="AK37" i="97"/>
  <c r="AJ37" i="97"/>
  <c r="BG36" i="97"/>
  <c r="BF36" i="97"/>
  <c r="BE36" i="97"/>
  <c r="BD36" i="97"/>
  <c r="BC36" i="97"/>
  <c r="BB36" i="97"/>
  <c r="BA36" i="97"/>
  <c r="AZ36" i="97"/>
  <c r="AY36" i="97"/>
  <c r="AX36" i="97"/>
  <c r="AW36" i="97"/>
  <c r="AV36" i="97"/>
  <c r="AU36" i="97"/>
  <c r="AT36" i="97"/>
  <c r="AS36" i="97"/>
  <c r="AR36" i="97"/>
  <c r="AQ36" i="97"/>
  <c r="AP36" i="97"/>
  <c r="AO36" i="97"/>
  <c r="AN36" i="97"/>
  <c r="AM36" i="97"/>
  <c r="AL36" i="97"/>
  <c r="AK36" i="97"/>
  <c r="AJ36" i="97"/>
  <c r="BG35" i="97"/>
  <c r="BF35" i="97"/>
  <c r="BE35" i="97"/>
  <c r="BD35" i="97"/>
  <c r="BC35" i="97"/>
  <c r="BB35" i="97"/>
  <c r="BA35" i="97"/>
  <c r="AZ35" i="97"/>
  <c r="AY35" i="97"/>
  <c r="AX35" i="97"/>
  <c r="AW35" i="97"/>
  <c r="AV35" i="97"/>
  <c r="AU35" i="97"/>
  <c r="AT35" i="97"/>
  <c r="AS35" i="97"/>
  <c r="AR35" i="97"/>
  <c r="AQ35" i="97"/>
  <c r="AP35" i="97"/>
  <c r="AO35" i="97"/>
  <c r="AN35" i="97"/>
  <c r="AM35" i="97"/>
  <c r="AL35" i="97"/>
  <c r="AK35" i="97"/>
  <c r="AJ35" i="97"/>
  <c r="BG34" i="97"/>
  <c r="BF34" i="97"/>
  <c r="BE34" i="97"/>
  <c r="BD34" i="97"/>
  <c r="BC34" i="97"/>
  <c r="BB34" i="97"/>
  <c r="BA34" i="97"/>
  <c r="AZ34" i="97"/>
  <c r="AY34" i="97"/>
  <c r="AX34" i="97"/>
  <c r="AW34" i="97"/>
  <c r="AV34" i="97"/>
  <c r="AU34" i="97"/>
  <c r="AT34" i="97"/>
  <c r="AS34" i="97"/>
  <c r="AR34" i="97"/>
  <c r="AQ34" i="97"/>
  <c r="AP34" i="97"/>
  <c r="AO34" i="97"/>
  <c r="AN34" i="97"/>
  <c r="AM34" i="97"/>
  <c r="AL34" i="97"/>
  <c r="AK34" i="97"/>
  <c r="AJ34" i="97"/>
  <c r="BG33" i="97"/>
  <c r="BF33" i="97"/>
  <c r="BE33" i="97"/>
  <c r="BD33" i="97"/>
  <c r="BC33" i="97"/>
  <c r="BB33" i="97"/>
  <c r="BA33" i="97"/>
  <c r="AZ33" i="97"/>
  <c r="AY33" i="97"/>
  <c r="AX33" i="97"/>
  <c r="AW33" i="97"/>
  <c r="AV33" i="97"/>
  <c r="AU33" i="97"/>
  <c r="AT33" i="97"/>
  <c r="AS33" i="97"/>
  <c r="AR33" i="97"/>
  <c r="AQ33" i="97"/>
  <c r="AP33" i="97"/>
  <c r="AO33" i="97"/>
  <c r="AN33" i="97"/>
  <c r="AM33" i="97"/>
  <c r="AL33" i="97"/>
  <c r="AK33" i="97"/>
  <c r="AJ33" i="97"/>
  <c r="BG32" i="97"/>
  <c r="BF32" i="97"/>
  <c r="BE32" i="97"/>
  <c r="BD32" i="97"/>
  <c r="BC32" i="97"/>
  <c r="BB32" i="97"/>
  <c r="BA32" i="97"/>
  <c r="AZ32" i="97"/>
  <c r="AY32" i="97"/>
  <c r="AX32" i="97"/>
  <c r="AW32" i="97"/>
  <c r="AV32" i="97"/>
  <c r="AU32" i="97"/>
  <c r="AT32" i="97"/>
  <c r="AS32" i="97"/>
  <c r="AR32" i="97"/>
  <c r="AQ32" i="97"/>
  <c r="AP32" i="97"/>
  <c r="AO32" i="97"/>
  <c r="AN32" i="97"/>
  <c r="AM32" i="97"/>
  <c r="AL32" i="97"/>
  <c r="AK32" i="97"/>
  <c r="AJ32" i="97"/>
  <c r="BG31" i="97"/>
  <c r="BF31" i="97"/>
  <c r="BE31" i="97"/>
  <c r="BD31" i="97"/>
  <c r="BC31" i="97"/>
  <c r="BB31" i="97"/>
  <c r="BA31" i="97"/>
  <c r="AZ31" i="97"/>
  <c r="AY31" i="97"/>
  <c r="AX31" i="97"/>
  <c r="AW31" i="97"/>
  <c r="AV31" i="97"/>
  <c r="AU31" i="97"/>
  <c r="AT31" i="97"/>
  <c r="AS31" i="97"/>
  <c r="AR31" i="97"/>
  <c r="AQ31" i="97"/>
  <c r="AP31" i="97"/>
  <c r="AO31" i="97"/>
  <c r="AN31" i="97"/>
  <c r="AM31" i="97"/>
  <c r="AL31" i="97"/>
  <c r="AK31" i="97"/>
  <c r="AJ31" i="97"/>
  <c r="BG30" i="97"/>
  <c r="BF30" i="97"/>
  <c r="BE30" i="97"/>
  <c r="BD30" i="97"/>
  <c r="BC30" i="97"/>
  <c r="BB30" i="97"/>
  <c r="BA30" i="97"/>
  <c r="AZ30" i="97"/>
  <c r="AY30" i="97"/>
  <c r="AX30" i="97"/>
  <c r="AW30" i="97"/>
  <c r="AV30" i="97"/>
  <c r="AU30" i="97"/>
  <c r="AT30" i="97"/>
  <c r="AS30" i="97"/>
  <c r="AR30" i="97"/>
  <c r="AQ30" i="97"/>
  <c r="AP30" i="97"/>
  <c r="AO30" i="97"/>
  <c r="AN30" i="97"/>
  <c r="AM30" i="97"/>
  <c r="AL30" i="97"/>
  <c r="AK30" i="97"/>
  <c r="AJ30" i="97"/>
  <c r="BG29" i="97"/>
  <c r="BF29" i="97"/>
  <c r="BE29" i="97"/>
  <c r="BD29" i="97"/>
  <c r="BC29" i="97"/>
  <c r="BB29" i="97"/>
  <c r="BA29" i="97"/>
  <c r="AZ29" i="97"/>
  <c r="AY29" i="97"/>
  <c r="AX29" i="97"/>
  <c r="AW29" i="97"/>
  <c r="AV29" i="97"/>
  <c r="AU29" i="97"/>
  <c r="AT29" i="97"/>
  <c r="AS29" i="97"/>
  <c r="AR29" i="97"/>
  <c r="AQ29" i="97"/>
  <c r="AP29" i="97"/>
  <c r="AO29" i="97"/>
  <c r="AN29" i="97"/>
  <c r="AM29" i="97"/>
  <c r="AL29" i="97"/>
  <c r="AK29" i="97"/>
  <c r="AJ29" i="97"/>
  <c r="BG28" i="97"/>
  <c r="BF28" i="97"/>
  <c r="BE28" i="97"/>
  <c r="BD28" i="97"/>
  <c r="BC28" i="97"/>
  <c r="BB28" i="97"/>
  <c r="BA28" i="97"/>
  <c r="AZ28" i="97"/>
  <c r="AY28" i="97"/>
  <c r="AX28" i="97"/>
  <c r="AW28" i="97"/>
  <c r="AV28" i="97"/>
  <c r="AU28" i="97"/>
  <c r="AT28" i="97"/>
  <c r="AS28" i="97"/>
  <c r="AR28" i="97"/>
  <c r="AQ28" i="97"/>
  <c r="AP28" i="97"/>
  <c r="AO28" i="97"/>
  <c r="AN28" i="97"/>
  <c r="AM28" i="97"/>
  <c r="AL28" i="97"/>
  <c r="AK28" i="97"/>
  <c r="AJ28" i="97"/>
  <c r="BG27" i="97"/>
  <c r="BF27" i="97"/>
  <c r="BE27" i="97"/>
  <c r="BD27" i="97"/>
  <c r="BC27" i="97"/>
  <c r="BB27" i="97"/>
  <c r="BA27" i="97"/>
  <c r="AZ27" i="97"/>
  <c r="AY27" i="97"/>
  <c r="AX27" i="97"/>
  <c r="AW27" i="97"/>
  <c r="AV27" i="97"/>
  <c r="AU27" i="97"/>
  <c r="AT27" i="97"/>
  <c r="AS27" i="97"/>
  <c r="AR27" i="97"/>
  <c r="AQ27" i="97"/>
  <c r="AP27" i="97"/>
  <c r="AO27" i="97"/>
  <c r="AN27" i="97"/>
  <c r="AM27" i="97"/>
  <c r="AL27" i="97"/>
  <c r="AK27" i="97"/>
  <c r="AJ27" i="97"/>
  <c r="BG26" i="97"/>
  <c r="BF26" i="97"/>
  <c r="BE26" i="97"/>
  <c r="BD26" i="97"/>
  <c r="BC26" i="97"/>
  <c r="BB26" i="97"/>
  <c r="BA26" i="97"/>
  <c r="AZ26" i="97"/>
  <c r="AY26" i="97"/>
  <c r="AX26" i="97"/>
  <c r="AW26" i="97"/>
  <c r="AV26" i="97"/>
  <c r="AU26" i="97"/>
  <c r="AT26" i="97"/>
  <c r="AS26" i="97"/>
  <c r="AR26" i="97"/>
  <c r="AQ26" i="97"/>
  <c r="AP26" i="97"/>
  <c r="AO26" i="97"/>
  <c r="AN26" i="97"/>
  <c r="AM26" i="97"/>
  <c r="AL26" i="97"/>
  <c r="AK26" i="97"/>
  <c r="AJ26" i="97"/>
  <c r="BG25" i="97"/>
  <c r="BF25" i="97"/>
  <c r="BE25" i="97"/>
  <c r="BD25" i="97"/>
  <c r="BC25" i="97"/>
  <c r="BB25" i="97"/>
  <c r="BA25" i="97"/>
  <c r="AZ25" i="97"/>
  <c r="AY25" i="97"/>
  <c r="AX25" i="97"/>
  <c r="AW25" i="97"/>
  <c r="AV25" i="97"/>
  <c r="AU25" i="97"/>
  <c r="AT25" i="97"/>
  <c r="AS25" i="97"/>
  <c r="AR25" i="97"/>
  <c r="AQ25" i="97"/>
  <c r="AP25" i="97"/>
  <c r="AO25" i="97"/>
  <c r="AN25" i="97"/>
  <c r="AM25" i="97"/>
  <c r="AL25" i="97"/>
  <c r="AK25" i="97"/>
  <c r="AJ25" i="97"/>
  <c r="BG24" i="97"/>
  <c r="BF24" i="97"/>
  <c r="BE24" i="97"/>
  <c r="BD24" i="97"/>
  <c r="BC24" i="97"/>
  <c r="BB24" i="97"/>
  <c r="BA24" i="97"/>
  <c r="AZ24" i="97"/>
  <c r="AY24" i="97"/>
  <c r="AX24" i="97"/>
  <c r="AW24" i="97"/>
  <c r="AV24" i="97"/>
  <c r="AU24" i="97"/>
  <c r="AT24" i="97"/>
  <c r="AS24" i="97"/>
  <c r="AR24" i="97"/>
  <c r="AQ24" i="97"/>
  <c r="AP24" i="97"/>
  <c r="AO24" i="97"/>
  <c r="AN24" i="97"/>
  <c r="AM24" i="97"/>
  <c r="AL24" i="97"/>
  <c r="AK24" i="97"/>
  <c r="AJ24" i="97"/>
  <c r="BG23" i="97"/>
  <c r="BF23" i="97"/>
  <c r="BE23" i="97"/>
  <c r="BD23" i="97"/>
  <c r="BC23" i="97"/>
  <c r="BB23" i="97"/>
  <c r="BA23" i="97"/>
  <c r="AZ23" i="97"/>
  <c r="AY23" i="97"/>
  <c r="AX23" i="97"/>
  <c r="AW23" i="97"/>
  <c r="AV23" i="97"/>
  <c r="AU23" i="97"/>
  <c r="AT23" i="97"/>
  <c r="AS23" i="97"/>
  <c r="AR23" i="97"/>
  <c r="AQ23" i="97"/>
  <c r="AP23" i="97"/>
  <c r="AO23" i="97"/>
  <c r="AN23" i="97"/>
  <c r="AM23" i="97"/>
  <c r="AL23" i="97"/>
  <c r="AK23" i="97"/>
  <c r="AJ23" i="97"/>
  <c r="BG22" i="97"/>
  <c r="BF22" i="97"/>
  <c r="BE22" i="97"/>
  <c r="BD22" i="97"/>
  <c r="BC22" i="97"/>
  <c r="BB22" i="97"/>
  <c r="BA22" i="97"/>
  <c r="AZ22" i="97"/>
  <c r="AY22" i="97"/>
  <c r="AX22" i="97"/>
  <c r="AW22" i="97"/>
  <c r="AV22" i="97"/>
  <c r="AU22" i="97"/>
  <c r="AT22" i="97"/>
  <c r="AS22" i="97"/>
  <c r="AR22" i="97"/>
  <c r="AQ22" i="97"/>
  <c r="AP22" i="97"/>
  <c r="AO22" i="97"/>
  <c r="AN22" i="97"/>
  <c r="AM22" i="97"/>
  <c r="AL22" i="97"/>
  <c r="AK22" i="97"/>
  <c r="AJ22" i="97"/>
  <c r="BG21" i="97"/>
  <c r="BF21" i="97"/>
  <c r="BE21" i="97"/>
  <c r="BD21" i="97"/>
  <c r="BC21" i="97"/>
  <c r="BB21" i="97"/>
  <c r="BA21" i="97"/>
  <c r="AZ21" i="97"/>
  <c r="AY21" i="97"/>
  <c r="AX21" i="97"/>
  <c r="AW21" i="97"/>
  <c r="AV21" i="97"/>
  <c r="AU21" i="97"/>
  <c r="AT21" i="97"/>
  <c r="AS21" i="97"/>
  <c r="AR21" i="97"/>
  <c r="AQ21" i="97"/>
  <c r="AP21" i="97"/>
  <c r="AO21" i="97"/>
  <c r="AN21" i="97"/>
  <c r="AM21" i="97"/>
  <c r="AL21" i="97"/>
  <c r="AK21" i="97"/>
  <c r="AJ21" i="97"/>
  <c r="BG20" i="97"/>
  <c r="BF20" i="97"/>
  <c r="BE20" i="97"/>
  <c r="BD20" i="97"/>
  <c r="BC20" i="97"/>
  <c r="BB20" i="97"/>
  <c r="BA20" i="97"/>
  <c r="AZ20" i="97"/>
  <c r="AY20" i="97"/>
  <c r="AX20" i="97"/>
  <c r="AW20" i="97"/>
  <c r="AV20" i="97"/>
  <c r="AU20" i="97"/>
  <c r="AT20" i="97"/>
  <c r="AS20" i="97"/>
  <c r="AR20" i="97"/>
  <c r="AQ20" i="97"/>
  <c r="AP20" i="97"/>
  <c r="AO20" i="97"/>
  <c r="AN20" i="97"/>
  <c r="AM20" i="97"/>
  <c r="AL20" i="97"/>
  <c r="AK20" i="97"/>
  <c r="AJ20" i="97"/>
  <c r="BG19" i="97"/>
  <c r="BF19" i="97"/>
  <c r="BE19" i="97"/>
  <c r="BD19" i="97"/>
  <c r="BC19" i="97"/>
  <c r="BB19" i="97"/>
  <c r="BA19" i="97"/>
  <c r="AZ19" i="97"/>
  <c r="AY19" i="97"/>
  <c r="AX19" i="97"/>
  <c r="AW19" i="97"/>
  <c r="AV19" i="97"/>
  <c r="AU19" i="97"/>
  <c r="AT19" i="97"/>
  <c r="AS19" i="97"/>
  <c r="AR19" i="97"/>
  <c r="AQ19" i="97"/>
  <c r="AP19" i="97"/>
  <c r="AO19" i="97"/>
  <c r="AN19" i="97"/>
  <c r="AM19" i="97"/>
  <c r="AL19" i="97"/>
  <c r="AK19" i="97"/>
  <c r="AJ19" i="97"/>
  <c r="BG18" i="97"/>
  <c r="BF18" i="97"/>
  <c r="BE18" i="97"/>
  <c r="BD18" i="97"/>
  <c r="BC18" i="97"/>
  <c r="BB18" i="97"/>
  <c r="BA18" i="97"/>
  <c r="AZ18" i="97"/>
  <c r="AY18" i="97"/>
  <c r="AX18" i="97"/>
  <c r="AW18" i="97"/>
  <c r="AV18" i="97"/>
  <c r="AU18" i="97"/>
  <c r="AT18" i="97"/>
  <c r="AS18" i="97"/>
  <c r="AR18" i="97"/>
  <c r="AQ18" i="97"/>
  <c r="AP18" i="97"/>
  <c r="AO18" i="97"/>
  <c r="AN18" i="97"/>
  <c r="AM18" i="97"/>
  <c r="AL18" i="97"/>
  <c r="AK18" i="97"/>
  <c r="AJ18" i="97"/>
  <c r="BG17" i="97"/>
  <c r="BF17" i="97"/>
  <c r="BE17" i="97"/>
  <c r="BD17" i="97"/>
  <c r="BC17" i="97"/>
  <c r="BB17" i="97"/>
  <c r="BA17" i="97"/>
  <c r="AZ17" i="97"/>
  <c r="AY17" i="97"/>
  <c r="AX17" i="97"/>
  <c r="AW17" i="97"/>
  <c r="AV17" i="97"/>
  <c r="AU17" i="97"/>
  <c r="AT17" i="97"/>
  <c r="AS17" i="97"/>
  <c r="AR17" i="97"/>
  <c r="AQ17" i="97"/>
  <c r="AP17" i="97"/>
  <c r="AO17" i="97"/>
  <c r="AN17" i="97"/>
  <c r="AM17" i="97"/>
  <c r="AL17" i="97"/>
  <c r="AK17" i="97"/>
  <c r="AJ17" i="97"/>
  <c r="BG16" i="97"/>
  <c r="BF16" i="97"/>
  <c r="BE16" i="97"/>
  <c r="BD16" i="97"/>
  <c r="BC16" i="97"/>
  <c r="BB16" i="97"/>
  <c r="BA16" i="97"/>
  <c r="AZ16" i="97"/>
  <c r="AY16" i="97"/>
  <c r="AX16" i="97"/>
  <c r="AW16" i="97"/>
  <c r="AV16" i="97"/>
  <c r="AU16" i="97"/>
  <c r="AT16" i="97"/>
  <c r="AS16" i="97"/>
  <c r="AR16" i="97"/>
  <c r="AQ16" i="97"/>
  <c r="AP16" i="97"/>
  <c r="AO16" i="97"/>
  <c r="AN16" i="97"/>
  <c r="AM16" i="97"/>
  <c r="AL16" i="97"/>
  <c r="AK16" i="97"/>
  <c r="AJ16" i="97"/>
  <c r="BG15" i="97"/>
  <c r="BF15" i="97"/>
  <c r="BE15" i="97"/>
  <c r="BD15" i="97"/>
  <c r="BC15" i="97"/>
  <c r="BB15" i="97"/>
  <c r="BA15" i="97"/>
  <c r="AZ15" i="97"/>
  <c r="AY15" i="97"/>
  <c r="AX15" i="97"/>
  <c r="AW15" i="97"/>
  <c r="AV15" i="97"/>
  <c r="AU15" i="97"/>
  <c r="AT15" i="97"/>
  <c r="AS15" i="97"/>
  <c r="AR15" i="97"/>
  <c r="AQ15" i="97"/>
  <c r="AP15" i="97"/>
  <c r="AO15" i="97"/>
  <c r="AN15" i="97"/>
  <c r="AM15" i="97"/>
  <c r="AL15" i="97"/>
  <c r="AK15" i="97"/>
  <c r="AJ15" i="97"/>
  <c r="BL14" i="97"/>
  <c r="BK14" i="97"/>
  <c r="BJ14" i="97"/>
  <c r="BI14" i="97"/>
  <c r="BH14" i="97"/>
  <c r="BG14" i="97"/>
  <c r="BF14" i="97"/>
  <c r="BE14" i="97"/>
  <c r="BD14" i="97"/>
  <c r="BC14" i="97"/>
  <c r="BB14" i="97"/>
  <c r="BA14" i="97"/>
  <c r="AZ14" i="97"/>
  <c r="AY14" i="97"/>
  <c r="AX14" i="97"/>
  <c r="AW14" i="97"/>
  <c r="AV14" i="97"/>
  <c r="AU14" i="97"/>
  <c r="AT14" i="97"/>
  <c r="AS14" i="97"/>
  <c r="AR14" i="97"/>
  <c r="AQ14" i="97"/>
  <c r="AP14" i="97"/>
  <c r="AO14" i="97"/>
  <c r="AN14" i="97"/>
  <c r="AM14" i="97"/>
  <c r="AL14" i="97"/>
  <c r="BL13" i="97"/>
  <c r="BK13" i="97"/>
  <c r="BJ13" i="97"/>
  <c r="BI13" i="97"/>
  <c r="BH13" i="97"/>
  <c r="BG13" i="97"/>
  <c r="BF13" i="97"/>
  <c r="BE13" i="97"/>
  <c r="BD13" i="97"/>
  <c r="BA13" i="97"/>
  <c r="AZ13" i="97"/>
  <c r="AY13" i="97"/>
  <c r="AX13" i="97"/>
  <c r="AW13" i="97"/>
  <c r="AV13" i="97"/>
  <c r="AU13" i="97"/>
  <c r="AT13" i="97"/>
  <c r="AS13" i="97"/>
  <c r="AR13" i="97"/>
  <c r="AQ13" i="97"/>
  <c r="AP13" i="97"/>
  <c r="AO13" i="97"/>
  <c r="AN13" i="97"/>
  <c r="AM13" i="97"/>
  <c r="AL13" i="97"/>
  <c r="BG44" i="98"/>
  <c r="BF44" i="98"/>
  <c r="BE44" i="98"/>
  <c r="BD44" i="98"/>
  <c r="BC44" i="98"/>
  <c r="BB44" i="98"/>
  <c r="BA44" i="98"/>
  <c r="AZ44" i="98"/>
  <c r="AY44" i="98"/>
  <c r="AX44" i="98"/>
  <c r="AW44" i="98"/>
  <c r="AV44" i="98"/>
  <c r="AU44" i="98"/>
  <c r="AT44" i="98"/>
  <c r="AS44" i="98"/>
  <c r="AR44" i="98"/>
  <c r="AQ44" i="98"/>
  <c r="AP44" i="98"/>
  <c r="AO44" i="98"/>
  <c r="AN44" i="98"/>
  <c r="AM44" i="98"/>
  <c r="AL44" i="98"/>
  <c r="AK44" i="98"/>
  <c r="AJ44" i="98"/>
  <c r="BG43" i="98"/>
  <c r="BF43" i="98"/>
  <c r="BE43" i="98"/>
  <c r="BD43" i="98"/>
  <c r="BC43" i="98"/>
  <c r="BB43" i="98"/>
  <c r="BA43" i="98"/>
  <c r="AZ43" i="98"/>
  <c r="AY43" i="98"/>
  <c r="AX43" i="98"/>
  <c r="AW43" i="98"/>
  <c r="AV43" i="98"/>
  <c r="AU43" i="98"/>
  <c r="AT43" i="98"/>
  <c r="AS43" i="98"/>
  <c r="AR43" i="98"/>
  <c r="AQ43" i="98"/>
  <c r="AP43" i="98"/>
  <c r="AO43" i="98"/>
  <c r="AN43" i="98"/>
  <c r="AM43" i="98"/>
  <c r="AL43" i="98"/>
  <c r="AK43" i="98"/>
  <c r="AJ43" i="98"/>
  <c r="BG42" i="98"/>
  <c r="BF42" i="98"/>
  <c r="BE42" i="98"/>
  <c r="BD42" i="98"/>
  <c r="BC42" i="98"/>
  <c r="BB42" i="98"/>
  <c r="BA42" i="98"/>
  <c r="AZ42" i="98"/>
  <c r="AY42" i="98"/>
  <c r="AX42" i="98"/>
  <c r="AW42" i="98"/>
  <c r="AV42" i="98"/>
  <c r="AU42" i="98"/>
  <c r="AT42" i="98"/>
  <c r="AS42" i="98"/>
  <c r="AR42" i="98"/>
  <c r="AQ42" i="98"/>
  <c r="AP42" i="98"/>
  <c r="AO42" i="98"/>
  <c r="AN42" i="98"/>
  <c r="AM42" i="98"/>
  <c r="AL42" i="98"/>
  <c r="AK42" i="98"/>
  <c r="AJ42" i="98"/>
  <c r="BG41" i="98"/>
  <c r="BF41" i="98"/>
  <c r="BE41" i="98"/>
  <c r="BD41" i="98"/>
  <c r="BC41" i="98"/>
  <c r="BB41" i="98"/>
  <c r="BA41" i="98"/>
  <c r="AZ41" i="98"/>
  <c r="AY41" i="98"/>
  <c r="AX41" i="98"/>
  <c r="AW41" i="98"/>
  <c r="AV41" i="98"/>
  <c r="AU41" i="98"/>
  <c r="AT41" i="98"/>
  <c r="AS41" i="98"/>
  <c r="AR41" i="98"/>
  <c r="AQ41" i="98"/>
  <c r="AP41" i="98"/>
  <c r="AO41" i="98"/>
  <c r="AN41" i="98"/>
  <c r="AM41" i="98"/>
  <c r="AL41" i="98"/>
  <c r="AK41" i="98"/>
  <c r="AJ41" i="98"/>
  <c r="BG40" i="98"/>
  <c r="BF40" i="98"/>
  <c r="BE40" i="98"/>
  <c r="BD40" i="98"/>
  <c r="BC40" i="98"/>
  <c r="BB40" i="98"/>
  <c r="BA40" i="98"/>
  <c r="AZ40" i="98"/>
  <c r="AY40" i="98"/>
  <c r="AX40" i="98"/>
  <c r="AW40" i="98"/>
  <c r="AV40" i="98"/>
  <c r="AU40" i="98"/>
  <c r="AT40" i="98"/>
  <c r="AS40" i="98"/>
  <c r="AR40" i="98"/>
  <c r="AQ40" i="98"/>
  <c r="AP40" i="98"/>
  <c r="AO40" i="98"/>
  <c r="AN40" i="98"/>
  <c r="AM40" i="98"/>
  <c r="AL40" i="98"/>
  <c r="AK40" i="98"/>
  <c r="AJ40" i="98"/>
  <c r="BG39" i="98"/>
  <c r="BF39" i="98"/>
  <c r="BE39" i="98"/>
  <c r="BD39" i="98"/>
  <c r="BC39" i="98"/>
  <c r="BB39" i="98"/>
  <c r="BA39" i="98"/>
  <c r="AZ39" i="98"/>
  <c r="AY39" i="98"/>
  <c r="AX39" i="98"/>
  <c r="AW39" i="98"/>
  <c r="AV39" i="98"/>
  <c r="AU39" i="98"/>
  <c r="AT39" i="98"/>
  <c r="AS39" i="98"/>
  <c r="AR39" i="98"/>
  <c r="AQ39" i="98"/>
  <c r="AP39" i="98"/>
  <c r="AO39" i="98"/>
  <c r="AN39" i="98"/>
  <c r="AM39" i="98"/>
  <c r="AL39" i="98"/>
  <c r="AK39" i="98"/>
  <c r="AJ39" i="98"/>
  <c r="BG38" i="98"/>
  <c r="BF38" i="98"/>
  <c r="BE38" i="98"/>
  <c r="BD38" i="98"/>
  <c r="BC38" i="98"/>
  <c r="BB38" i="98"/>
  <c r="BA38" i="98"/>
  <c r="AZ38" i="98"/>
  <c r="AY38" i="98"/>
  <c r="AX38" i="98"/>
  <c r="AW38" i="98"/>
  <c r="AV38" i="98"/>
  <c r="AU38" i="98"/>
  <c r="AT38" i="98"/>
  <c r="AS38" i="98"/>
  <c r="AR38" i="98"/>
  <c r="AQ38" i="98"/>
  <c r="AP38" i="98"/>
  <c r="AO38" i="98"/>
  <c r="AN38" i="98"/>
  <c r="AM38" i="98"/>
  <c r="AL38" i="98"/>
  <c r="AK38" i="98"/>
  <c r="AJ38" i="98"/>
  <c r="BG37" i="98"/>
  <c r="BF37" i="98"/>
  <c r="BE37" i="98"/>
  <c r="BD37" i="98"/>
  <c r="BC37" i="98"/>
  <c r="BB37" i="98"/>
  <c r="BA37" i="98"/>
  <c r="AZ37" i="98"/>
  <c r="AY37" i="98"/>
  <c r="AX37" i="98"/>
  <c r="AW37" i="98"/>
  <c r="AV37" i="98"/>
  <c r="AU37" i="98"/>
  <c r="AT37" i="98"/>
  <c r="AS37" i="98"/>
  <c r="AR37" i="98"/>
  <c r="AQ37" i="98"/>
  <c r="AP37" i="98"/>
  <c r="AO37" i="98"/>
  <c r="AN37" i="98"/>
  <c r="AM37" i="98"/>
  <c r="AL37" i="98"/>
  <c r="AK37" i="98"/>
  <c r="AJ37" i="98"/>
  <c r="BG36" i="98"/>
  <c r="BF36" i="98"/>
  <c r="BE36" i="98"/>
  <c r="BD36" i="98"/>
  <c r="BC36" i="98"/>
  <c r="BB36" i="98"/>
  <c r="BA36" i="98"/>
  <c r="AZ36" i="98"/>
  <c r="AY36" i="98"/>
  <c r="AX36" i="98"/>
  <c r="AW36" i="98"/>
  <c r="AV36" i="98"/>
  <c r="AU36" i="98"/>
  <c r="AT36" i="98"/>
  <c r="AS36" i="98"/>
  <c r="AR36" i="98"/>
  <c r="AQ36" i="98"/>
  <c r="AP36" i="98"/>
  <c r="AO36" i="98"/>
  <c r="AN36" i="98"/>
  <c r="AM36" i="98"/>
  <c r="AL36" i="98"/>
  <c r="AK36" i="98"/>
  <c r="AJ36" i="98"/>
  <c r="BG35" i="98"/>
  <c r="BF35" i="98"/>
  <c r="BE35" i="98"/>
  <c r="BD35" i="98"/>
  <c r="BC35" i="98"/>
  <c r="BB35" i="98"/>
  <c r="BA35" i="98"/>
  <c r="AZ35" i="98"/>
  <c r="AY35" i="98"/>
  <c r="AX35" i="98"/>
  <c r="AW35" i="98"/>
  <c r="AV35" i="98"/>
  <c r="AU35" i="98"/>
  <c r="AT35" i="98"/>
  <c r="AS35" i="98"/>
  <c r="AR35" i="98"/>
  <c r="AQ35" i="98"/>
  <c r="AP35" i="98"/>
  <c r="AO35" i="98"/>
  <c r="AN35" i="98"/>
  <c r="AM35" i="98"/>
  <c r="AL35" i="98"/>
  <c r="AK35" i="98"/>
  <c r="AJ35" i="98"/>
  <c r="BG34" i="98"/>
  <c r="BF34" i="98"/>
  <c r="BE34" i="98"/>
  <c r="BD34" i="98"/>
  <c r="BC34" i="98"/>
  <c r="BB34" i="98"/>
  <c r="BA34" i="98"/>
  <c r="AZ34" i="98"/>
  <c r="AY34" i="98"/>
  <c r="AX34" i="98"/>
  <c r="AW34" i="98"/>
  <c r="AV34" i="98"/>
  <c r="AU34" i="98"/>
  <c r="AT34" i="98"/>
  <c r="AS34" i="98"/>
  <c r="AR34" i="98"/>
  <c r="AQ34" i="98"/>
  <c r="AP34" i="98"/>
  <c r="AO34" i="98"/>
  <c r="AN34" i="98"/>
  <c r="AM34" i="98"/>
  <c r="AL34" i="98"/>
  <c r="AK34" i="98"/>
  <c r="AJ34" i="98"/>
  <c r="BG33" i="98"/>
  <c r="BF33" i="98"/>
  <c r="BE33" i="98"/>
  <c r="BD33" i="98"/>
  <c r="BC33" i="98"/>
  <c r="BB33" i="98"/>
  <c r="BA33" i="98"/>
  <c r="AZ33" i="98"/>
  <c r="AY33" i="98"/>
  <c r="AX33" i="98"/>
  <c r="AW33" i="98"/>
  <c r="AV33" i="98"/>
  <c r="AU33" i="98"/>
  <c r="AT33" i="98"/>
  <c r="AS33" i="98"/>
  <c r="AR33" i="98"/>
  <c r="AQ33" i="98"/>
  <c r="AP33" i="98"/>
  <c r="AO33" i="98"/>
  <c r="AN33" i="98"/>
  <c r="AM33" i="98"/>
  <c r="AL33" i="98"/>
  <c r="AK33" i="98"/>
  <c r="AJ33" i="98"/>
  <c r="BG32" i="98"/>
  <c r="BF32" i="98"/>
  <c r="BE32" i="98"/>
  <c r="BD32" i="98"/>
  <c r="BC32" i="98"/>
  <c r="BB32" i="98"/>
  <c r="BA32" i="98"/>
  <c r="AZ32" i="98"/>
  <c r="AY32" i="98"/>
  <c r="AX32" i="98"/>
  <c r="AW32" i="98"/>
  <c r="AV32" i="98"/>
  <c r="AU32" i="98"/>
  <c r="AT32" i="98"/>
  <c r="AS32" i="98"/>
  <c r="AR32" i="98"/>
  <c r="AQ32" i="98"/>
  <c r="AP32" i="98"/>
  <c r="AO32" i="98"/>
  <c r="AN32" i="98"/>
  <c r="AM32" i="98"/>
  <c r="AL32" i="98"/>
  <c r="AK32" i="98"/>
  <c r="AJ32" i="98"/>
  <c r="BG31" i="98"/>
  <c r="BF31" i="98"/>
  <c r="BE31" i="98"/>
  <c r="BD31" i="98"/>
  <c r="BC31" i="98"/>
  <c r="BB31" i="98"/>
  <c r="BA31" i="98"/>
  <c r="AZ31" i="98"/>
  <c r="AY31" i="98"/>
  <c r="AX31" i="98"/>
  <c r="AW31" i="98"/>
  <c r="AV31" i="98"/>
  <c r="AU31" i="98"/>
  <c r="AT31" i="98"/>
  <c r="AS31" i="98"/>
  <c r="AR31" i="98"/>
  <c r="AQ31" i="98"/>
  <c r="AP31" i="98"/>
  <c r="AO31" i="98"/>
  <c r="AN31" i="98"/>
  <c r="AM31" i="98"/>
  <c r="AL31" i="98"/>
  <c r="AK31" i="98"/>
  <c r="AJ31" i="98"/>
  <c r="BG30" i="98"/>
  <c r="BF30" i="98"/>
  <c r="BE30" i="98"/>
  <c r="BD30" i="98"/>
  <c r="BC30" i="98"/>
  <c r="BB30" i="98"/>
  <c r="BA30" i="98"/>
  <c r="AZ30" i="98"/>
  <c r="AY30" i="98"/>
  <c r="AX30" i="98"/>
  <c r="AW30" i="98"/>
  <c r="AV30" i="98"/>
  <c r="AU30" i="98"/>
  <c r="AT30" i="98"/>
  <c r="AS30" i="98"/>
  <c r="AR30" i="98"/>
  <c r="AQ30" i="98"/>
  <c r="AP30" i="98"/>
  <c r="AO30" i="98"/>
  <c r="AN30" i="98"/>
  <c r="AM30" i="98"/>
  <c r="AL30" i="98"/>
  <c r="AK30" i="98"/>
  <c r="AJ30" i="98"/>
  <c r="BG29" i="98"/>
  <c r="BF29" i="98"/>
  <c r="BE29" i="98"/>
  <c r="BD29" i="98"/>
  <c r="BC29" i="98"/>
  <c r="BB29" i="98"/>
  <c r="BA29" i="98"/>
  <c r="AZ29" i="98"/>
  <c r="AY29" i="98"/>
  <c r="AX29" i="98"/>
  <c r="AW29" i="98"/>
  <c r="AV29" i="98"/>
  <c r="AU29" i="98"/>
  <c r="AT29" i="98"/>
  <c r="AS29" i="98"/>
  <c r="AR29" i="98"/>
  <c r="AQ29" i="98"/>
  <c r="AP29" i="98"/>
  <c r="AO29" i="98"/>
  <c r="AN29" i="98"/>
  <c r="AM29" i="98"/>
  <c r="AL29" i="98"/>
  <c r="AK29" i="98"/>
  <c r="AJ29" i="98"/>
  <c r="BG28" i="98"/>
  <c r="BF28" i="98"/>
  <c r="BE28" i="98"/>
  <c r="BD28" i="98"/>
  <c r="BC28" i="98"/>
  <c r="BB28" i="98"/>
  <c r="BA28" i="98"/>
  <c r="AZ28" i="98"/>
  <c r="AY28" i="98"/>
  <c r="AX28" i="98"/>
  <c r="AW28" i="98"/>
  <c r="AV28" i="98"/>
  <c r="AU28" i="98"/>
  <c r="AT28" i="98"/>
  <c r="AS28" i="98"/>
  <c r="AR28" i="98"/>
  <c r="AQ28" i="98"/>
  <c r="AP28" i="98"/>
  <c r="AO28" i="98"/>
  <c r="AN28" i="98"/>
  <c r="AM28" i="98"/>
  <c r="AL28" i="98"/>
  <c r="AK28" i="98"/>
  <c r="AJ28" i="98"/>
  <c r="BG27" i="98"/>
  <c r="BF27" i="98"/>
  <c r="BE27" i="98"/>
  <c r="BD27" i="98"/>
  <c r="BC27" i="98"/>
  <c r="BB27" i="98"/>
  <c r="BA27" i="98"/>
  <c r="AZ27" i="98"/>
  <c r="AY27" i="98"/>
  <c r="AX27" i="98"/>
  <c r="AW27" i="98"/>
  <c r="AV27" i="98"/>
  <c r="AU27" i="98"/>
  <c r="AT27" i="98"/>
  <c r="AS27" i="98"/>
  <c r="AR27" i="98"/>
  <c r="AQ27" i="98"/>
  <c r="AP27" i="98"/>
  <c r="AO27" i="98"/>
  <c r="AN27" i="98"/>
  <c r="AM27" i="98"/>
  <c r="AL27" i="98"/>
  <c r="AK27" i="98"/>
  <c r="AJ27" i="98"/>
  <c r="BG26" i="98"/>
  <c r="BF26" i="98"/>
  <c r="BE26" i="98"/>
  <c r="BD26" i="98"/>
  <c r="BC26" i="98"/>
  <c r="BB26" i="98"/>
  <c r="BA26" i="98"/>
  <c r="AZ26" i="98"/>
  <c r="AY26" i="98"/>
  <c r="AX26" i="98"/>
  <c r="AW26" i="98"/>
  <c r="AV26" i="98"/>
  <c r="AU26" i="98"/>
  <c r="AT26" i="98"/>
  <c r="AS26" i="98"/>
  <c r="AR26" i="98"/>
  <c r="AQ26" i="98"/>
  <c r="AP26" i="98"/>
  <c r="AO26" i="98"/>
  <c r="AN26" i="98"/>
  <c r="AM26" i="98"/>
  <c r="AL26" i="98"/>
  <c r="AK26" i="98"/>
  <c r="AJ26" i="98"/>
  <c r="BG25" i="98"/>
  <c r="BF25" i="98"/>
  <c r="BE25" i="98"/>
  <c r="BD25" i="98"/>
  <c r="BC25" i="98"/>
  <c r="BB25" i="98"/>
  <c r="BA25" i="98"/>
  <c r="AZ25" i="98"/>
  <c r="AY25" i="98"/>
  <c r="AX25" i="98"/>
  <c r="AW25" i="98"/>
  <c r="AV25" i="98"/>
  <c r="AU25" i="98"/>
  <c r="AT25" i="98"/>
  <c r="AS25" i="98"/>
  <c r="AR25" i="98"/>
  <c r="AQ25" i="98"/>
  <c r="AP25" i="98"/>
  <c r="AO25" i="98"/>
  <c r="AN25" i="98"/>
  <c r="AM25" i="98"/>
  <c r="AL25" i="98"/>
  <c r="AK25" i="98"/>
  <c r="AJ25" i="98"/>
  <c r="BG24" i="98"/>
  <c r="BF24" i="98"/>
  <c r="BE24" i="98"/>
  <c r="BD24" i="98"/>
  <c r="BC24" i="98"/>
  <c r="BB24" i="98"/>
  <c r="BA24" i="98"/>
  <c r="AZ24" i="98"/>
  <c r="AY24" i="98"/>
  <c r="AX24" i="98"/>
  <c r="AW24" i="98"/>
  <c r="AV24" i="98"/>
  <c r="AU24" i="98"/>
  <c r="AT24" i="98"/>
  <c r="AS24" i="98"/>
  <c r="AR24" i="98"/>
  <c r="AQ24" i="98"/>
  <c r="AP24" i="98"/>
  <c r="AO24" i="98"/>
  <c r="AN24" i="98"/>
  <c r="AM24" i="98"/>
  <c r="AL24" i="98"/>
  <c r="AK24" i="98"/>
  <c r="AJ24" i="98"/>
  <c r="BG23" i="98"/>
  <c r="BF23" i="98"/>
  <c r="BE23" i="98"/>
  <c r="BD23" i="98"/>
  <c r="BC23" i="98"/>
  <c r="BB23" i="98"/>
  <c r="BA23" i="98"/>
  <c r="AZ23" i="98"/>
  <c r="AY23" i="98"/>
  <c r="AX23" i="98"/>
  <c r="AW23" i="98"/>
  <c r="AV23" i="98"/>
  <c r="AU23" i="98"/>
  <c r="AT23" i="98"/>
  <c r="AS23" i="98"/>
  <c r="AR23" i="98"/>
  <c r="AQ23" i="98"/>
  <c r="AP23" i="98"/>
  <c r="AO23" i="98"/>
  <c r="AN23" i="98"/>
  <c r="AM23" i="98"/>
  <c r="AL23" i="98"/>
  <c r="AK23" i="98"/>
  <c r="AJ23" i="98"/>
  <c r="BG22" i="98"/>
  <c r="BF22" i="98"/>
  <c r="BE22" i="98"/>
  <c r="BD22" i="98"/>
  <c r="BC22" i="98"/>
  <c r="BB22" i="98"/>
  <c r="BA22" i="98"/>
  <c r="AZ22" i="98"/>
  <c r="AY22" i="98"/>
  <c r="AX22" i="98"/>
  <c r="AW22" i="98"/>
  <c r="AV22" i="98"/>
  <c r="AU22" i="98"/>
  <c r="AT22" i="98"/>
  <c r="AS22" i="98"/>
  <c r="AR22" i="98"/>
  <c r="AQ22" i="98"/>
  <c r="AP22" i="98"/>
  <c r="AO22" i="98"/>
  <c r="AN22" i="98"/>
  <c r="AM22" i="98"/>
  <c r="AL22" i="98"/>
  <c r="AK22" i="98"/>
  <c r="AJ22" i="98"/>
  <c r="BG21" i="98"/>
  <c r="BF21" i="98"/>
  <c r="BE21" i="98"/>
  <c r="BD21" i="98"/>
  <c r="BC21" i="98"/>
  <c r="BB21" i="98"/>
  <c r="BA21" i="98"/>
  <c r="AZ21" i="98"/>
  <c r="AY21" i="98"/>
  <c r="AX21" i="98"/>
  <c r="AW21" i="98"/>
  <c r="AV21" i="98"/>
  <c r="AU21" i="98"/>
  <c r="AT21" i="98"/>
  <c r="AS21" i="98"/>
  <c r="AR21" i="98"/>
  <c r="AQ21" i="98"/>
  <c r="AP21" i="98"/>
  <c r="AO21" i="98"/>
  <c r="AN21" i="98"/>
  <c r="AM21" i="98"/>
  <c r="AL21" i="98"/>
  <c r="AK21" i="98"/>
  <c r="AJ21" i="98"/>
  <c r="BG20" i="98"/>
  <c r="BF20" i="98"/>
  <c r="BE20" i="98"/>
  <c r="BD20" i="98"/>
  <c r="BC20" i="98"/>
  <c r="BB20" i="98"/>
  <c r="BA20" i="98"/>
  <c r="AZ20" i="98"/>
  <c r="AY20" i="98"/>
  <c r="AX20" i="98"/>
  <c r="AW20" i="98"/>
  <c r="AV20" i="98"/>
  <c r="AU20" i="98"/>
  <c r="AT20" i="98"/>
  <c r="AS20" i="98"/>
  <c r="AR20" i="98"/>
  <c r="AQ20" i="98"/>
  <c r="AP20" i="98"/>
  <c r="AO20" i="98"/>
  <c r="AN20" i="98"/>
  <c r="AM20" i="98"/>
  <c r="AL20" i="98"/>
  <c r="AK20" i="98"/>
  <c r="AJ20" i="98"/>
  <c r="BG19" i="98"/>
  <c r="BF19" i="98"/>
  <c r="BE19" i="98"/>
  <c r="BD19" i="98"/>
  <c r="BC19" i="98"/>
  <c r="BB19" i="98"/>
  <c r="BA19" i="98"/>
  <c r="AZ19" i="98"/>
  <c r="AY19" i="98"/>
  <c r="AX19" i="98"/>
  <c r="AW19" i="98"/>
  <c r="AV19" i="98"/>
  <c r="AU19" i="98"/>
  <c r="AT19" i="98"/>
  <c r="AS19" i="98"/>
  <c r="AR19" i="98"/>
  <c r="AQ19" i="98"/>
  <c r="AP19" i="98"/>
  <c r="AO19" i="98"/>
  <c r="AN19" i="98"/>
  <c r="AM19" i="98"/>
  <c r="AL19" i="98"/>
  <c r="AK19" i="98"/>
  <c r="AJ19" i="98"/>
  <c r="BG18" i="98"/>
  <c r="BF18" i="98"/>
  <c r="BE18" i="98"/>
  <c r="BD18" i="98"/>
  <c r="BC18" i="98"/>
  <c r="BB18" i="98"/>
  <c r="BA18" i="98"/>
  <c r="AZ18" i="98"/>
  <c r="AY18" i="98"/>
  <c r="AX18" i="98"/>
  <c r="AW18" i="98"/>
  <c r="AV18" i="98"/>
  <c r="AU18" i="98"/>
  <c r="AT18" i="98"/>
  <c r="AS18" i="98"/>
  <c r="AR18" i="98"/>
  <c r="AQ18" i="98"/>
  <c r="AP18" i="98"/>
  <c r="AO18" i="98"/>
  <c r="AN18" i="98"/>
  <c r="AM18" i="98"/>
  <c r="AL18" i="98"/>
  <c r="AK18" i="98"/>
  <c r="AJ18" i="98"/>
  <c r="BG17" i="98"/>
  <c r="BF17" i="98"/>
  <c r="BE17" i="98"/>
  <c r="BD17" i="98"/>
  <c r="BC17" i="98"/>
  <c r="BB17" i="98"/>
  <c r="BA17" i="98"/>
  <c r="AZ17" i="98"/>
  <c r="AY17" i="98"/>
  <c r="AX17" i="98"/>
  <c r="AW17" i="98"/>
  <c r="AV17" i="98"/>
  <c r="AU17" i="98"/>
  <c r="AT17" i="98"/>
  <c r="AS17" i="98"/>
  <c r="AR17" i="98"/>
  <c r="AQ17" i="98"/>
  <c r="AP17" i="98"/>
  <c r="AO17" i="98"/>
  <c r="AN17" i="98"/>
  <c r="AM17" i="98"/>
  <c r="AL17" i="98"/>
  <c r="AK17" i="98"/>
  <c r="AJ17" i="98"/>
  <c r="BG16" i="98"/>
  <c r="BF16" i="98"/>
  <c r="BE16" i="98"/>
  <c r="BD16" i="98"/>
  <c r="BC16" i="98"/>
  <c r="BB16" i="98"/>
  <c r="BA16" i="98"/>
  <c r="AZ16" i="98"/>
  <c r="AY16" i="98"/>
  <c r="AX16" i="98"/>
  <c r="AW16" i="98"/>
  <c r="AV16" i="98"/>
  <c r="AU16" i="98"/>
  <c r="AT16" i="98"/>
  <c r="AS16" i="98"/>
  <c r="AR16" i="98"/>
  <c r="AQ16" i="98"/>
  <c r="AP16" i="98"/>
  <c r="AO16" i="98"/>
  <c r="AN16" i="98"/>
  <c r="AM16" i="98"/>
  <c r="AL16" i="98"/>
  <c r="AK16" i="98"/>
  <c r="AJ16" i="98"/>
  <c r="BG15" i="98"/>
  <c r="BF15" i="98"/>
  <c r="BE15" i="98"/>
  <c r="BD15" i="98"/>
  <c r="BC15" i="98"/>
  <c r="BB15" i="98"/>
  <c r="BA15" i="98"/>
  <c r="AZ15" i="98"/>
  <c r="AY15" i="98"/>
  <c r="AX15" i="98"/>
  <c r="AW15" i="98"/>
  <c r="AV15" i="98"/>
  <c r="AU15" i="98"/>
  <c r="AT15" i="98"/>
  <c r="AS15" i="98"/>
  <c r="AR15" i="98"/>
  <c r="AQ15" i="98"/>
  <c r="AP15" i="98"/>
  <c r="AO15" i="98"/>
  <c r="AN15" i="98"/>
  <c r="AM15" i="98"/>
  <c r="AL15" i="98"/>
  <c r="AK15" i="98"/>
  <c r="AJ15" i="98"/>
  <c r="BL14" i="98"/>
  <c r="BK14" i="98"/>
  <c r="BJ14" i="98"/>
  <c r="BI14" i="98"/>
  <c r="BH14" i="98"/>
  <c r="BG14" i="98"/>
  <c r="BF14" i="98"/>
  <c r="BE14" i="98"/>
  <c r="BD14" i="98"/>
  <c r="BC14" i="98"/>
  <c r="BB14" i="98"/>
  <c r="BA14" i="98"/>
  <c r="AZ14" i="98"/>
  <c r="AY14" i="98"/>
  <c r="AX14" i="98"/>
  <c r="AW14" i="98"/>
  <c r="AV14" i="98"/>
  <c r="AU14" i="98"/>
  <c r="AT14" i="98"/>
  <c r="AS14" i="98"/>
  <c r="AR14" i="98"/>
  <c r="AQ14" i="98"/>
  <c r="AP14" i="98"/>
  <c r="AO14" i="98"/>
  <c r="AN14" i="98"/>
  <c r="AM14" i="98"/>
  <c r="AL14" i="98"/>
  <c r="BL13" i="98"/>
  <c r="BK13" i="98"/>
  <c r="BJ13" i="98"/>
  <c r="BI13" i="98"/>
  <c r="BH13" i="98"/>
  <c r="BG13" i="98"/>
  <c r="BF13" i="98"/>
  <c r="BE13" i="98"/>
  <c r="BD13" i="98"/>
  <c r="BA13" i="98"/>
  <c r="AZ13" i="98"/>
  <c r="AY13" i="98"/>
  <c r="AX13" i="98"/>
  <c r="AW13" i="98"/>
  <c r="AV13" i="98"/>
  <c r="AU13" i="98"/>
  <c r="AT13" i="98"/>
  <c r="AS13" i="98"/>
  <c r="AR13" i="98"/>
  <c r="AQ13" i="98"/>
  <c r="AP13" i="98"/>
  <c r="AO13" i="98"/>
  <c r="AN13" i="98"/>
  <c r="AM13" i="98"/>
  <c r="AL13" i="98"/>
  <c r="BG44" i="99"/>
  <c r="BF44" i="99"/>
  <c r="BE44" i="99"/>
  <c r="BD44" i="99"/>
  <c r="BC44" i="99"/>
  <c r="BB44" i="99"/>
  <c r="BA44" i="99"/>
  <c r="AZ44" i="99"/>
  <c r="AY44" i="99"/>
  <c r="AX44" i="99"/>
  <c r="AW44" i="99"/>
  <c r="AV44" i="99"/>
  <c r="AU44" i="99"/>
  <c r="AT44" i="99"/>
  <c r="AS44" i="99"/>
  <c r="AR44" i="99"/>
  <c r="AQ44" i="99"/>
  <c r="AP44" i="99"/>
  <c r="AO44" i="99"/>
  <c r="AN44" i="99"/>
  <c r="AM44" i="99"/>
  <c r="AL44" i="99"/>
  <c r="AK44" i="99"/>
  <c r="AJ44" i="99"/>
  <c r="BG43" i="99"/>
  <c r="BF43" i="99"/>
  <c r="BE43" i="99"/>
  <c r="BD43" i="99"/>
  <c r="BC43" i="99"/>
  <c r="BB43" i="99"/>
  <c r="BA43" i="99"/>
  <c r="AZ43" i="99"/>
  <c r="AY43" i="99"/>
  <c r="AX43" i="99"/>
  <c r="AW43" i="99"/>
  <c r="AV43" i="99"/>
  <c r="AU43" i="99"/>
  <c r="AT43" i="99"/>
  <c r="AS43" i="99"/>
  <c r="AR43" i="99"/>
  <c r="AQ43" i="99"/>
  <c r="AP43" i="99"/>
  <c r="AO43" i="99"/>
  <c r="AN43" i="99"/>
  <c r="AM43" i="99"/>
  <c r="AL43" i="99"/>
  <c r="AK43" i="99"/>
  <c r="AJ43" i="99"/>
  <c r="BG42" i="99"/>
  <c r="BF42" i="99"/>
  <c r="BE42" i="99"/>
  <c r="BD42" i="99"/>
  <c r="BC42" i="99"/>
  <c r="BB42" i="99"/>
  <c r="BA42" i="99"/>
  <c r="AZ42" i="99"/>
  <c r="AY42" i="99"/>
  <c r="AX42" i="99"/>
  <c r="AW42" i="99"/>
  <c r="AV42" i="99"/>
  <c r="AU42" i="99"/>
  <c r="AT42" i="99"/>
  <c r="AS42" i="99"/>
  <c r="AR42" i="99"/>
  <c r="AQ42" i="99"/>
  <c r="AP42" i="99"/>
  <c r="AO42" i="99"/>
  <c r="AN42" i="99"/>
  <c r="AM42" i="99"/>
  <c r="AL42" i="99"/>
  <c r="AK42" i="99"/>
  <c r="AJ42" i="99"/>
  <c r="BG41" i="99"/>
  <c r="BF41" i="99"/>
  <c r="BE41" i="99"/>
  <c r="BD41" i="99"/>
  <c r="BC41" i="99"/>
  <c r="BB41" i="99"/>
  <c r="BA41" i="99"/>
  <c r="AZ41" i="99"/>
  <c r="AY41" i="99"/>
  <c r="AX41" i="99"/>
  <c r="AW41" i="99"/>
  <c r="AV41" i="99"/>
  <c r="AU41" i="99"/>
  <c r="AT41" i="99"/>
  <c r="AS41" i="99"/>
  <c r="AR41" i="99"/>
  <c r="AQ41" i="99"/>
  <c r="AP41" i="99"/>
  <c r="AO41" i="99"/>
  <c r="AN41" i="99"/>
  <c r="AM41" i="99"/>
  <c r="AL41" i="99"/>
  <c r="AK41" i="99"/>
  <c r="AJ41" i="99"/>
  <c r="BG40" i="99"/>
  <c r="BF40" i="99"/>
  <c r="BE40" i="99"/>
  <c r="BD40" i="99"/>
  <c r="BC40" i="99"/>
  <c r="BB40" i="99"/>
  <c r="BA40" i="99"/>
  <c r="AZ40" i="99"/>
  <c r="AY40" i="99"/>
  <c r="AX40" i="99"/>
  <c r="AW40" i="99"/>
  <c r="AV40" i="99"/>
  <c r="AU40" i="99"/>
  <c r="AT40" i="99"/>
  <c r="AS40" i="99"/>
  <c r="AR40" i="99"/>
  <c r="AQ40" i="99"/>
  <c r="AP40" i="99"/>
  <c r="AO40" i="99"/>
  <c r="AN40" i="99"/>
  <c r="AM40" i="99"/>
  <c r="AL40" i="99"/>
  <c r="AK40" i="99"/>
  <c r="AJ40" i="99"/>
  <c r="BG39" i="99"/>
  <c r="BF39" i="99"/>
  <c r="BE39" i="99"/>
  <c r="BD39" i="99"/>
  <c r="BC39" i="99"/>
  <c r="BB39" i="99"/>
  <c r="BA39" i="99"/>
  <c r="AZ39" i="99"/>
  <c r="AY39" i="99"/>
  <c r="AX39" i="99"/>
  <c r="AW39" i="99"/>
  <c r="AV39" i="99"/>
  <c r="AU39" i="99"/>
  <c r="AT39" i="99"/>
  <c r="AS39" i="99"/>
  <c r="AR39" i="99"/>
  <c r="AQ39" i="99"/>
  <c r="AP39" i="99"/>
  <c r="AO39" i="99"/>
  <c r="AN39" i="99"/>
  <c r="AM39" i="99"/>
  <c r="AL39" i="99"/>
  <c r="AK39" i="99"/>
  <c r="AJ39" i="99"/>
  <c r="BG38" i="99"/>
  <c r="BF38" i="99"/>
  <c r="BE38" i="99"/>
  <c r="BD38" i="99"/>
  <c r="BC38" i="99"/>
  <c r="BB38" i="99"/>
  <c r="BA38" i="99"/>
  <c r="AZ38" i="99"/>
  <c r="AY38" i="99"/>
  <c r="AX38" i="99"/>
  <c r="AW38" i="99"/>
  <c r="AV38" i="99"/>
  <c r="AU38" i="99"/>
  <c r="AT38" i="99"/>
  <c r="AS38" i="99"/>
  <c r="AR38" i="99"/>
  <c r="AQ38" i="99"/>
  <c r="AP38" i="99"/>
  <c r="AO38" i="99"/>
  <c r="AN38" i="99"/>
  <c r="AM38" i="99"/>
  <c r="AL38" i="99"/>
  <c r="AK38" i="99"/>
  <c r="AJ38" i="99"/>
  <c r="BG37" i="99"/>
  <c r="BF37" i="99"/>
  <c r="BE37" i="99"/>
  <c r="BD37" i="99"/>
  <c r="BC37" i="99"/>
  <c r="BB37" i="99"/>
  <c r="BA37" i="99"/>
  <c r="AZ37" i="99"/>
  <c r="AY37" i="99"/>
  <c r="AX37" i="99"/>
  <c r="AW37" i="99"/>
  <c r="AV37" i="99"/>
  <c r="AU37" i="99"/>
  <c r="AT37" i="99"/>
  <c r="AS37" i="99"/>
  <c r="AR37" i="99"/>
  <c r="AQ37" i="99"/>
  <c r="AP37" i="99"/>
  <c r="AO37" i="99"/>
  <c r="AN37" i="99"/>
  <c r="AM37" i="99"/>
  <c r="AL37" i="99"/>
  <c r="AK37" i="99"/>
  <c r="AJ37" i="99"/>
  <c r="BG36" i="99"/>
  <c r="BF36" i="99"/>
  <c r="BE36" i="99"/>
  <c r="BD36" i="99"/>
  <c r="BC36" i="99"/>
  <c r="BB36" i="99"/>
  <c r="BA36" i="99"/>
  <c r="AZ36" i="99"/>
  <c r="AY36" i="99"/>
  <c r="AX36" i="99"/>
  <c r="AW36" i="99"/>
  <c r="AV36" i="99"/>
  <c r="AU36" i="99"/>
  <c r="AT36" i="99"/>
  <c r="AS36" i="99"/>
  <c r="AR36" i="99"/>
  <c r="AQ36" i="99"/>
  <c r="AP36" i="99"/>
  <c r="AO36" i="99"/>
  <c r="AN36" i="99"/>
  <c r="AM36" i="99"/>
  <c r="AL36" i="99"/>
  <c r="AK36" i="99"/>
  <c r="AJ36" i="99"/>
  <c r="BG35" i="99"/>
  <c r="BF35" i="99"/>
  <c r="BE35" i="99"/>
  <c r="BD35" i="99"/>
  <c r="BC35" i="99"/>
  <c r="BB35" i="99"/>
  <c r="BA35" i="99"/>
  <c r="AZ35" i="99"/>
  <c r="AY35" i="99"/>
  <c r="AX35" i="99"/>
  <c r="AW35" i="99"/>
  <c r="AV35" i="99"/>
  <c r="AU35" i="99"/>
  <c r="AT35" i="99"/>
  <c r="AS35" i="99"/>
  <c r="AR35" i="99"/>
  <c r="AQ35" i="99"/>
  <c r="AP35" i="99"/>
  <c r="AO35" i="99"/>
  <c r="AN35" i="99"/>
  <c r="AM35" i="99"/>
  <c r="AL35" i="99"/>
  <c r="AK35" i="99"/>
  <c r="AJ35" i="99"/>
  <c r="BG34" i="99"/>
  <c r="BF34" i="99"/>
  <c r="BE34" i="99"/>
  <c r="BD34" i="99"/>
  <c r="BC34" i="99"/>
  <c r="BB34" i="99"/>
  <c r="BA34" i="99"/>
  <c r="AZ34" i="99"/>
  <c r="AY34" i="99"/>
  <c r="AX34" i="99"/>
  <c r="AW34" i="99"/>
  <c r="AV34" i="99"/>
  <c r="AU34" i="99"/>
  <c r="AT34" i="99"/>
  <c r="AS34" i="99"/>
  <c r="AR34" i="99"/>
  <c r="AQ34" i="99"/>
  <c r="AP34" i="99"/>
  <c r="AO34" i="99"/>
  <c r="AN34" i="99"/>
  <c r="AM34" i="99"/>
  <c r="AL34" i="99"/>
  <c r="AK34" i="99"/>
  <c r="AJ34" i="99"/>
  <c r="BG33" i="99"/>
  <c r="BF33" i="99"/>
  <c r="BE33" i="99"/>
  <c r="BD33" i="99"/>
  <c r="BC33" i="99"/>
  <c r="BB33" i="99"/>
  <c r="BA33" i="99"/>
  <c r="AZ33" i="99"/>
  <c r="AY33" i="99"/>
  <c r="AX33" i="99"/>
  <c r="AW33" i="99"/>
  <c r="AV33" i="99"/>
  <c r="AU33" i="99"/>
  <c r="AT33" i="99"/>
  <c r="AS33" i="99"/>
  <c r="AR33" i="99"/>
  <c r="AQ33" i="99"/>
  <c r="AP33" i="99"/>
  <c r="AO33" i="99"/>
  <c r="AN33" i="99"/>
  <c r="AM33" i="99"/>
  <c r="AL33" i="99"/>
  <c r="AK33" i="99"/>
  <c r="AJ33" i="99"/>
  <c r="BG32" i="99"/>
  <c r="BF32" i="99"/>
  <c r="BE32" i="99"/>
  <c r="BD32" i="99"/>
  <c r="BC32" i="99"/>
  <c r="BB32" i="99"/>
  <c r="BA32" i="99"/>
  <c r="AZ32" i="99"/>
  <c r="AY32" i="99"/>
  <c r="AX32" i="99"/>
  <c r="AW32" i="99"/>
  <c r="AV32" i="99"/>
  <c r="AU32" i="99"/>
  <c r="AT32" i="99"/>
  <c r="AS32" i="99"/>
  <c r="AR32" i="99"/>
  <c r="AQ32" i="99"/>
  <c r="AP32" i="99"/>
  <c r="AO32" i="99"/>
  <c r="AN32" i="99"/>
  <c r="AM32" i="99"/>
  <c r="AL32" i="99"/>
  <c r="AK32" i="99"/>
  <c r="AJ32" i="99"/>
  <c r="BG31" i="99"/>
  <c r="BF31" i="99"/>
  <c r="BE31" i="99"/>
  <c r="BD31" i="99"/>
  <c r="BC31" i="99"/>
  <c r="BB31" i="99"/>
  <c r="BA31" i="99"/>
  <c r="AZ31" i="99"/>
  <c r="AY31" i="99"/>
  <c r="AX31" i="99"/>
  <c r="AW31" i="99"/>
  <c r="AV31" i="99"/>
  <c r="AU31" i="99"/>
  <c r="AT31" i="99"/>
  <c r="AS31" i="99"/>
  <c r="AR31" i="99"/>
  <c r="AQ31" i="99"/>
  <c r="AP31" i="99"/>
  <c r="AO31" i="99"/>
  <c r="AN31" i="99"/>
  <c r="AM31" i="99"/>
  <c r="AL31" i="99"/>
  <c r="AK31" i="99"/>
  <c r="AJ31" i="99"/>
  <c r="BG30" i="99"/>
  <c r="BF30" i="99"/>
  <c r="BE30" i="99"/>
  <c r="BD30" i="99"/>
  <c r="BC30" i="99"/>
  <c r="BB30" i="99"/>
  <c r="BA30" i="99"/>
  <c r="AZ30" i="99"/>
  <c r="AY30" i="99"/>
  <c r="AX30" i="99"/>
  <c r="AW30" i="99"/>
  <c r="AV30" i="99"/>
  <c r="AU30" i="99"/>
  <c r="AT30" i="99"/>
  <c r="AS30" i="99"/>
  <c r="AR30" i="99"/>
  <c r="AQ30" i="99"/>
  <c r="AP30" i="99"/>
  <c r="AO30" i="99"/>
  <c r="AN30" i="99"/>
  <c r="AM30" i="99"/>
  <c r="AL30" i="99"/>
  <c r="AK30" i="99"/>
  <c r="AJ30" i="99"/>
  <c r="BG29" i="99"/>
  <c r="BF29" i="99"/>
  <c r="BE29" i="99"/>
  <c r="BD29" i="99"/>
  <c r="BC29" i="99"/>
  <c r="BB29" i="99"/>
  <c r="BA29" i="99"/>
  <c r="AZ29" i="99"/>
  <c r="AY29" i="99"/>
  <c r="AX29" i="99"/>
  <c r="AW29" i="99"/>
  <c r="AV29" i="99"/>
  <c r="AU29" i="99"/>
  <c r="AT29" i="99"/>
  <c r="AS29" i="99"/>
  <c r="AR29" i="99"/>
  <c r="AQ29" i="99"/>
  <c r="AP29" i="99"/>
  <c r="AO29" i="99"/>
  <c r="AN29" i="99"/>
  <c r="AM29" i="99"/>
  <c r="AL29" i="99"/>
  <c r="AK29" i="99"/>
  <c r="AJ29" i="99"/>
  <c r="BG28" i="99"/>
  <c r="BF28" i="99"/>
  <c r="BE28" i="99"/>
  <c r="BD28" i="99"/>
  <c r="BC28" i="99"/>
  <c r="BB28" i="99"/>
  <c r="BA28" i="99"/>
  <c r="AZ28" i="99"/>
  <c r="AY28" i="99"/>
  <c r="AX28" i="99"/>
  <c r="AW28" i="99"/>
  <c r="AV28" i="99"/>
  <c r="AU28" i="99"/>
  <c r="AT28" i="99"/>
  <c r="AS28" i="99"/>
  <c r="AR28" i="99"/>
  <c r="AQ28" i="99"/>
  <c r="AP28" i="99"/>
  <c r="AO28" i="99"/>
  <c r="AN28" i="99"/>
  <c r="AM28" i="99"/>
  <c r="AL28" i="99"/>
  <c r="AK28" i="99"/>
  <c r="AJ28" i="99"/>
  <c r="BG27" i="99"/>
  <c r="BF27" i="99"/>
  <c r="BE27" i="99"/>
  <c r="BD27" i="99"/>
  <c r="BC27" i="99"/>
  <c r="BB27" i="99"/>
  <c r="BA27" i="99"/>
  <c r="AZ27" i="99"/>
  <c r="AY27" i="99"/>
  <c r="AX27" i="99"/>
  <c r="AW27" i="99"/>
  <c r="AV27" i="99"/>
  <c r="AU27" i="99"/>
  <c r="AT27" i="99"/>
  <c r="AS27" i="99"/>
  <c r="AR27" i="99"/>
  <c r="AQ27" i="99"/>
  <c r="AP27" i="99"/>
  <c r="AO27" i="99"/>
  <c r="AN27" i="99"/>
  <c r="AM27" i="99"/>
  <c r="AL27" i="99"/>
  <c r="AK27" i="99"/>
  <c r="AJ27" i="99"/>
  <c r="BG26" i="99"/>
  <c r="BF26" i="99"/>
  <c r="BE26" i="99"/>
  <c r="BD26" i="99"/>
  <c r="BC26" i="99"/>
  <c r="BB26" i="99"/>
  <c r="BA26" i="99"/>
  <c r="AZ26" i="99"/>
  <c r="AY26" i="99"/>
  <c r="AX26" i="99"/>
  <c r="AW26" i="99"/>
  <c r="AV26" i="99"/>
  <c r="AU26" i="99"/>
  <c r="AT26" i="99"/>
  <c r="AS26" i="99"/>
  <c r="AR26" i="99"/>
  <c r="AQ26" i="99"/>
  <c r="AP26" i="99"/>
  <c r="AO26" i="99"/>
  <c r="AN26" i="99"/>
  <c r="AM26" i="99"/>
  <c r="AL26" i="99"/>
  <c r="AK26" i="99"/>
  <c r="AJ26" i="99"/>
  <c r="BG25" i="99"/>
  <c r="BF25" i="99"/>
  <c r="BE25" i="99"/>
  <c r="BD25" i="99"/>
  <c r="BC25" i="99"/>
  <c r="BB25" i="99"/>
  <c r="BA25" i="99"/>
  <c r="AZ25" i="99"/>
  <c r="AY25" i="99"/>
  <c r="AX25" i="99"/>
  <c r="AW25" i="99"/>
  <c r="AV25" i="99"/>
  <c r="AU25" i="99"/>
  <c r="AT25" i="99"/>
  <c r="AS25" i="99"/>
  <c r="AR25" i="99"/>
  <c r="AQ25" i="99"/>
  <c r="AP25" i="99"/>
  <c r="AO25" i="99"/>
  <c r="AN25" i="99"/>
  <c r="AM25" i="99"/>
  <c r="AL25" i="99"/>
  <c r="AK25" i="99"/>
  <c r="AJ25" i="99"/>
  <c r="BG24" i="99"/>
  <c r="BF24" i="99"/>
  <c r="BE24" i="99"/>
  <c r="BD24" i="99"/>
  <c r="BC24" i="99"/>
  <c r="BB24" i="99"/>
  <c r="BA24" i="99"/>
  <c r="AZ24" i="99"/>
  <c r="AY24" i="99"/>
  <c r="AX24" i="99"/>
  <c r="AW24" i="99"/>
  <c r="AV24" i="99"/>
  <c r="AU24" i="99"/>
  <c r="AT24" i="99"/>
  <c r="AS24" i="99"/>
  <c r="AR24" i="99"/>
  <c r="AQ24" i="99"/>
  <c r="AP24" i="99"/>
  <c r="AO24" i="99"/>
  <c r="AN24" i="99"/>
  <c r="AM24" i="99"/>
  <c r="AL24" i="99"/>
  <c r="AK24" i="99"/>
  <c r="AJ24" i="99"/>
  <c r="BG23" i="99"/>
  <c r="BF23" i="99"/>
  <c r="BE23" i="99"/>
  <c r="BD23" i="99"/>
  <c r="BC23" i="99"/>
  <c r="BB23" i="99"/>
  <c r="BA23" i="99"/>
  <c r="AZ23" i="99"/>
  <c r="AY23" i="99"/>
  <c r="AX23" i="99"/>
  <c r="AW23" i="99"/>
  <c r="AV23" i="99"/>
  <c r="AU23" i="99"/>
  <c r="AT23" i="99"/>
  <c r="AS23" i="99"/>
  <c r="AR23" i="99"/>
  <c r="AQ23" i="99"/>
  <c r="AP23" i="99"/>
  <c r="AO23" i="99"/>
  <c r="AN23" i="99"/>
  <c r="AM23" i="99"/>
  <c r="AL23" i="99"/>
  <c r="AK23" i="99"/>
  <c r="AJ23" i="99"/>
  <c r="BG22" i="99"/>
  <c r="BF22" i="99"/>
  <c r="BE22" i="99"/>
  <c r="BD22" i="99"/>
  <c r="BC22" i="99"/>
  <c r="BB22" i="99"/>
  <c r="BA22" i="99"/>
  <c r="AZ22" i="99"/>
  <c r="AY22" i="99"/>
  <c r="AX22" i="99"/>
  <c r="AW22" i="99"/>
  <c r="AV22" i="99"/>
  <c r="AU22" i="99"/>
  <c r="AT22" i="99"/>
  <c r="AS22" i="99"/>
  <c r="AR22" i="99"/>
  <c r="AQ22" i="99"/>
  <c r="AP22" i="99"/>
  <c r="AO22" i="99"/>
  <c r="AN22" i="99"/>
  <c r="AM22" i="99"/>
  <c r="AL22" i="99"/>
  <c r="AK22" i="99"/>
  <c r="AJ22" i="99"/>
  <c r="BG21" i="99"/>
  <c r="BF21" i="99"/>
  <c r="BE21" i="99"/>
  <c r="BD21" i="99"/>
  <c r="BC21" i="99"/>
  <c r="BB21" i="99"/>
  <c r="BA21" i="99"/>
  <c r="AZ21" i="99"/>
  <c r="AY21" i="99"/>
  <c r="AX21" i="99"/>
  <c r="AW21" i="99"/>
  <c r="AV21" i="99"/>
  <c r="AU21" i="99"/>
  <c r="AT21" i="99"/>
  <c r="AS21" i="99"/>
  <c r="AR21" i="99"/>
  <c r="AQ21" i="99"/>
  <c r="AP21" i="99"/>
  <c r="AO21" i="99"/>
  <c r="AN21" i="99"/>
  <c r="AM21" i="99"/>
  <c r="AL21" i="99"/>
  <c r="AK21" i="99"/>
  <c r="AJ21" i="99"/>
  <c r="BG20" i="99"/>
  <c r="BF20" i="99"/>
  <c r="BE20" i="99"/>
  <c r="BD20" i="99"/>
  <c r="BC20" i="99"/>
  <c r="BB20" i="99"/>
  <c r="BA20" i="99"/>
  <c r="AZ20" i="99"/>
  <c r="AY20" i="99"/>
  <c r="AX20" i="99"/>
  <c r="AW20" i="99"/>
  <c r="AV20" i="99"/>
  <c r="AU20" i="99"/>
  <c r="AT20" i="99"/>
  <c r="AS20" i="99"/>
  <c r="AR20" i="99"/>
  <c r="AQ20" i="99"/>
  <c r="AP20" i="99"/>
  <c r="AO20" i="99"/>
  <c r="AN20" i="99"/>
  <c r="AM20" i="99"/>
  <c r="AL20" i="99"/>
  <c r="AK20" i="99"/>
  <c r="AJ20" i="99"/>
  <c r="BG19" i="99"/>
  <c r="BF19" i="99"/>
  <c r="BE19" i="99"/>
  <c r="BD19" i="99"/>
  <c r="BC19" i="99"/>
  <c r="BB19" i="99"/>
  <c r="BA19" i="99"/>
  <c r="AZ19" i="99"/>
  <c r="AY19" i="99"/>
  <c r="AX19" i="99"/>
  <c r="AW19" i="99"/>
  <c r="AV19" i="99"/>
  <c r="AU19" i="99"/>
  <c r="AT19" i="99"/>
  <c r="AS19" i="99"/>
  <c r="AR19" i="99"/>
  <c r="AQ19" i="99"/>
  <c r="AP19" i="99"/>
  <c r="AO19" i="99"/>
  <c r="AN19" i="99"/>
  <c r="AM19" i="99"/>
  <c r="AL19" i="99"/>
  <c r="AK19" i="99"/>
  <c r="AJ19" i="99"/>
  <c r="BG18" i="99"/>
  <c r="BF18" i="99"/>
  <c r="BE18" i="99"/>
  <c r="BD18" i="99"/>
  <c r="BC18" i="99"/>
  <c r="BB18" i="99"/>
  <c r="BA18" i="99"/>
  <c r="AZ18" i="99"/>
  <c r="AY18" i="99"/>
  <c r="AX18" i="99"/>
  <c r="AW18" i="99"/>
  <c r="AV18" i="99"/>
  <c r="AU18" i="99"/>
  <c r="AT18" i="99"/>
  <c r="AS18" i="99"/>
  <c r="AR18" i="99"/>
  <c r="AQ18" i="99"/>
  <c r="AP18" i="99"/>
  <c r="AO18" i="99"/>
  <c r="AN18" i="99"/>
  <c r="AM18" i="99"/>
  <c r="AL18" i="99"/>
  <c r="AK18" i="99"/>
  <c r="AJ18" i="99"/>
  <c r="BG17" i="99"/>
  <c r="BF17" i="99"/>
  <c r="BE17" i="99"/>
  <c r="BD17" i="99"/>
  <c r="BC17" i="99"/>
  <c r="BB17" i="99"/>
  <c r="BA17" i="99"/>
  <c r="AZ17" i="99"/>
  <c r="AY17" i="99"/>
  <c r="AX17" i="99"/>
  <c r="AW17" i="99"/>
  <c r="AV17" i="99"/>
  <c r="AU17" i="99"/>
  <c r="AT17" i="99"/>
  <c r="AS17" i="99"/>
  <c r="AR17" i="99"/>
  <c r="AQ17" i="99"/>
  <c r="AP17" i="99"/>
  <c r="AO17" i="99"/>
  <c r="AN17" i="99"/>
  <c r="AM17" i="99"/>
  <c r="AL17" i="99"/>
  <c r="AK17" i="99"/>
  <c r="AJ17" i="99"/>
  <c r="BG16" i="99"/>
  <c r="BF16" i="99"/>
  <c r="BE16" i="99"/>
  <c r="BD16" i="99"/>
  <c r="BC16" i="99"/>
  <c r="BB16" i="99"/>
  <c r="BA16" i="99"/>
  <c r="AZ16" i="99"/>
  <c r="AY16" i="99"/>
  <c r="AX16" i="99"/>
  <c r="AW16" i="99"/>
  <c r="AV16" i="99"/>
  <c r="AU16" i="99"/>
  <c r="AT16" i="99"/>
  <c r="AS16" i="99"/>
  <c r="AR16" i="99"/>
  <c r="AQ16" i="99"/>
  <c r="AP16" i="99"/>
  <c r="AO16" i="99"/>
  <c r="AN16" i="99"/>
  <c r="AM16" i="99"/>
  <c r="AL16" i="99"/>
  <c r="AK16" i="99"/>
  <c r="AJ16" i="99"/>
  <c r="BG15" i="99"/>
  <c r="BF15" i="99"/>
  <c r="BE15" i="99"/>
  <c r="BD15" i="99"/>
  <c r="BC15" i="99"/>
  <c r="BB15" i="99"/>
  <c r="BA15" i="99"/>
  <c r="AZ15" i="99"/>
  <c r="AY15" i="99"/>
  <c r="AX15" i="99"/>
  <c r="AW15" i="99"/>
  <c r="AV15" i="99"/>
  <c r="AU15" i="99"/>
  <c r="AT15" i="99"/>
  <c r="AS15" i="99"/>
  <c r="AR15" i="99"/>
  <c r="AQ15" i="99"/>
  <c r="AP15" i="99"/>
  <c r="AO15" i="99"/>
  <c r="AN15" i="99"/>
  <c r="AM15" i="99"/>
  <c r="AL15" i="99"/>
  <c r="AK15" i="99"/>
  <c r="AJ15" i="99"/>
  <c r="BL14" i="99"/>
  <c r="BK14" i="99"/>
  <c r="BJ14" i="99"/>
  <c r="BI14" i="99"/>
  <c r="BH14" i="99"/>
  <c r="BG14" i="99"/>
  <c r="BF14" i="99"/>
  <c r="BE14" i="99"/>
  <c r="BD14" i="99"/>
  <c r="BC14" i="99"/>
  <c r="BB14" i="99"/>
  <c r="BA14" i="99"/>
  <c r="AZ14" i="99"/>
  <c r="AY14" i="99"/>
  <c r="AX14" i="99"/>
  <c r="AW14" i="99"/>
  <c r="AV14" i="99"/>
  <c r="AU14" i="99"/>
  <c r="AT14" i="99"/>
  <c r="AS14" i="99"/>
  <c r="AR14" i="99"/>
  <c r="AQ14" i="99"/>
  <c r="AP14" i="99"/>
  <c r="AO14" i="99"/>
  <c r="AN14" i="99"/>
  <c r="AM14" i="99"/>
  <c r="AL14" i="99"/>
  <c r="BL13" i="99"/>
  <c r="BK13" i="99"/>
  <c r="BJ13" i="99"/>
  <c r="BI13" i="99"/>
  <c r="BH13" i="99"/>
  <c r="BG13" i="99"/>
  <c r="BF13" i="99"/>
  <c r="BE13" i="99"/>
  <c r="BD13" i="99"/>
  <c r="BA13" i="99"/>
  <c r="AZ13" i="99"/>
  <c r="AY13" i="99"/>
  <c r="AX13" i="99"/>
  <c r="AW13" i="99"/>
  <c r="AV13" i="99"/>
  <c r="AU13" i="99"/>
  <c r="AT13" i="99"/>
  <c r="AS13" i="99"/>
  <c r="AR13" i="99"/>
  <c r="AQ13" i="99"/>
  <c r="AP13" i="99"/>
  <c r="AO13" i="99"/>
  <c r="AN13" i="99"/>
  <c r="AM13" i="99"/>
  <c r="AL13" i="99"/>
  <c r="BG44" i="100"/>
  <c r="BF44" i="100"/>
  <c r="BE44" i="100"/>
  <c r="BD44" i="100"/>
  <c r="BC44" i="100"/>
  <c r="BB44" i="100"/>
  <c r="BA44" i="100"/>
  <c r="AZ44" i="100"/>
  <c r="AY44" i="100"/>
  <c r="AX44" i="100"/>
  <c r="AW44" i="100"/>
  <c r="AV44" i="100"/>
  <c r="AU44" i="100"/>
  <c r="AT44" i="100"/>
  <c r="AS44" i="100"/>
  <c r="AR44" i="100"/>
  <c r="AQ44" i="100"/>
  <c r="AP44" i="100"/>
  <c r="AO44" i="100"/>
  <c r="AN44" i="100"/>
  <c r="AM44" i="100"/>
  <c r="AL44" i="100"/>
  <c r="AK44" i="100"/>
  <c r="AJ44" i="100"/>
  <c r="BG43" i="100"/>
  <c r="BF43" i="100"/>
  <c r="BE43" i="100"/>
  <c r="BD43" i="100"/>
  <c r="BC43" i="100"/>
  <c r="BB43" i="100"/>
  <c r="BA43" i="100"/>
  <c r="AZ43" i="100"/>
  <c r="AY43" i="100"/>
  <c r="AX43" i="100"/>
  <c r="AW43" i="100"/>
  <c r="AV43" i="100"/>
  <c r="AU43" i="100"/>
  <c r="AT43" i="100"/>
  <c r="AS43" i="100"/>
  <c r="AR43" i="100"/>
  <c r="AQ43" i="100"/>
  <c r="AP43" i="100"/>
  <c r="AO43" i="100"/>
  <c r="AN43" i="100"/>
  <c r="AM43" i="100"/>
  <c r="AL43" i="100"/>
  <c r="AK43" i="100"/>
  <c r="AJ43" i="100"/>
  <c r="BG42" i="100"/>
  <c r="BF42" i="100"/>
  <c r="BE42" i="100"/>
  <c r="BD42" i="100"/>
  <c r="BC42" i="100"/>
  <c r="BB42" i="100"/>
  <c r="BA42" i="100"/>
  <c r="AZ42" i="100"/>
  <c r="AY42" i="100"/>
  <c r="AX42" i="100"/>
  <c r="AW42" i="100"/>
  <c r="AV42" i="100"/>
  <c r="AU42" i="100"/>
  <c r="AT42" i="100"/>
  <c r="AS42" i="100"/>
  <c r="AR42" i="100"/>
  <c r="AQ42" i="100"/>
  <c r="AP42" i="100"/>
  <c r="AO42" i="100"/>
  <c r="AN42" i="100"/>
  <c r="AM42" i="100"/>
  <c r="AL42" i="100"/>
  <c r="AK42" i="100"/>
  <c r="AJ42" i="100"/>
  <c r="BG41" i="100"/>
  <c r="BF41" i="100"/>
  <c r="BE41" i="100"/>
  <c r="BD41" i="100"/>
  <c r="BC41" i="100"/>
  <c r="BB41" i="100"/>
  <c r="BA41" i="100"/>
  <c r="AZ41" i="100"/>
  <c r="AY41" i="100"/>
  <c r="AX41" i="100"/>
  <c r="AW41" i="100"/>
  <c r="AV41" i="100"/>
  <c r="AU41" i="100"/>
  <c r="AT41" i="100"/>
  <c r="AS41" i="100"/>
  <c r="AR41" i="100"/>
  <c r="AQ41" i="100"/>
  <c r="AP41" i="100"/>
  <c r="AO41" i="100"/>
  <c r="AN41" i="100"/>
  <c r="AM41" i="100"/>
  <c r="AL41" i="100"/>
  <c r="AK41" i="100"/>
  <c r="AJ41" i="100"/>
  <c r="BG40" i="100"/>
  <c r="BF40" i="100"/>
  <c r="BE40" i="100"/>
  <c r="BD40" i="100"/>
  <c r="BC40" i="100"/>
  <c r="BB40" i="100"/>
  <c r="BA40" i="100"/>
  <c r="AZ40" i="100"/>
  <c r="AY40" i="100"/>
  <c r="AX40" i="100"/>
  <c r="AW40" i="100"/>
  <c r="AV40" i="100"/>
  <c r="AU40" i="100"/>
  <c r="AT40" i="100"/>
  <c r="AS40" i="100"/>
  <c r="AR40" i="100"/>
  <c r="AQ40" i="100"/>
  <c r="AP40" i="100"/>
  <c r="AO40" i="100"/>
  <c r="AN40" i="100"/>
  <c r="AM40" i="100"/>
  <c r="AL40" i="100"/>
  <c r="AK40" i="100"/>
  <c r="AJ40" i="100"/>
  <c r="BG39" i="100"/>
  <c r="BF39" i="100"/>
  <c r="BE39" i="100"/>
  <c r="BD39" i="100"/>
  <c r="BC39" i="100"/>
  <c r="BB39" i="100"/>
  <c r="BA39" i="100"/>
  <c r="AZ39" i="100"/>
  <c r="AY39" i="100"/>
  <c r="AX39" i="100"/>
  <c r="AW39" i="100"/>
  <c r="AV39" i="100"/>
  <c r="AU39" i="100"/>
  <c r="AT39" i="100"/>
  <c r="AS39" i="100"/>
  <c r="AR39" i="100"/>
  <c r="AQ39" i="100"/>
  <c r="AP39" i="100"/>
  <c r="AO39" i="100"/>
  <c r="AN39" i="100"/>
  <c r="AM39" i="100"/>
  <c r="AL39" i="100"/>
  <c r="AK39" i="100"/>
  <c r="AJ39" i="100"/>
  <c r="BG38" i="100"/>
  <c r="BF38" i="100"/>
  <c r="BE38" i="100"/>
  <c r="BD38" i="100"/>
  <c r="BC38" i="100"/>
  <c r="BB38" i="100"/>
  <c r="BA38" i="100"/>
  <c r="AZ38" i="100"/>
  <c r="AY38" i="100"/>
  <c r="AX38" i="100"/>
  <c r="AW38" i="100"/>
  <c r="AV38" i="100"/>
  <c r="AU38" i="100"/>
  <c r="AT38" i="100"/>
  <c r="AS38" i="100"/>
  <c r="AR38" i="100"/>
  <c r="AQ38" i="100"/>
  <c r="AP38" i="100"/>
  <c r="AO38" i="100"/>
  <c r="AN38" i="100"/>
  <c r="AM38" i="100"/>
  <c r="AL38" i="100"/>
  <c r="AK38" i="100"/>
  <c r="AJ38" i="100"/>
  <c r="BG37" i="100"/>
  <c r="BF37" i="100"/>
  <c r="BE37" i="100"/>
  <c r="BD37" i="100"/>
  <c r="BC37" i="100"/>
  <c r="BB37" i="100"/>
  <c r="BA37" i="100"/>
  <c r="AZ37" i="100"/>
  <c r="AY37" i="100"/>
  <c r="AX37" i="100"/>
  <c r="AW37" i="100"/>
  <c r="AV37" i="100"/>
  <c r="AU37" i="100"/>
  <c r="AT37" i="100"/>
  <c r="AS37" i="100"/>
  <c r="AR37" i="100"/>
  <c r="AQ37" i="100"/>
  <c r="AP37" i="100"/>
  <c r="AO37" i="100"/>
  <c r="AN37" i="100"/>
  <c r="AM37" i="100"/>
  <c r="AL37" i="100"/>
  <c r="AK37" i="100"/>
  <c r="AJ37" i="100"/>
  <c r="BG36" i="100"/>
  <c r="BF36" i="100"/>
  <c r="BE36" i="100"/>
  <c r="BD36" i="100"/>
  <c r="BC36" i="100"/>
  <c r="BB36" i="100"/>
  <c r="BA36" i="100"/>
  <c r="AZ36" i="100"/>
  <c r="AY36" i="100"/>
  <c r="AX36" i="100"/>
  <c r="AW36" i="100"/>
  <c r="AV36" i="100"/>
  <c r="AU36" i="100"/>
  <c r="AT36" i="100"/>
  <c r="AS36" i="100"/>
  <c r="AR36" i="100"/>
  <c r="AQ36" i="100"/>
  <c r="AP36" i="100"/>
  <c r="AO36" i="100"/>
  <c r="AN36" i="100"/>
  <c r="AM36" i="100"/>
  <c r="AL36" i="100"/>
  <c r="AK36" i="100"/>
  <c r="AJ36" i="100"/>
  <c r="BG35" i="100"/>
  <c r="BF35" i="100"/>
  <c r="BE35" i="100"/>
  <c r="BD35" i="100"/>
  <c r="BC35" i="100"/>
  <c r="BB35" i="100"/>
  <c r="BA35" i="100"/>
  <c r="AZ35" i="100"/>
  <c r="AY35" i="100"/>
  <c r="AX35" i="100"/>
  <c r="AW35" i="100"/>
  <c r="AV35" i="100"/>
  <c r="AU35" i="100"/>
  <c r="AT35" i="100"/>
  <c r="AS35" i="100"/>
  <c r="AR35" i="100"/>
  <c r="AQ35" i="100"/>
  <c r="AP35" i="100"/>
  <c r="AO35" i="100"/>
  <c r="AN35" i="100"/>
  <c r="AM35" i="100"/>
  <c r="AL35" i="100"/>
  <c r="AK35" i="100"/>
  <c r="AJ35" i="100"/>
  <c r="BG34" i="100"/>
  <c r="BF34" i="100"/>
  <c r="BE34" i="100"/>
  <c r="BD34" i="100"/>
  <c r="BC34" i="100"/>
  <c r="BB34" i="100"/>
  <c r="BA34" i="100"/>
  <c r="AZ34" i="100"/>
  <c r="AY34" i="100"/>
  <c r="AX34" i="100"/>
  <c r="AW34" i="100"/>
  <c r="AV34" i="100"/>
  <c r="AU34" i="100"/>
  <c r="AT34" i="100"/>
  <c r="AS34" i="100"/>
  <c r="AR34" i="100"/>
  <c r="AQ34" i="100"/>
  <c r="AP34" i="100"/>
  <c r="AO34" i="100"/>
  <c r="AN34" i="100"/>
  <c r="AM34" i="100"/>
  <c r="AL34" i="100"/>
  <c r="AK34" i="100"/>
  <c r="AJ34" i="100"/>
  <c r="BG33" i="100"/>
  <c r="BF33" i="100"/>
  <c r="BE33" i="100"/>
  <c r="BD33" i="100"/>
  <c r="BC33" i="100"/>
  <c r="BB33" i="100"/>
  <c r="BA33" i="100"/>
  <c r="AZ33" i="100"/>
  <c r="AY33" i="100"/>
  <c r="AX33" i="100"/>
  <c r="AW33" i="100"/>
  <c r="AV33" i="100"/>
  <c r="AU33" i="100"/>
  <c r="AT33" i="100"/>
  <c r="AS33" i="100"/>
  <c r="AR33" i="100"/>
  <c r="AQ33" i="100"/>
  <c r="AP33" i="100"/>
  <c r="AO33" i="100"/>
  <c r="AN33" i="100"/>
  <c r="AM33" i="100"/>
  <c r="AL33" i="100"/>
  <c r="AK33" i="100"/>
  <c r="AJ33" i="100"/>
  <c r="BG32" i="100"/>
  <c r="BF32" i="100"/>
  <c r="BE32" i="100"/>
  <c r="BD32" i="100"/>
  <c r="BC32" i="100"/>
  <c r="BB32" i="100"/>
  <c r="BA32" i="100"/>
  <c r="AZ32" i="100"/>
  <c r="AY32" i="100"/>
  <c r="AX32" i="100"/>
  <c r="AW32" i="100"/>
  <c r="AV32" i="100"/>
  <c r="AU32" i="100"/>
  <c r="AT32" i="100"/>
  <c r="AS32" i="100"/>
  <c r="AR32" i="100"/>
  <c r="AQ32" i="100"/>
  <c r="AP32" i="100"/>
  <c r="AO32" i="100"/>
  <c r="AN32" i="100"/>
  <c r="AM32" i="100"/>
  <c r="AL32" i="100"/>
  <c r="AK32" i="100"/>
  <c r="AJ32" i="100"/>
  <c r="BG31" i="100"/>
  <c r="BF31" i="100"/>
  <c r="BE31" i="100"/>
  <c r="BD31" i="100"/>
  <c r="BC31" i="100"/>
  <c r="BB31" i="100"/>
  <c r="BA31" i="100"/>
  <c r="AZ31" i="100"/>
  <c r="AY31" i="100"/>
  <c r="AX31" i="100"/>
  <c r="AW31" i="100"/>
  <c r="AV31" i="100"/>
  <c r="AU31" i="100"/>
  <c r="AT31" i="100"/>
  <c r="AS31" i="100"/>
  <c r="AR31" i="100"/>
  <c r="AQ31" i="100"/>
  <c r="AP31" i="100"/>
  <c r="AO31" i="100"/>
  <c r="AN31" i="100"/>
  <c r="AM31" i="100"/>
  <c r="AL31" i="100"/>
  <c r="AK31" i="100"/>
  <c r="AJ31" i="100"/>
  <c r="BG30" i="100"/>
  <c r="BF30" i="100"/>
  <c r="BE30" i="100"/>
  <c r="BD30" i="100"/>
  <c r="BC30" i="100"/>
  <c r="BB30" i="100"/>
  <c r="BA30" i="100"/>
  <c r="AZ30" i="100"/>
  <c r="AY30" i="100"/>
  <c r="AX30" i="100"/>
  <c r="AW30" i="100"/>
  <c r="AV30" i="100"/>
  <c r="AU30" i="100"/>
  <c r="AT30" i="100"/>
  <c r="AS30" i="100"/>
  <c r="AR30" i="100"/>
  <c r="AQ30" i="100"/>
  <c r="AP30" i="100"/>
  <c r="AO30" i="100"/>
  <c r="AN30" i="100"/>
  <c r="AM30" i="100"/>
  <c r="AL30" i="100"/>
  <c r="AK30" i="100"/>
  <c r="AJ30" i="100"/>
  <c r="BG29" i="100"/>
  <c r="BF29" i="100"/>
  <c r="BE29" i="100"/>
  <c r="BD29" i="100"/>
  <c r="BC29" i="100"/>
  <c r="BB29" i="100"/>
  <c r="BA29" i="100"/>
  <c r="AZ29" i="100"/>
  <c r="AY29" i="100"/>
  <c r="AX29" i="100"/>
  <c r="AW29" i="100"/>
  <c r="AV29" i="100"/>
  <c r="AU29" i="100"/>
  <c r="AT29" i="100"/>
  <c r="AS29" i="100"/>
  <c r="AR29" i="100"/>
  <c r="AQ29" i="100"/>
  <c r="AP29" i="100"/>
  <c r="AO29" i="100"/>
  <c r="AN29" i="100"/>
  <c r="AM29" i="100"/>
  <c r="AL29" i="100"/>
  <c r="AK29" i="100"/>
  <c r="AJ29" i="100"/>
  <c r="BG28" i="100"/>
  <c r="BF28" i="100"/>
  <c r="BE28" i="100"/>
  <c r="BD28" i="100"/>
  <c r="BC28" i="100"/>
  <c r="BB28" i="100"/>
  <c r="BA28" i="100"/>
  <c r="AZ28" i="100"/>
  <c r="AY28" i="100"/>
  <c r="AX28" i="100"/>
  <c r="AW28" i="100"/>
  <c r="AV28" i="100"/>
  <c r="AU28" i="100"/>
  <c r="AT28" i="100"/>
  <c r="AS28" i="100"/>
  <c r="AR28" i="100"/>
  <c r="AQ28" i="100"/>
  <c r="AP28" i="100"/>
  <c r="AO28" i="100"/>
  <c r="AN28" i="100"/>
  <c r="AM28" i="100"/>
  <c r="AL28" i="100"/>
  <c r="AK28" i="100"/>
  <c r="AJ28" i="100"/>
  <c r="BG27" i="100"/>
  <c r="BF27" i="100"/>
  <c r="BE27" i="100"/>
  <c r="BD27" i="100"/>
  <c r="BC27" i="100"/>
  <c r="BB27" i="100"/>
  <c r="BA27" i="100"/>
  <c r="AZ27" i="100"/>
  <c r="AY27" i="100"/>
  <c r="AX27" i="100"/>
  <c r="AW27" i="100"/>
  <c r="AV27" i="100"/>
  <c r="AU27" i="100"/>
  <c r="AT27" i="100"/>
  <c r="AS27" i="100"/>
  <c r="AR27" i="100"/>
  <c r="AQ27" i="100"/>
  <c r="AP27" i="100"/>
  <c r="AO27" i="100"/>
  <c r="AN27" i="100"/>
  <c r="AM27" i="100"/>
  <c r="AL27" i="100"/>
  <c r="AK27" i="100"/>
  <c r="AJ27" i="100"/>
  <c r="BG26" i="100"/>
  <c r="BF26" i="100"/>
  <c r="BE26" i="100"/>
  <c r="BD26" i="100"/>
  <c r="BC26" i="100"/>
  <c r="BB26" i="100"/>
  <c r="BA26" i="100"/>
  <c r="AZ26" i="100"/>
  <c r="AY26" i="100"/>
  <c r="AX26" i="100"/>
  <c r="AW26" i="100"/>
  <c r="AV26" i="100"/>
  <c r="AU26" i="100"/>
  <c r="AT26" i="100"/>
  <c r="AS26" i="100"/>
  <c r="AR26" i="100"/>
  <c r="AQ26" i="100"/>
  <c r="AP26" i="100"/>
  <c r="AO26" i="100"/>
  <c r="AN26" i="100"/>
  <c r="AM26" i="100"/>
  <c r="AL26" i="100"/>
  <c r="AK26" i="100"/>
  <c r="AJ26" i="100"/>
  <c r="BG25" i="100"/>
  <c r="BF25" i="100"/>
  <c r="BE25" i="100"/>
  <c r="BD25" i="100"/>
  <c r="BC25" i="100"/>
  <c r="BB25" i="100"/>
  <c r="BA25" i="100"/>
  <c r="AZ25" i="100"/>
  <c r="AY25" i="100"/>
  <c r="AX25" i="100"/>
  <c r="AW25" i="100"/>
  <c r="AV25" i="100"/>
  <c r="AU25" i="100"/>
  <c r="AT25" i="100"/>
  <c r="AS25" i="100"/>
  <c r="AR25" i="100"/>
  <c r="AQ25" i="100"/>
  <c r="AP25" i="100"/>
  <c r="AO25" i="100"/>
  <c r="AN25" i="100"/>
  <c r="AM25" i="100"/>
  <c r="AL25" i="100"/>
  <c r="AK25" i="100"/>
  <c r="AJ25" i="100"/>
  <c r="BG24" i="100"/>
  <c r="BF24" i="100"/>
  <c r="BE24" i="100"/>
  <c r="BD24" i="100"/>
  <c r="BC24" i="100"/>
  <c r="BB24" i="100"/>
  <c r="BA24" i="100"/>
  <c r="AZ24" i="100"/>
  <c r="AY24" i="100"/>
  <c r="AX24" i="100"/>
  <c r="AW24" i="100"/>
  <c r="AV24" i="100"/>
  <c r="AU24" i="100"/>
  <c r="AT24" i="100"/>
  <c r="AS24" i="100"/>
  <c r="AR24" i="100"/>
  <c r="AQ24" i="100"/>
  <c r="AP24" i="100"/>
  <c r="AO24" i="100"/>
  <c r="AN24" i="100"/>
  <c r="AM24" i="100"/>
  <c r="AL24" i="100"/>
  <c r="AK24" i="100"/>
  <c r="AJ24" i="100"/>
  <c r="BG23" i="100"/>
  <c r="BF23" i="100"/>
  <c r="BE23" i="100"/>
  <c r="BD23" i="100"/>
  <c r="BC23" i="100"/>
  <c r="BB23" i="100"/>
  <c r="BA23" i="100"/>
  <c r="AZ23" i="100"/>
  <c r="AY23" i="100"/>
  <c r="AX23" i="100"/>
  <c r="AW23" i="100"/>
  <c r="AV23" i="100"/>
  <c r="AU23" i="100"/>
  <c r="AT23" i="100"/>
  <c r="AS23" i="100"/>
  <c r="AR23" i="100"/>
  <c r="AQ23" i="100"/>
  <c r="AP23" i="100"/>
  <c r="AO23" i="100"/>
  <c r="AN23" i="100"/>
  <c r="AM23" i="100"/>
  <c r="AL23" i="100"/>
  <c r="AK23" i="100"/>
  <c r="AJ23" i="100"/>
  <c r="BG22" i="100"/>
  <c r="BF22" i="100"/>
  <c r="BE22" i="100"/>
  <c r="BD22" i="100"/>
  <c r="BC22" i="100"/>
  <c r="BB22" i="100"/>
  <c r="BA22" i="100"/>
  <c r="AZ22" i="100"/>
  <c r="AY22" i="100"/>
  <c r="AX22" i="100"/>
  <c r="AW22" i="100"/>
  <c r="AV22" i="100"/>
  <c r="AU22" i="100"/>
  <c r="AT22" i="100"/>
  <c r="AS22" i="100"/>
  <c r="AR22" i="100"/>
  <c r="AQ22" i="100"/>
  <c r="AP22" i="100"/>
  <c r="AO22" i="100"/>
  <c r="AN22" i="100"/>
  <c r="AM22" i="100"/>
  <c r="AL22" i="100"/>
  <c r="AK22" i="100"/>
  <c r="AJ22" i="100"/>
  <c r="BG21" i="100"/>
  <c r="BF21" i="100"/>
  <c r="BE21" i="100"/>
  <c r="BD21" i="100"/>
  <c r="BC21" i="100"/>
  <c r="BB21" i="100"/>
  <c r="BA21" i="100"/>
  <c r="AZ21" i="100"/>
  <c r="AY21" i="100"/>
  <c r="AX21" i="100"/>
  <c r="AW21" i="100"/>
  <c r="AV21" i="100"/>
  <c r="AU21" i="100"/>
  <c r="AT21" i="100"/>
  <c r="AS21" i="100"/>
  <c r="AR21" i="100"/>
  <c r="AQ21" i="100"/>
  <c r="AP21" i="100"/>
  <c r="AO21" i="100"/>
  <c r="AN21" i="100"/>
  <c r="AM21" i="100"/>
  <c r="AL21" i="100"/>
  <c r="AK21" i="100"/>
  <c r="AJ21" i="100"/>
  <c r="BG20" i="100"/>
  <c r="BF20" i="100"/>
  <c r="BE20" i="100"/>
  <c r="BD20" i="100"/>
  <c r="BC20" i="100"/>
  <c r="BB20" i="100"/>
  <c r="BA20" i="100"/>
  <c r="AZ20" i="100"/>
  <c r="AY20" i="100"/>
  <c r="AX20" i="100"/>
  <c r="AW20" i="100"/>
  <c r="AV20" i="100"/>
  <c r="AU20" i="100"/>
  <c r="AT20" i="100"/>
  <c r="AS20" i="100"/>
  <c r="AR20" i="100"/>
  <c r="AQ20" i="100"/>
  <c r="AP20" i="100"/>
  <c r="AO20" i="100"/>
  <c r="AN20" i="100"/>
  <c r="AM20" i="100"/>
  <c r="AL20" i="100"/>
  <c r="AK20" i="100"/>
  <c r="AJ20" i="100"/>
  <c r="BG19" i="100"/>
  <c r="BF19" i="100"/>
  <c r="BE19" i="100"/>
  <c r="BD19" i="100"/>
  <c r="BC19" i="100"/>
  <c r="BB19" i="100"/>
  <c r="BA19" i="100"/>
  <c r="AZ19" i="100"/>
  <c r="AY19" i="100"/>
  <c r="AX19" i="100"/>
  <c r="AW19" i="100"/>
  <c r="AV19" i="100"/>
  <c r="AU19" i="100"/>
  <c r="AT19" i="100"/>
  <c r="AS19" i="100"/>
  <c r="AR19" i="100"/>
  <c r="AQ19" i="100"/>
  <c r="AP19" i="100"/>
  <c r="AO19" i="100"/>
  <c r="AN19" i="100"/>
  <c r="AM19" i="100"/>
  <c r="AL19" i="100"/>
  <c r="AK19" i="100"/>
  <c r="AJ19" i="100"/>
  <c r="BG18" i="100"/>
  <c r="BF18" i="100"/>
  <c r="BE18" i="100"/>
  <c r="BD18" i="100"/>
  <c r="BC18" i="100"/>
  <c r="BB18" i="100"/>
  <c r="BA18" i="100"/>
  <c r="AZ18" i="100"/>
  <c r="AY18" i="100"/>
  <c r="AX18" i="100"/>
  <c r="AW18" i="100"/>
  <c r="AV18" i="100"/>
  <c r="AU18" i="100"/>
  <c r="AT18" i="100"/>
  <c r="AS18" i="100"/>
  <c r="AR18" i="100"/>
  <c r="AQ18" i="100"/>
  <c r="AP18" i="100"/>
  <c r="AO18" i="100"/>
  <c r="AN18" i="100"/>
  <c r="AM18" i="100"/>
  <c r="AL18" i="100"/>
  <c r="AK18" i="100"/>
  <c r="AJ18" i="100"/>
  <c r="BG17" i="100"/>
  <c r="BF17" i="100"/>
  <c r="BE17" i="100"/>
  <c r="BD17" i="100"/>
  <c r="BC17" i="100"/>
  <c r="BB17" i="100"/>
  <c r="BA17" i="100"/>
  <c r="AZ17" i="100"/>
  <c r="AY17" i="100"/>
  <c r="AX17" i="100"/>
  <c r="AW17" i="100"/>
  <c r="AV17" i="100"/>
  <c r="AU17" i="100"/>
  <c r="AT17" i="100"/>
  <c r="AS17" i="100"/>
  <c r="AR17" i="100"/>
  <c r="AQ17" i="100"/>
  <c r="AP17" i="100"/>
  <c r="AO17" i="100"/>
  <c r="AN17" i="100"/>
  <c r="AM17" i="100"/>
  <c r="AL17" i="100"/>
  <c r="AK17" i="100"/>
  <c r="AJ17" i="100"/>
  <c r="BG16" i="100"/>
  <c r="BF16" i="100"/>
  <c r="BE16" i="100"/>
  <c r="BD16" i="100"/>
  <c r="BC16" i="100"/>
  <c r="BB16" i="100"/>
  <c r="BA16" i="100"/>
  <c r="AZ16" i="100"/>
  <c r="AY16" i="100"/>
  <c r="AX16" i="100"/>
  <c r="AW16" i="100"/>
  <c r="AV16" i="100"/>
  <c r="AU16" i="100"/>
  <c r="AT16" i="100"/>
  <c r="AS16" i="100"/>
  <c r="AR16" i="100"/>
  <c r="AQ16" i="100"/>
  <c r="AP16" i="100"/>
  <c r="AO16" i="100"/>
  <c r="AN16" i="100"/>
  <c r="AM16" i="100"/>
  <c r="AL16" i="100"/>
  <c r="AK16" i="100"/>
  <c r="AJ16" i="100"/>
  <c r="BG15" i="100"/>
  <c r="BF15" i="100"/>
  <c r="BE15" i="100"/>
  <c r="BD15" i="100"/>
  <c r="BC15" i="100"/>
  <c r="BB15" i="100"/>
  <c r="BA15" i="100"/>
  <c r="AZ15" i="100"/>
  <c r="AY15" i="100"/>
  <c r="AX15" i="100"/>
  <c r="AW15" i="100"/>
  <c r="AV15" i="100"/>
  <c r="AU15" i="100"/>
  <c r="AT15" i="100"/>
  <c r="AS15" i="100"/>
  <c r="AR15" i="100"/>
  <c r="AQ15" i="100"/>
  <c r="AP15" i="100"/>
  <c r="AO15" i="100"/>
  <c r="AN15" i="100"/>
  <c r="AM15" i="100"/>
  <c r="AL15" i="100"/>
  <c r="AK15" i="100"/>
  <c r="AJ15" i="100"/>
  <c r="BL14" i="100"/>
  <c r="BK14" i="100"/>
  <c r="BJ14" i="100"/>
  <c r="BI14" i="100"/>
  <c r="BH14" i="100"/>
  <c r="BG14" i="100"/>
  <c r="BF14" i="100"/>
  <c r="BE14" i="100"/>
  <c r="BD14" i="100"/>
  <c r="BC14" i="100"/>
  <c r="BB14" i="100"/>
  <c r="BA14" i="100"/>
  <c r="AZ14" i="100"/>
  <c r="AY14" i="100"/>
  <c r="AX14" i="100"/>
  <c r="AW14" i="100"/>
  <c r="AV14" i="100"/>
  <c r="AU14" i="100"/>
  <c r="AT14" i="100"/>
  <c r="AS14" i="100"/>
  <c r="AR14" i="100"/>
  <c r="AQ14" i="100"/>
  <c r="AP14" i="100"/>
  <c r="AO14" i="100"/>
  <c r="AN14" i="100"/>
  <c r="AM14" i="100"/>
  <c r="AL14" i="100"/>
  <c r="BL13" i="100"/>
  <c r="BK13" i="100"/>
  <c r="BJ13" i="100"/>
  <c r="BI13" i="100"/>
  <c r="BH13" i="100"/>
  <c r="BG13" i="100"/>
  <c r="BF13" i="100"/>
  <c r="BE13" i="100"/>
  <c r="BD13" i="100"/>
  <c r="BA13" i="100"/>
  <c r="AZ13" i="100"/>
  <c r="AY13" i="100"/>
  <c r="AX13" i="100"/>
  <c r="AW13" i="100"/>
  <c r="AV13" i="100"/>
  <c r="AU13" i="100"/>
  <c r="AT13" i="100"/>
  <c r="AS13" i="100"/>
  <c r="AR13" i="100"/>
  <c r="AQ13" i="100"/>
  <c r="AP13" i="100"/>
  <c r="AO13" i="100"/>
  <c r="AN13" i="100"/>
  <c r="AM13" i="100"/>
  <c r="AL13" i="100"/>
  <c r="BG44" i="101"/>
  <c r="BF44" i="101"/>
  <c r="BE44" i="101"/>
  <c r="BD44" i="101"/>
  <c r="BC44" i="101"/>
  <c r="BB44" i="101"/>
  <c r="BA44" i="101"/>
  <c r="AZ44" i="101"/>
  <c r="AY44" i="101"/>
  <c r="AX44" i="101"/>
  <c r="AW44" i="101"/>
  <c r="AV44" i="101"/>
  <c r="AU44" i="101"/>
  <c r="AT44" i="101"/>
  <c r="AS44" i="101"/>
  <c r="AR44" i="101"/>
  <c r="AQ44" i="101"/>
  <c r="AP44" i="101"/>
  <c r="AO44" i="101"/>
  <c r="AN44" i="101"/>
  <c r="AM44" i="101"/>
  <c r="AL44" i="101"/>
  <c r="AK44" i="101"/>
  <c r="AJ44" i="101"/>
  <c r="BG43" i="101"/>
  <c r="BF43" i="101"/>
  <c r="BE43" i="101"/>
  <c r="BD43" i="101"/>
  <c r="BC43" i="101"/>
  <c r="BB43" i="101"/>
  <c r="BA43" i="101"/>
  <c r="AZ43" i="101"/>
  <c r="AY43" i="101"/>
  <c r="AX43" i="101"/>
  <c r="AW43" i="101"/>
  <c r="AV43" i="101"/>
  <c r="AU43" i="101"/>
  <c r="AT43" i="101"/>
  <c r="AS43" i="101"/>
  <c r="AR43" i="101"/>
  <c r="AQ43" i="101"/>
  <c r="AP43" i="101"/>
  <c r="AO43" i="101"/>
  <c r="AN43" i="101"/>
  <c r="AM43" i="101"/>
  <c r="AL43" i="101"/>
  <c r="AK43" i="101"/>
  <c r="AJ43" i="101"/>
  <c r="BG42" i="101"/>
  <c r="BF42" i="101"/>
  <c r="BE42" i="101"/>
  <c r="BD42" i="101"/>
  <c r="BC42" i="101"/>
  <c r="BB42" i="101"/>
  <c r="BA42" i="101"/>
  <c r="AZ42" i="101"/>
  <c r="AY42" i="101"/>
  <c r="AX42" i="101"/>
  <c r="AW42" i="101"/>
  <c r="AV42" i="101"/>
  <c r="AU42" i="101"/>
  <c r="AT42" i="101"/>
  <c r="AS42" i="101"/>
  <c r="AR42" i="101"/>
  <c r="AQ42" i="101"/>
  <c r="AP42" i="101"/>
  <c r="AO42" i="101"/>
  <c r="AN42" i="101"/>
  <c r="AM42" i="101"/>
  <c r="AL42" i="101"/>
  <c r="AK42" i="101"/>
  <c r="AJ42" i="101"/>
  <c r="BG41" i="101"/>
  <c r="BF41" i="101"/>
  <c r="BE41" i="101"/>
  <c r="BD41" i="101"/>
  <c r="BC41" i="101"/>
  <c r="BB41" i="101"/>
  <c r="BA41" i="101"/>
  <c r="AZ41" i="101"/>
  <c r="AY41" i="101"/>
  <c r="AX41" i="101"/>
  <c r="AW41" i="101"/>
  <c r="AV41" i="101"/>
  <c r="AU41" i="101"/>
  <c r="AT41" i="101"/>
  <c r="AS41" i="101"/>
  <c r="AR41" i="101"/>
  <c r="AQ41" i="101"/>
  <c r="AP41" i="101"/>
  <c r="AO41" i="101"/>
  <c r="AN41" i="101"/>
  <c r="AM41" i="101"/>
  <c r="AL41" i="101"/>
  <c r="AK41" i="101"/>
  <c r="AJ41" i="101"/>
  <c r="BG40" i="101"/>
  <c r="BF40" i="101"/>
  <c r="BE40" i="101"/>
  <c r="BD40" i="101"/>
  <c r="BC40" i="101"/>
  <c r="BB40" i="101"/>
  <c r="BA40" i="101"/>
  <c r="AZ40" i="101"/>
  <c r="AY40" i="101"/>
  <c r="AX40" i="101"/>
  <c r="AW40" i="101"/>
  <c r="AV40" i="101"/>
  <c r="AU40" i="101"/>
  <c r="AT40" i="101"/>
  <c r="AS40" i="101"/>
  <c r="AR40" i="101"/>
  <c r="AQ40" i="101"/>
  <c r="AP40" i="101"/>
  <c r="AO40" i="101"/>
  <c r="AN40" i="101"/>
  <c r="AM40" i="101"/>
  <c r="AL40" i="101"/>
  <c r="AK40" i="101"/>
  <c r="AJ40" i="101"/>
  <c r="BG39" i="101"/>
  <c r="BF39" i="101"/>
  <c r="BE39" i="101"/>
  <c r="BD39" i="101"/>
  <c r="BC39" i="101"/>
  <c r="BB39" i="101"/>
  <c r="BA39" i="101"/>
  <c r="AZ39" i="101"/>
  <c r="AY39" i="101"/>
  <c r="AX39" i="101"/>
  <c r="AW39" i="101"/>
  <c r="AV39" i="101"/>
  <c r="AU39" i="101"/>
  <c r="AT39" i="101"/>
  <c r="AS39" i="101"/>
  <c r="AR39" i="101"/>
  <c r="AQ39" i="101"/>
  <c r="AP39" i="101"/>
  <c r="AO39" i="101"/>
  <c r="AN39" i="101"/>
  <c r="AM39" i="101"/>
  <c r="AL39" i="101"/>
  <c r="AK39" i="101"/>
  <c r="AJ39" i="101"/>
  <c r="BG38" i="101"/>
  <c r="BF38" i="101"/>
  <c r="BE38" i="101"/>
  <c r="BD38" i="101"/>
  <c r="BC38" i="101"/>
  <c r="BB38" i="101"/>
  <c r="BA38" i="101"/>
  <c r="AZ38" i="101"/>
  <c r="AY38" i="101"/>
  <c r="AX38" i="101"/>
  <c r="AW38" i="101"/>
  <c r="AV38" i="101"/>
  <c r="AU38" i="101"/>
  <c r="AT38" i="101"/>
  <c r="AS38" i="101"/>
  <c r="AR38" i="101"/>
  <c r="AQ38" i="101"/>
  <c r="AP38" i="101"/>
  <c r="AO38" i="101"/>
  <c r="AN38" i="101"/>
  <c r="AM38" i="101"/>
  <c r="AL38" i="101"/>
  <c r="AK38" i="101"/>
  <c r="AJ38" i="101"/>
  <c r="BG37" i="101"/>
  <c r="BF37" i="101"/>
  <c r="BE37" i="101"/>
  <c r="BD37" i="101"/>
  <c r="BC37" i="101"/>
  <c r="BB37" i="101"/>
  <c r="BA37" i="101"/>
  <c r="AZ37" i="101"/>
  <c r="AY37" i="101"/>
  <c r="AX37" i="101"/>
  <c r="AW37" i="101"/>
  <c r="AV37" i="101"/>
  <c r="AU37" i="101"/>
  <c r="AT37" i="101"/>
  <c r="AS37" i="101"/>
  <c r="AR37" i="101"/>
  <c r="AQ37" i="101"/>
  <c r="AP37" i="101"/>
  <c r="AO37" i="101"/>
  <c r="AN37" i="101"/>
  <c r="AM37" i="101"/>
  <c r="AL37" i="101"/>
  <c r="AK37" i="101"/>
  <c r="AJ37" i="101"/>
  <c r="BG36" i="101"/>
  <c r="BF36" i="101"/>
  <c r="BE36" i="101"/>
  <c r="BD36" i="101"/>
  <c r="BC36" i="101"/>
  <c r="BB36" i="101"/>
  <c r="BA36" i="101"/>
  <c r="AZ36" i="101"/>
  <c r="AY36" i="101"/>
  <c r="AX36" i="101"/>
  <c r="AW36" i="101"/>
  <c r="AV36" i="101"/>
  <c r="AU36" i="101"/>
  <c r="AT36" i="101"/>
  <c r="AS36" i="101"/>
  <c r="AR36" i="101"/>
  <c r="AQ36" i="101"/>
  <c r="AP36" i="101"/>
  <c r="AO36" i="101"/>
  <c r="AN36" i="101"/>
  <c r="AM36" i="101"/>
  <c r="AL36" i="101"/>
  <c r="AK36" i="101"/>
  <c r="AJ36" i="101"/>
  <c r="BG35" i="101"/>
  <c r="BF35" i="101"/>
  <c r="BE35" i="101"/>
  <c r="BD35" i="101"/>
  <c r="BC35" i="101"/>
  <c r="BB35" i="101"/>
  <c r="BA35" i="101"/>
  <c r="AZ35" i="101"/>
  <c r="AY35" i="101"/>
  <c r="AX35" i="101"/>
  <c r="AW35" i="101"/>
  <c r="AV35" i="101"/>
  <c r="AU35" i="101"/>
  <c r="AT35" i="101"/>
  <c r="AS35" i="101"/>
  <c r="AR35" i="101"/>
  <c r="AQ35" i="101"/>
  <c r="AP35" i="101"/>
  <c r="AO35" i="101"/>
  <c r="AN35" i="101"/>
  <c r="AM35" i="101"/>
  <c r="AL35" i="101"/>
  <c r="AK35" i="101"/>
  <c r="AJ35" i="101"/>
  <c r="BG34" i="101"/>
  <c r="BF34" i="101"/>
  <c r="BE34" i="101"/>
  <c r="BD34" i="101"/>
  <c r="BC34" i="101"/>
  <c r="BB34" i="101"/>
  <c r="BA34" i="101"/>
  <c r="AZ34" i="101"/>
  <c r="AY34" i="101"/>
  <c r="AX34" i="101"/>
  <c r="AW34" i="101"/>
  <c r="AV34" i="101"/>
  <c r="AU34" i="101"/>
  <c r="AT34" i="101"/>
  <c r="AS34" i="101"/>
  <c r="AR34" i="101"/>
  <c r="AQ34" i="101"/>
  <c r="AP34" i="101"/>
  <c r="AO34" i="101"/>
  <c r="AN34" i="101"/>
  <c r="AM34" i="101"/>
  <c r="AL34" i="101"/>
  <c r="AK34" i="101"/>
  <c r="AJ34" i="101"/>
  <c r="BG33" i="101"/>
  <c r="BF33" i="101"/>
  <c r="BE33" i="101"/>
  <c r="BD33" i="101"/>
  <c r="BC33" i="101"/>
  <c r="BB33" i="101"/>
  <c r="BA33" i="101"/>
  <c r="AZ33" i="101"/>
  <c r="AY33" i="101"/>
  <c r="AX33" i="101"/>
  <c r="AW33" i="101"/>
  <c r="AV33" i="101"/>
  <c r="AU33" i="101"/>
  <c r="AT33" i="101"/>
  <c r="AS33" i="101"/>
  <c r="AR33" i="101"/>
  <c r="AQ33" i="101"/>
  <c r="AP33" i="101"/>
  <c r="AO33" i="101"/>
  <c r="AN33" i="101"/>
  <c r="AM33" i="101"/>
  <c r="AL33" i="101"/>
  <c r="AK33" i="101"/>
  <c r="AJ33" i="101"/>
  <c r="BG32" i="101"/>
  <c r="BF32" i="101"/>
  <c r="BE32" i="101"/>
  <c r="BD32" i="101"/>
  <c r="BC32" i="101"/>
  <c r="BB32" i="101"/>
  <c r="BA32" i="101"/>
  <c r="AZ32" i="101"/>
  <c r="AY32" i="101"/>
  <c r="AX32" i="101"/>
  <c r="AW32" i="101"/>
  <c r="AV32" i="101"/>
  <c r="AU32" i="101"/>
  <c r="AT32" i="101"/>
  <c r="AS32" i="101"/>
  <c r="AR32" i="101"/>
  <c r="AQ32" i="101"/>
  <c r="AP32" i="101"/>
  <c r="AO32" i="101"/>
  <c r="AN32" i="101"/>
  <c r="AM32" i="101"/>
  <c r="AL32" i="101"/>
  <c r="AK32" i="101"/>
  <c r="AJ32" i="101"/>
  <c r="BG31" i="101"/>
  <c r="BF31" i="101"/>
  <c r="BE31" i="101"/>
  <c r="BD31" i="101"/>
  <c r="BC31" i="101"/>
  <c r="BB31" i="101"/>
  <c r="BA31" i="101"/>
  <c r="AZ31" i="101"/>
  <c r="AY31" i="101"/>
  <c r="AX31" i="101"/>
  <c r="AW31" i="101"/>
  <c r="AV31" i="101"/>
  <c r="AU31" i="101"/>
  <c r="AT31" i="101"/>
  <c r="AS31" i="101"/>
  <c r="AR31" i="101"/>
  <c r="AQ31" i="101"/>
  <c r="AP31" i="101"/>
  <c r="AO31" i="101"/>
  <c r="AN31" i="101"/>
  <c r="AM31" i="101"/>
  <c r="AL31" i="101"/>
  <c r="AK31" i="101"/>
  <c r="AJ31" i="101"/>
  <c r="BG30" i="101"/>
  <c r="BF30" i="101"/>
  <c r="BE30" i="101"/>
  <c r="BD30" i="101"/>
  <c r="BC30" i="101"/>
  <c r="BB30" i="101"/>
  <c r="BA30" i="101"/>
  <c r="AZ30" i="101"/>
  <c r="AY30" i="101"/>
  <c r="AX30" i="101"/>
  <c r="AW30" i="101"/>
  <c r="AV30" i="101"/>
  <c r="AU30" i="101"/>
  <c r="AT30" i="101"/>
  <c r="AS30" i="101"/>
  <c r="AR30" i="101"/>
  <c r="AQ30" i="101"/>
  <c r="AP30" i="101"/>
  <c r="AO30" i="101"/>
  <c r="AN30" i="101"/>
  <c r="AM30" i="101"/>
  <c r="AL30" i="101"/>
  <c r="AK30" i="101"/>
  <c r="AJ30" i="101"/>
  <c r="BG29" i="101"/>
  <c r="BF29" i="101"/>
  <c r="BE29" i="101"/>
  <c r="BD29" i="101"/>
  <c r="BC29" i="101"/>
  <c r="BB29" i="101"/>
  <c r="BA29" i="101"/>
  <c r="AZ29" i="101"/>
  <c r="AY29" i="101"/>
  <c r="AX29" i="101"/>
  <c r="AW29" i="101"/>
  <c r="AV29" i="101"/>
  <c r="AU29" i="101"/>
  <c r="AT29" i="101"/>
  <c r="AS29" i="101"/>
  <c r="AR29" i="101"/>
  <c r="AQ29" i="101"/>
  <c r="AP29" i="101"/>
  <c r="AO29" i="101"/>
  <c r="AN29" i="101"/>
  <c r="AM29" i="101"/>
  <c r="AL29" i="101"/>
  <c r="AK29" i="101"/>
  <c r="AJ29" i="101"/>
  <c r="BG28" i="101"/>
  <c r="BF28" i="101"/>
  <c r="BE28" i="101"/>
  <c r="BD28" i="101"/>
  <c r="BC28" i="101"/>
  <c r="BB28" i="101"/>
  <c r="BA28" i="101"/>
  <c r="AZ28" i="101"/>
  <c r="AY28" i="101"/>
  <c r="AX28" i="101"/>
  <c r="AW28" i="101"/>
  <c r="AV28" i="101"/>
  <c r="AU28" i="101"/>
  <c r="AT28" i="101"/>
  <c r="AS28" i="101"/>
  <c r="AR28" i="101"/>
  <c r="AQ28" i="101"/>
  <c r="AP28" i="101"/>
  <c r="AO28" i="101"/>
  <c r="AN28" i="101"/>
  <c r="AM28" i="101"/>
  <c r="AL28" i="101"/>
  <c r="AK28" i="101"/>
  <c r="AJ28" i="101"/>
  <c r="BG27" i="101"/>
  <c r="BF27" i="101"/>
  <c r="BE27" i="101"/>
  <c r="BD27" i="101"/>
  <c r="BC27" i="101"/>
  <c r="BB27" i="101"/>
  <c r="BA27" i="101"/>
  <c r="AZ27" i="101"/>
  <c r="AY27" i="101"/>
  <c r="AX27" i="101"/>
  <c r="AW27" i="101"/>
  <c r="AV27" i="101"/>
  <c r="AU27" i="101"/>
  <c r="AT27" i="101"/>
  <c r="AS27" i="101"/>
  <c r="AR27" i="101"/>
  <c r="AQ27" i="101"/>
  <c r="AP27" i="101"/>
  <c r="AO27" i="101"/>
  <c r="AN27" i="101"/>
  <c r="AM27" i="101"/>
  <c r="AL27" i="101"/>
  <c r="AK27" i="101"/>
  <c r="AJ27" i="101"/>
  <c r="BG26" i="101"/>
  <c r="BF26" i="101"/>
  <c r="BE26" i="101"/>
  <c r="BD26" i="101"/>
  <c r="BC26" i="101"/>
  <c r="BB26" i="101"/>
  <c r="BA26" i="101"/>
  <c r="AZ26" i="101"/>
  <c r="AY26" i="101"/>
  <c r="AX26" i="101"/>
  <c r="AW26" i="101"/>
  <c r="AV26" i="101"/>
  <c r="AU26" i="101"/>
  <c r="AT26" i="101"/>
  <c r="AS26" i="101"/>
  <c r="AR26" i="101"/>
  <c r="AQ26" i="101"/>
  <c r="AP26" i="101"/>
  <c r="AO26" i="101"/>
  <c r="AN26" i="101"/>
  <c r="AM26" i="101"/>
  <c r="AL26" i="101"/>
  <c r="AK26" i="101"/>
  <c r="AJ26" i="101"/>
  <c r="BG25" i="101"/>
  <c r="BF25" i="101"/>
  <c r="BE25" i="101"/>
  <c r="BD25" i="101"/>
  <c r="BC25" i="101"/>
  <c r="BB25" i="101"/>
  <c r="BA25" i="101"/>
  <c r="AZ25" i="101"/>
  <c r="AY25" i="101"/>
  <c r="AX25" i="101"/>
  <c r="AW25" i="101"/>
  <c r="AV25" i="101"/>
  <c r="AU25" i="101"/>
  <c r="AT25" i="101"/>
  <c r="AS25" i="101"/>
  <c r="AR25" i="101"/>
  <c r="AQ25" i="101"/>
  <c r="AP25" i="101"/>
  <c r="AO25" i="101"/>
  <c r="AN25" i="101"/>
  <c r="AM25" i="101"/>
  <c r="AL25" i="101"/>
  <c r="AK25" i="101"/>
  <c r="AJ25" i="101"/>
  <c r="BG24" i="101"/>
  <c r="BF24" i="101"/>
  <c r="BE24" i="101"/>
  <c r="BD24" i="101"/>
  <c r="BC24" i="101"/>
  <c r="BB24" i="101"/>
  <c r="BA24" i="101"/>
  <c r="AZ24" i="101"/>
  <c r="AY24" i="101"/>
  <c r="AX24" i="101"/>
  <c r="AW24" i="101"/>
  <c r="AV24" i="101"/>
  <c r="AU24" i="101"/>
  <c r="AT24" i="101"/>
  <c r="AS24" i="101"/>
  <c r="AR24" i="101"/>
  <c r="AQ24" i="101"/>
  <c r="AP24" i="101"/>
  <c r="AO24" i="101"/>
  <c r="AN24" i="101"/>
  <c r="AM24" i="101"/>
  <c r="AL24" i="101"/>
  <c r="AK24" i="101"/>
  <c r="AJ24" i="101"/>
  <c r="BG23" i="101"/>
  <c r="BF23" i="101"/>
  <c r="BE23" i="101"/>
  <c r="BD23" i="101"/>
  <c r="BC23" i="101"/>
  <c r="BB23" i="101"/>
  <c r="BA23" i="101"/>
  <c r="AZ23" i="101"/>
  <c r="AY23" i="101"/>
  <c r="AX23" i="101"/>
  <c r="AW23" i="101"/>
  <c r="AV23" i="101"/>
  <c r="AU23" i="101"/>
  <c r="AT23" i="101"/>
  <c r="AS23" i="101"/>
  <c r="AR23" i="101"/>
  <c r="AQ23" i="101"/>
  <c r="AP23" i="101"/>
  <c r="AO23" i="101"/>
  <c r="AN23" i="101"/>
  <c r="AM23" i="101"/>
  <c r="AL23" i="101"/>
  <c r="AK23" i="101"/>
  <c r="AJ23" i="101"/>
  <c r="BG22" i="101"/>
  <c r="BF22" i="101"/>
  <c r="BE22" i="101"/>
  <c r="BD22" i="101"/>
  <c r="BC22" i="101"/>
  <c r="BB22" i="101"/>
  <c r="BA22" i="101"/>
  <c r="AZ22" i="101"/>
  <c r="AY22" i="101"/>
  <c r="AX22" i="101"/>
  <c r="AW22" i="101"/>
  <c r="AV22" i="101"/>
  <c r="AU22" i="101"/>
  <c r="AT22" i="101"/>
  <c r="AS22" i="101"/>
  <c r="AR22" i="101"/>
  <c r="AQ22" i="101"/>
  <c r="AP22" i="101"/>
  <c r="AO22" i="101"/>
  <c r="AN22" i="101"/>
  <c r="AM22" i="101"/>
  <c r="AL22" i="101"/>
  <c r="AK22" i="101"/>
  <c r="AJ22" i="101"/>
  <c r="BG21" i="101"/>
  <c r="BF21" i="101"/>
  <c r="BE21" i="101"/>
  <c r="BD21" i="101"/>
  <c r="BC21" i="101"/>
  <c r="BB21" i="101"/>
  <c r="BA21" i="101"/>
  <c r="AZ21" i="101"/>
  <c r="AY21" i="101"/>
  <c r="AX21" i="101"/>
  <c r="AW21" i="101"/>
  <c r="AV21" i="101"/>
  <c r="AU21" i="101"/>
  <c r="AT21" i="101"/>
  <c r="AS21" i="101"/>
  <c r="AR21" i="101"/>
  <c r="AQ21" i="101"/>
  <c r="AP21" i="101"/>
  <c r="AO21" i="101"/>
  <c r="AN21" i="101"/>
  <c r="AM21" i="101"/>
  <c r="AL21" i="101"/>
  <c r="AK21" i="101"/>
  <c r="AJ21" i="101"/>
  <c r="BG20" i="101"/>
  <c r="BF20" i="101"/>
  <c r="BE20" i="101"/>
  <c r="BD20" i="101"/>
  <c r="BC20" i="101"/>
  <c r="BB20" i="101"/>
  <c r="BA20" i="101"/>
  <c r="AZ20" i="101"/>
  <c r="AY20" i="101"/>
  <c r="AX20" i="101"/>
  <c r="AW20" i="101"/>
  <c r="AV20" i="101"/>
  <c r="AU20" i="101"/>
  <c r="AT20" i="101"/>
  <c r="AS20" i="101"/>
  <c r="AR20" i="101"/>
  <c r="AQ20" i="101"/>
  <c r="AP20" i="101"/>
  <c r="AO20" i="101"/>
  <c r="AN20" i="101"/>
  <c r="AM20" i="101"/>
  <c r="AL20" i="101"/>
  <c r="AK20" i="101"/>
  <c r="AJ20" i="101"/>
  <c r="BG19" i="101"/>
  <c r="BF19" i="101"/>
  <c r="BE19" i="101"/>
  <c r="BD19" i="101"/>
  <c r="BC19" i="101"/>
  <c r="BB19" i="101"/>
  <c r="BA19" i="101"/>
  <c r="AZ19" i="101"/>
  <c r="AY19" i="101"/>
  <c r="AX19" i="101"/>
  <c r="AW19" i="101"/>
  <c r="AV19" i="101"/>
  <c r="AU19" i="101"/>
  <c r="AT19" i="101"/>
  <c r="AS19" i="101"/>
  <c r="AR19" i="101"/>
  <c r="AQ19" i="101"/>
  <c r="AP19" i="101"/>
  <c r="AO19" i="101"/>
  <c r="AN19" i="101"/>
  <c r="AM19" i="101"/>
  <c r="AL19" i="101"/>
  <c r="AK19" i="101"/>
  <c r="AJ19" i="101"/>
  <c r="BG18" i="101"/>
  <c r="BF18" i="101"/>
  <c r="BE18" i="101"/>
  <c r="BD18" i="101"/>
  <c r="BC18" i="101"/>
  <c r="BB18" i="101"/>
  <c r="BA18" i="101"/>
  <c r="AZ18" i="101"/>
  <c r="AY18" i="101"/>
  <c r="AX18" i="101"/>
  <c r="AW18" i="101"/>
  <c r="AV18" i="101"/>
  <c r="AU18" i="101"/>
  <c r="AT18" i="101"/>
  <c r="AS18" i="101"/>
  <c r="AR18" i="101"/>
  <c r="AQ18" i="101"/>
  <c r="AP18" i="101"/>
  <c r="AO18" i="101"/>
  <c r="AN18" i="101"/>
  <c r="AM18" i="101"/>
  <c r="AL18" i="101"/>
  <c r="AK18" i="101"/>
  <c r="AJ18" i="101"/>
  <c r="BG17" i="101"/>
  <c r="BF17" i="101"/>
  <c r="BE17" i="101"/>
  <c r="BD17" i="101"/>
  <c r="BC17" i="101"/>
  <c r="BB17" i="101"/>
  <c r="BA17" i="101"/>
  <c r="AZ17" i="101"/>
  <c r="AY17" i="101"/>
  <c r="AX17" i="101"/>
  <c r="AW17" i="101"/>
  <c r="AV17" i="101"/>
  <c r="AU17" i="101"/>
  <c r="AT17" i="101"/>
  <c r="AS17" i="101"/>
  <c r="AR17" i="101"/>
  <c r="AQ17" i="101"/>
  <c r="AP17" i="101"/>
  <c r="AO17" i="101"/>
  <c r="AN17" i="101"/>
  <c r="AM17" i="101"/>
  <c r="AL17" i="101"/>
  <c r="AK17" i="101"/>
  <c r="AJ17" i="101"/>
  <c r="BG16" i="101"/>
  <c r="BF16" i="101"/>
  <c r="BE16" i="101"/>
  <c r="BD16" i="101"/>
  <c r="BC16" i="101"/>
  <c r="BB16" i="101"/>
  <c r="BA16" i="101"/>
  <c r="AZ16" i="101"/>
  <c r="AY16" i="101"/>
  <c r="AX16" i="101"/>
  <c r="AW16" i="101"/>
  <c r="AV16" i="101"/>
  <c r="AU16" i="101"/>
  <c r="AT16" i="101"/>
  <c r="AS16" i="101"/>
  <c r="AR16" i="101"/>
  <c r="AQ16" i="101"/>
  <c r="AP16" i="101"/>
  <c r="AO16" i="101"/>
  <c r="AN16" i="101"/>
  <c r="AM16" i="101"/>
  <c r="AL16" i="101"/>
  <c r="AK16" i="101"/>
  <c r="AJ16" i="101"/>
  <c r="BG15" i="101"/>
  <c r="BF15" i="101"/>
  <c r="BE15" i="101"/>
  <c r="BD15" i="101"/>
  <c r="BC15" i="101"/>
  <c r="BB15" i="101"/>
  <c r="BA15" i="101"/>
  <c r="AZ15" i="101"/>
  <c r="AY15" i="101"/>
  <c r="AX15" i="101"/>
  <c r="AW15" i="101"/>
  <c r="AV15" i="101"/>
  <c r="AU15" i="101"/>
  <c r="AT15" i="101"/>
  <c r="AS15" i="101"/>
  <c r="AR15" i="101"/>
  <c r="AQ15" i="101"/>
  <c r="AP15" i="101"/>
  <c r="AO15" i="101"/>
  <c r="AN15" i="101"/>
  <c r="AM15" i="101"/>
  <c r="AL15" i="101"/>
  <c r="AK15" i="101"/>
  <c r="AJ15" i="101"/>
  <c r="BL14" i="101"/>
  <c r="BK14" i="101"/>
  <c r="BJ14" i="101"/>
  <c r="BI14" i="101"/>
  <c r="BH14" i="101"/>
  <c r="BG14" i="101"/>
  <c r="BF14" i="101"/>
  <c r="BE14" i="101"/>
  <c r="BD14" i="101"/>
  <c r="BC14" i="101"/>
  <c r="BB14" i="101"/>
  <c r="BA14" i="101"/>
  <c r="AZ14" i="101"/>
  <c r="AY14" i="101"/>
  <c r="AX14" i="101"/>
  <c r="AW14" i="101"/>
  <c r="AV14" i="101"/>
  <c r="AU14" i="101"/>
  <c r="AT14" i="101"/>
  <c r="AS14" i="101"/>
  <c r="AR14" i="101"/>
  <c r="AQ14" i="101"/>
  <c r="AP14" i="101"/>
  <c r="AO14" i="101"/>
  <c r="AN14" i="101"/>
  <c r="AM14" i="101"/>
  <c r="AL14" i="101"/>
  <c r="BL13" i="101"/>
  <c r="BK13" i="101"/>
  <c r="BJ13" i="101"/>
  <c r="BI13" i="101"/>
  <c r="BH13" i="101"/>
  <c r="BG13" i="101"/>
  <c r="BF13" i="101"/>
  <c r="BE13" i="101"/>
  <c r="BD13" i="101"/>
  <c r="BA13" i="101"/>
  <c r="AZ13" i="101"/>
  <c r="AY13" i="101"/>
  <c r="AX13" i="101"/>
  <c r="AW13" i="101"/>
  <c r="AV13" i="101"/>
  <c r="AU13" i="101"/>
  <c r="AT13" i="101"/>
  <c r="AS13" i="101"/>
  <c r="AR13" i="101"/>
  <c r="AQ13" i="101"/>
  <c r="AP13" i="101"/>
  <c r="AO13" i="101"/>
  <c r="AN13" i="101"/>
  <c r="AM13" i="101"/>
  <c r="AL13" i="101"/>
  <c r="BG44" i="102"/>
  <c r="BF44" i="102"/>
  <c r="BE44" i="102"/>
  <c r="BD44" i="102"/>
  <c r="BC44" i="102"/>
  <c r="BB44" i="102"/>
  <c r="BA44" i="102"/>
  <c r="AZ44" i="102"/>
  <c r="AY44" i="102"/>
  <c r="AX44" i="102"/>
  <c r="AW44" i="102"/>
  <c r="AV44" i="102"/>
  <c r="AU44" i="102"/>
  <c r="AT44" i="102"/>
  <c r="AS44" i="102"/>
  <c r="AR44" i="102"/>
  <c r="AQ44" i="102"/>
  <c r="AP44" i="102"/>
  <c r="AO44" i="102"/>
  <c r="AN44" i="102"/>
  <c r="AM44" i="102"/>
  <c r="AL44" i="102"/>
  <c r="AK44" i="102"/>
  <c r="AJ44" i="102"/>
  <c r="BG43" i="102"/>
  <c r="BF43" i="102"/>
  <c r="BE43" i="102"/>
  <c r="BD43" i="102"/>
  <c r="BC43" i="102"/>
  <c r="BB43" i="102"/>
  <c r="BA43" i="102"/>
  <c r="AZ43" i="102"/>
  <c r="AY43" i="102"/>
  <c r="AX43" i="102"/>
  <c r="AW43" i="102"/>
  <c r="AV43" i="102"/>
  <c r="AU43" i="102"/>
  <c r="AT43" i="102"/>
  <c r="AS43" i="102"/>
  <c r="AR43" i="102"/>
  <c r="AQ43" i="102"/>
  <c r="AP43" i="102"/>
  <c r="AO43" i="102"/>
  <c r="AN43" i="102"/>
  <c r="AM43" i="102"/>
  <c r="AL43" i="102"/>
  <c r="AK43" i="102"/>
  <c r="AJ43" i="102"/>
  <c r="BG42" i="102"/>
  <c r="BF42" i="102"/>
  <c r="BE42" i="102"/>
  <c r="BD42" i="102"/>
  <c r="BC42" i="102"/>
  <c r="BB42" i="102"/>
  <c r="BA42" i="102"/>
  <c r="AZ42" i="102"/>
  <c r="AY42" i="102"/>
  <c r="AX42" i="102"/>
  <c r="AW42" i="102"/>
  <c r="AV42" i="102"/>
  <c r="AU42" i="102"/>
  <c r="AT42" i="102"/>
  <c r="AS42" i="102"/>
  <c r="AR42" i="102"/>
  <c r="AQ42" i="102"/>
  <c r="AP42" i="102"/>
  <c r="AO42" i="102"/>
  <c r="AN42" i="102"/>
  <c r="AM42" i="102"/>
  <c r="AL42" i="102"/>
  <c r="AK42" i="102"/>
  <c r="AJ42" i="102"/>
  <c r="BG41" i="102"/>
  <c r="BF41" i="102"/>
  <c r="BE41" i="102"/>
  <c r="BD41" i="102"/>
  <c r="BC41" i="102"/>
  <c r="BB41" i="102"/>
  <c r="BA41" i="102"/>
  <c r="AZ41" i="102"/>
  <c r="AY41" i="102"/>
  <c r="AX41" i="102"/>
  <c r="AW41" i="102"/>
  <c r="AV41" i="102"/>
  <c r="AU41" i="102"/>
  <c r="AT41" i="102"/>
  <c r="AS41" i="102"/>
  <c r="AR41" i="102"/>
  <c r="AQ41" i="102"/>
  <c r="AP41" i="102"/>
  <c r="AO41" i="102"/>
  <c r="AN41" i="102"/>
  <c r="AM41" i="102"/>
  <c r="AL41" i="102"/>
  <c r="AK41" i="102"/>
  <c r="AJ41" i="102"/>
  <c r="BG40" i="102"/>
  <c r="BF40" i="102"/>
  <c r="BE40" i="102"/>
  <c r="BD40" i="102"/>
  <c r="BC40" i="102"/>
  <c r="BB40" i="102"/>
  <c r="BA40" i="102"/>
  <c r="AZ40" i="102"/>
  <c r="AY40" i="102"/>
  <c r="AX40" i="102"/>
  <c r="AW40" i="102"/>
  <c r="AV40" i="102"/>
  <c r="AU40" i="102"/>
  <c r="AT40" i="102"/>
  <c r="AS40" i="102"/>
  <c r="AR40" i="102"/>
  <c r="AQ40" i="102"/>
  <c r="AP40" i="102"/>
  <c r="AO40" i="102"/>
  <c r="AN40" i="102"/>
  <c r="AM40" i="102"/>
  <c r="AL40" i="102"/>
  <c r="AK40" i="102"/>
  <c r="AJ40" i="102"/>
  <c r="BG39" i="102"/>
  <c r="BF39" i="102"/>
  <c r="BE39" i="102"/>
  <c r="BD39" i="102"/>
  <c r="BC39" i="102"/>
  <c r="BB39" i="102"/>
  <c r="BA39" i="102"/>
  <c r="AZ39" i="102"/>
  <c r="AY39" i="102"/>
  <c r="AX39" i="102"/>
  <c r="AW39" i="102"/>
  <c r="AV39" i="102"/>
  <c r="AU39" i="102"/>
  <c r="AT39" i="102"/>
  <c r="AS39" i="102"/>
  <c r="AR39" i="102"/>
  <c r="AQ39" i="102"/>
  <c r="AP39" i="102"/>
  <c r="AO39" i="102"/>
  <c r="AN39" i="102"/>
  <c r="AM39" i="102"/>
  <c r="AL39" i="102"/>
  <c r="AK39" i="102"/>
  <c r="AJ39" i="102"/>
  <c r="BG38" i="102"/>
  <c r="BF38" i="102"/>
  <c r="BE38" i="102"/>
  <c r="BD38" i="102"/>
  <c r="BC38" i="102"/>
  <c r="BB38" i="102"/>
  <c r="BA38" i="102"/>
  <c r="AZ38" i="102"/>
  <c r="AY38" i="102"/>
  <c r="AX38" i="102"/>
  <c r="AW38" i="102"/>
  <c r="AV38" i="102"/>
  <c r="AU38" i="102"/>
  <c r="AT38" i="102"/>
  <c r="AS38" i="102"/>
  <c r="AR38" i="102"/>
  <c r="AQ38" i="102"/>
  <c r="AP38" i="102"/>
  <c r="AO38" i="102"/>
  <c r="AN38" i="102"/>
  <c r="AM38" i="102"/>
  <c r="AL38" i="102"/>
  <c r="AK38" i="102"/>
  <c r="AJ38" i="102"/>
  <c r="BG37" i="102"/>
  <c r="BF37" i="102"/>
  <c r="BE37" i="102"/>
  <c r="BD37" i="102"/>
  <c r="BC37" i="102"/>
  <c r="BB37" i="102"/>
  <c r="BA37" i="102"/>
  <c r="AZ37" i="102"/>
  <c r="AY37" i="102"/>
  <c r="AX37" i="102"/>
  <c r="AW37" i="102"/>
  <c r="AV37" i="102"/>
  <c r="AU37" i="102"/>
  <c r="AT37" i="102"/>
  <c r="AS37" i="102"/>
  <c r="AR37" i="102"/>
  <c r="AQ37" i="102"/>
  <c r="AP37" i="102"/>
  <c r="AO37" i="102"/>
  <c r="AN37" i="102"/>
  <c r="AM37" i="102"/>
  <c r="AL37" i="102"/>
  <c r="AK37" i="102"/>
  <c r="AJ37" i="102"/>
  <c r="BG36" i="102"/>
  <c r="BF36" i="102"/>
  <c r="BE36" i="102"/>
  <c r="BD36" i="102"/>
  <c r="BC36" i="102"/>
  <c r="BB36" i="102"/>
  <c r="BA36" i="102"/>
  <c r="AZ36" i="102"/>
  <c r="AY36" i="102"/>
  <c r="AX36" i="102"/>
  <c r="AW36" i="102"/>
  <c r="AV36" i="102"/>
  <c r="AU36" i="102"/>
  <c r="AT36" i="102"/>
  <c r="AS36" i="102"/>
  <c r="AR36" i="102"/>
  <c r="AQ36" i="102"/>
  <c r="AP36" i="102"/>
  <c r="AO36" i="102"/>
  <c r="AN36" i="102"/>
  <c r="AM36" i="102"/>
  <c r="AL36" i="102"/>
  <c r="AK36" i="102"/>
  <c r="AJ36" i="102"/>
  <c r="BG35" i="102"/>
  <c r="BF35" i="102"/>
  <c r="BE35" i="102"/>
  <c r="BD35" i="102"/>
  <c r="BC35" i="102"/>
  <c r="BB35" i="102"/>
  <c r="BA35" i="102"/>
  <c r="AZ35" i="102"/>
  <c r="AY35" i="102"/>
  <c r="AX35" i="102"/>
  <c r="AW35" i="102"/>
  <c r="AV35" i="102"/>
  <c r="AU35" i="102"/>
  <c r="AT35" i="102"/>
  <c r="AS35" i="102"/>
  <c r="AR35" i="102"/>
  <c r="AQ35" i="102"/>
  <c r="AP35" i="102"/>
  <c r="AO35" i="102"/>
  <c r="AN35" i="102"/>
  <c r="AM35" i="102"/>
  <c r="AL35" i="102"/>
  <c r="AK35" i="102"/>
  <c r="AJ35" i="102"/>
  <c r="BG34" i="102"/>
  <c r="BF34" i="102"/>
  <c r="BE34" i="102"/>
  <c r="BD34" i="102"/>
  <c r="BC34" i="102"/>
  <c r="BB34" i="102"/>
  <c r="BA34" i="102"/>
  <c r="AZ34" i="102"/>
  <c r="AY34" i="102"/>
  <c r="AX34" i="102"/>
  <c r="AW34" i="102"/>
  <c r="AV34" i="102"/>
  <c r="AU34" i="102"/>
  <c r="AT34" i="102"/>
  <c r="AS34" i="102"/>
  <c r="AR34" i="102"/>
  <c r="AQ34" i="102"/>
  <c r="AP34" i="102"/>
  <c r="AO34" i="102"/>
  <c r="AN34" i="102"/>
  <c r="AM34" i="102"/>
  <c r="AL34" i="102"/>
  <c r="AK34" i="102"/>
  <c r="AJ34" i="102"/>
  <c r="BG33" i="102"/>
  <c r="BF33" i="102"/>
  <c r="BE33" i="102"/>
  <c r="BD33" i="102"/>
  <c r="BC33" i="102"/>
  <c r="BB33" i="102"/>
  <c r="BA33" i="102"/>
  <c r="AZ33" i="102"/>
  <c r="AY33" i="102"/>
  <c r="AX33" i="102"/>
  <c r="AW33" i="102"/>
  <c r="AV33" i="102"/>
  <c r="AU33" i="102"/>
  <c r="AT33" i="102"/>
  <c r="AS33" i="102"/>
  <c r="AR33" i="102"/>
  <c r="AQ33" i="102"/>
  <c r="AP33" i="102"/>
  <c r="AO33" i="102"/>
  <c r="AN33" i="102"/>
  <c r="AM33" i="102"/>
  <c r="AL33" i="102"/>
  <c r="AK33" i="102"/>
  <c r="AJ33" i="102"/>
  <c r="BG32" i="102"/>
  <c r="BF32" i="102"/>
  <c r="BE32" i="102"/>
  <c r="BD32" i="102"/>
  <c r="BC32" i="102"/>
  <c r="BB32" i="102"/>
  <c r="BA32" i="102"/>
  <c r="AZ32" i="102"/>
  <c r="AY32" i="102"/>
  <c r="AX32" i="102"/>
  <c r="AW32" i="102"/>
  <c r="AV32" i="102"/>
  <c r="AU32" i="102"/>
  <c r="AT32" i="102"/>
  <c r="AS32" i="102"/>
  <c r="AR32" i="102"/>
  <c r="AQ32" i="102"/>
  <c r="AP32" i="102"/>
  <c r="AO32" i="102"/>
  <c r="AN32" i="102"/>
  <c r="AM32" i="102"/>
  <c r="AL32" i="102"/>
  <c r="AK32" i="102"/>
  <c r="AJ32" i="102"/>
  <c r="BG31" i="102"/>
  <c r="BF31" i="102"/>
  <c r="BE31" i="102"/>
  <c r="BD31" i="102"/>
  <c r="BC31" i="102"/>
  <c r="BB31" i="102"/>
  <c r="BA31" i="102"/>
  <c r="AZ31" i="102"/>
  <c r="AY31" i="102"/>
  <c r="AX31" i="102"/>
  <c r="AW31" i="102"/>
  <c r="AV31" i="102"/>
  <c r="AU31" i="102"/>
  <c r="AT31" i="102"/>
  <c r="AS31" i="102"/>
  <c r="AR31" i="102"/>
  <c r="AQ31" i="102"/>
  <c r="AP31" i="102"/>
  <c r="AO31" i="102"/>
  <c r="AN31" i="102"/>
  <c r="AM31" i="102"/>
  <c r="AL31" i="102"/>
  <c r="AK31" i="102"/>
  <c r="AJ31" i="102"/>
  <c r="BG30" i="102"/>
  <c r="BF30" i="102"/>
  <c r="BE30" i="102"/>
  <c r="BD30" i="102"/>
  <c r="BC30" i="102"/>
  <c r="BB30" i="102"/>
  <c r="BA30" i="102"/>
  <c r="AZ30" i="102"/>
  <c r="AY30" i="102"/>
  <c r="AX30" i="102"/>
  <c r="AW30" i="102"/>
  <c r="AV30" i="102"/>
  <c r="AU30" i="102"/>
  <c r="AT30" i="102"/>
  <c r="AS30" i="102"/>
  <c r="AR30" i="102"/>
  <c r="AQ30" i="102"/>
  <c r="AP30" i="102"/>
  <c r="AO30" i="102"/>
  <c r="AN30" i="102"/>
  <c r="AM30" i="102"/>
  <c r="AL30" i="102"/>
  <c r="AK30" i="102"/>
  <c r="AJ30" i="102"/>
  <c r="BG29" i="102"/>
  <c r="BF29" i="102"/>
  <c r="BE29" i="102"/>
  <c r="BD29" i="102"/>
  <c r="BC29" i="102"/>
  <c r="BB29" i="102"/>
  <c r="BA29" i="102"/>
  <c r="AZ29" i="102"/>
  <c r="AY29" i="102"/>
  <c r="AX29" i="102"/>
  <c r="AW29" i="102"/>
  <c r="AV29" i="102"/>
  <c r="AU29" i="102"/>
  <c r="AT29" i="102"/>
  <c r="AS29" i="102"/>
  <c r="AR29" i="102"/>
  <c r="AQ29" i="102"/>
  <c r="AP29" i="102"/>
  <c r="AO29" i="102"/>
  <c r="AN29" i="102"/>
  <c r="AM29" i="102"/>
  <c r="AL29" i="102"/>
  <c r="AK29" i="102"/>
  <c r="AJ29" i="102"/>
  <c r="BG28" i="102"/>
  <c r="BF28" i="102"/>
  <c r="BE28" i="102"/>
  <c r="BD28" i="102"/>
  <c r="BC28" i="102"/>
  <c r="BB28" i="102"/>
  <c r="BA28" i="102"/>
  <c r="AZ28" i="102"/>
  <c r="AY28" i="102"/>
  <c r="AX28" i="102"/>
  <c r="AW28" i="102"/>
  <c r="AV28" i="102"/>
  <c r="AU28" i="102"/>
  <c r="AT28" i="102"/>
  <c r="AS28" i="102"/>
  <c r="AR28" i="102"/>
  <c r="AQ28" i="102"/>
  <c r="AP28" i="102"/>
  <c r="AO28" i="102"/>
  <c r="AN28" i="102"/>
  <c r="AM28" i="102"/>
  <c r="AL28" i="102"/>
  <c r="AK28" i="102"/>
  <c r="AJ28" i="102"/>
  <c r="BG27" i="102"/>
  <c r="BF27" i="102"/>
  <c r="BE27" i="102"/>
  <c r="BD27" i="102"/>
  <c r="BC27" i="102"/>
  <c r="BB27" i="102"/>
  <c r="BA27" i="102"/>
  <c r="AZ27" i="102"/>
  <c r="AY27" i="102"/>
  <c r="AX27" i="102"/>
  <c r="AW27" i="102"/>
  <c r="AV27" i="102"/>
  <c r="AU27" i="102"/>
  <c r="AT27" i="102"/>
  <c r="AS27" i="102"/>
  <c r="AR27" i="102"/>
  <c r="AQ27" i="102"/>
  <c r="AP27" i="102"/>
  <c r="AO27" i="102"/>
  <c r="AN27" i="102"/>
  <c r="AM27" i="102"/>
  <c r="AL27" i="102"/>
  <c r="AK27" i="102"/>
  <c r="AJ27" i="102"/>
  <c r="BG26" i="102"/>
  <c r="BF26" i="102"/>
  <c r="BE26" i="102"/>
  <c r="BD26" i="102"/>
  <c r="BC26" i="102"/>
  <c r="BB26" i="102"/>
  <c r="BA26" i="102"/>
  <c r="AZ26" i="102"/>
  <c r="AY26" i="102"/>
  <c r="AX26" i="102"/>
  <c r="AW26" i="102"/>
  <c r="AV26" i="102"/>
  <c r="AU26" i="102"/>
  <c r="AT26" i="102"/>
  <c r="AS26" i="102"/>
  <c r="AR26" i="102"/>
  <c r="AQ26" i="102"/>
  <c r="AP26" i="102"/>
  <c r="AO26" i="102"/>
  <c r="AN26" i="102"/>
  <c r="AM26" i="102"/>
  <c r="AL26" i="102"/>
  <c r="AK26" i="102"/>
  <c r="AJ26" i="102"/>
  <c r="BG25" i="102"/>
  <c r="BF25" i="102"/>
  <c r="BE25" i="102"/>
  <c r="BD25" i="102"/>
  <c r="BC25" i="102"/>
  <c r="BB25" i="102"/>
  <c r="BA25" i="102"/>
  <c r="AZ25" i="102"/>
  <c r="AY25" i="102"/>
  <c r="AX25" i="102"/>
  <c r="AW25" i="102"/>
  <c r="AV25" i="102"/>
  <c r="AU25" i="102"/>
  <c r="AT25" i="102"/>
  <c r="AS25" i="102"/>
  <c r="AR25" i="102"/>
  <c r="AQ25" i="102"/>
  <c r="AP25" i="102"/>
  <c r="AO25" i="102"/>
  <c r="AN25" i="102"/>
  <c r="AM25" i="102"/>
  <c r="AL25" i="102"/>
  <c r="AK25" i="102"/>
  <c r="AJ25" i="102"/>
  <c r="BG24" i="102"/>
  <c r="BF24" i="102"/>
  <c r="BE24" i="102"/>
  <c r="BD24" i="102"/>
  <c r="BC24" i="102"/>
  <c r="BB24" i="102"/>
  <c r="BA24" i="102"/>
  <c r="AZ24" i="102"/>
  <c r="AY24" i="102"/>
  <c r="AX24" i="102"/>
  <c r="AW24" i="102"/>
  <c r="AV24" i="102"/>
  <c r="AU24" i="102"/>
  <c r="AT24" i="102"/>
  <c r="AS24" i="102"/>
  <c r="AR24" i="102"/>
  <c r="AQ24" i="102"/>
  <c r="AP24" i="102"/>
  <c r="AO24" i="102"/>
  <c r="AN24" i="102"/>
  <c r="AM24" i="102"/>
  <c r="AL24" i="102"/>
  <c r="AK24" i="102"/>
  <c r="AJ24" i="102"/>
  <c r="BG23" i="102"/>
  <c r="BF23" i="102"/>
  <c r="BE23" i="102"/>
  <c r="BD23" i="102"/>
  <c r="BC23" i="102"/>
  <c r="BB23" i="102"/>
  <c r="BA23" i="102"/>
  <c r="AZ23" i="102"/>
  <c r="AY23" i="102"/>
  <c r="AX23" i="102"/>
  <c r="AW23" i="102"/>
  <c r="AV23" i="102"/>
  <c r="AU23" i="102"/>
  <c r="AT23" i="102"/>
  <c r="AS23" i="102"/>
  <c r="AR23" i="102"/>
  <c r="AQ23" i="102"/>
  <c r="AP23" i="102"/>
  <c r="AO23" i="102"/>
  <c r="AN23" i="102"/>
  <c r="AM23" i="102"/>
  <c r="AL23" i="102"/>
  <c r="AK23" i="102"/>
  <c r="AJ23" i="102"/>
  <c r="BG22" i="102"/>
  <c r="BF22" i="102"/>
  <c r="BE22" i="102"/>
  <c r="BD22" i="102"/>
  <c r="BC22" i="102"/>
  <c r="BB22" i="102"/>
  <c r="BA22" i="102"/>
  <c r="AZ22" i="102"/>
  <c r="AY22" i="102"/>
  <c r="AX22" i="102"/>
  <c r="AW22" i="102"/>
  <c r="AV22" i="102"/>
  <c r="AU22" i="102"/>
  <c r="AT22" i="102"/>
  <c r="AS22" i="102"/>
  <c r="AR22" i="102"/>
  <c r="AQ22" i="102"/>
  <c r="AP22" i="102"/>
  <c r="AO22" i="102"/>
  <c r="AN22" i="102"/>
  <c r="AM22" i="102"/>
  <c r="AL22" i="102"/>
  <c r="AK22" i="102"/>
  <c r="AJ22" i="102"/>
  <c r="BG21" i="102"/>
  <c r="BF21" i="102"/>
  <c r="BE21" i="102"/>
  <c r="BD21" i="102"/>
  <c r="BC21" i="102"/>
  <c r="BB21" i="102"/>
  <c r="BA21" i="102"/>
  <c r="AZ21" i="102"/>
  <c r="AY21" i="102"/>
  <c r="AX21" i="102"/>
  <c r="AW21" i="102"/>
  <c r="AV21" i="102"/>
  <c r="AU21" i="102"/>
  <c r="AT21" i="102"/>
  <c r="AS21" i="102"/>
  <c r="AR21" i="102"/>
  <c r="AQ21" i="102"/>
  <c r="AP21" i="102"/>
  <c r="AO21" i="102"/>
  <c r="AN21" i="102"/>
  <c r="AM21" i="102"/>
  <c r="AL21" i="102"/>
  <c r="AK21" i="102"/>
  <c r="AJ21" i="102"/>
  <c r="BG20" i="102"/>
  <c r="BF20" i="102"/>
  <c r="BE20" i="102"/>
  <c r="BD20" i="102"/>
  <c r="BC20" i="102"/>
  <c r="BB20" i="102"/>
  <c r="BA20" i="102"/>
  <c r="AZ20" i="102"/>
  <c r="AY20" i="102"/>
  <c r="AX20" i="102"/>
  <c r="AW20" i="102"/>
  <c r="AV20" i="102"/>
  <c r="AU20" i="102"/>
  <c r="AT20" i="102"/>
  <c r="AS20" i="102"/>
  <c r="AR20" i="102"/>
  <c r="AQ20" i="102"/>
  <c r="AP20" i="102"/>
  <c r="AO20" i="102"/>
  <c r="AN20" i="102"/>
  <c r="AM20" i="102"/>
  <c r="AL20" i="102"/>
  <c r="AK20" i="102"/>
  <c r="AJ20" i="102"/>
  <c r="BG19" i="102"/>
  <c r="BF19" i="102"/>
  <c r="BE19" i="102"/>
  <c r="BD19" i="102"/>
  <c r="BC19" i="102"/>
  <c r="BB19" i="102"/>
  <c r="BA19" i="102"/>
  <c r="AZ19" i="102"/>
  <c r="AY19" i="102"/>
  <c r="AX19" i="102"/>
  <c r="AW19" i="102"/>
  <c r="AV19" i="102"/>
  <c r="AU19" i="102"/>
  <c r="AT19" i="102"/>
  <c r="AS19" i="102"/>
  <c r="AR19" i="102"/>
  <c r="AQ19" i="102"/>
  <c r="AP19" i="102"/>
  <c r="AO19" i="102"/>
  <c r="AN19" i="102"/>
  <c r="AM19" i="102"/>
  <c r="AL19" i="102"/>
  <c r="AK19" i="102"/>
  <c r="AJ19" i="102"/>
  <c r="BG18" i="102"/>
  <c r="BF18" i="102"/>
  <c r="BE18" i="102"/>
  <c r="BD18" i="102"/>
  <c r="BC18" i="102"/>
  <c r="BB18" i="102"/>
  <c r="BA18" i="102"/>
  <c r="AZ18" i="102"/>
  <c r="AY18" i="102"/>
  <c r="AX18" i="102"/>
  <c r="AW18" i="102"/>
  <c r="AV18" i="102"/>
  <c r="AU18" i="102"/>
  <c r="AT18" i="102"/>
  <c r="AS18" i="102"/>
  <c r="AR18" i="102"/>
  <c r="AQ18" i="102"/>
  <c r="AP18" i="102"/>
  <c r="AO18" i="102"/>
  <c r="AN18" i="102"/>
  <c r="AM18" i="102"/>
  <c r="AL18" i="102"/>
  <c r="AK18" i="102"/>
  <c r="AJ18" i="102"/>
  <c r="BG17" i="102"/>
  <c r="BF17" i="102"/>
  <c r="BE17" i="102"/>
  <c r="BD17" i="102"/>
  <c r="BC17" i="102"/>
  <c r="BB17" i="102"/>
  <c r="BA17" i="102"/>
  <c r="AZ17" i="102"/>
  <c r="AY17" i="102"/>
  <c r="AX17" i="102"/>
  <c r="AW17" i="102"/>
  <c r="AV17" i="102"/>
  <c r="AU17" i="102"/>
  <c r="AT17" i="102"/>
  <c r="AS17" i="102"/>
  <c r="AR17" i="102"/>
  <c r="AQ17" i="102"/>
  <c r="AP17" i="102"/>
  <c r="AO17" i="102"/>
  <c r="AN17" i="102"/>
  <c r="AM17" i="102"/>
  <c r="AL17" i="102"/>
  <c r="AK17" i="102"/>
  <c r="AJ17" i="102"/>
  <c r="BG16" i="102"/>
  <c r="BF16" i="102"/>
  <c r="BE16" i="102"/>
  <c r="BD16" i="102"/>
  <c r="BC16" i="102"/>
  <c r="BB16" i="102"/>
  <c r="BA16" i="102"/>
  <c r="AZ16" i="102"/>
  <c r="AY16" i="102"/>
  <c r="AX16" i="102"/>
  <c r="AW16" i="102"/>
  <c r="AV16" i="102"/>
  <c r="AU16" i="102"/>
  <c r="AT16" i="102"/>
  <c r="AS16" i="102"/>
  <c r="AR16" i="102"/>
  <c r="AQ16" i="102"/>
  <c r="AP16" i="102"/>
  <c r="AO16" i="102"/>
  <c r="AN16" i="102"/>
  <c r="AM16" i="102"/>
  <c r="AL16" i="102"/>
  <c r="AK16" i="102"/>
  <c r="AJ16" i="102"/>
  <c r="BG15" i="102"/>
  <c r="BF15" i="102"/>
  <c r="BE15" i="102"/>
  <c r="BD15" i="102"/>
  <c r="BC15" i="102"/>
  <c r="BB15" i="102"/>
  <c r="BA15" i="102"/>
  <c r="AZ15" i="102"/>
  <c r="AY15" i="102"/>
  <c r="AX15" i="102"/>
  <c r="AW15" i="102"/>
  <c r="AV15" i="102"/>
  <c r="AU15" i="102"/>
  <c r="AT15" i="102"/>
  <c r="AS15" i="102"/>
  <c r="AR15" i="102"/>
  <c r="AQ15" i="102"/>
  <c r="AP15" i="102"/>
  <c r="AO15" i="102"/>
  <c r="AN15" i="102"/>
  <c r="AM15" i="102"/>
  <c r="AL15" i="102"/>
  <c r="AK15" i="102"/>
  <c r="AJ15" i="102"/>
  <c r="BL14" i="102"/>
  <c r="BK14" i="102"/>
  <c r="BJ14" i="102"/>
  <c r="BI14" i="102"/>
  <c r="BH14" i="102"/>
  <c r="BG14" i="102"/>
  <c r="BF14" i="102"/>
  <c r="BE14" i="102"/>
  <c r="BD14" i="102"/>
  <c r="BC14" i="102"/>
  <c r="BB14" i="102"/>
  <c r="BA14" i="102"/>
  <c r="AZ14" i="102"/>
  <c r="AY14" i="102"/>
  <c r="AX14" i="102"/>
  <c r="AW14" i="102"/>
  <c r="AV14" i="102"/>
  <c r="AU14" i="102"/>
  <c r="AT14" i="102"/>
  <c r="AS14" i="102"/>
  <c r="AR14" i="102"/>
  <c r="AQ14" i="102"/>
  <c r="AP14" i="102"/>
  <c r="AO14" i="102"/>
  <c r="AN14" i="102"/>
  <c r="AM14" i="102"/>
  <c r="AL14" i="102"/>
  <c r="BL13" i="102"/>
  <c r="BK13" i="102"/>
  <c r="BJ13" i="102"/>
  <c r="BI13" i="102"/>
  <c r="BH13" i="102"/>
  <c r="BG13" i="102"/>
  <c r="BF13" i="102"/>
  <c r="BE13" i="102"/>
  <c r="BD13" i="102"/>
  <c r="BA13" i="102"/>
  <c r="AZ13" i="102"/>
  <c r="AY13" i="102"/>
  <c r="AX13" i="102"/>
  <c r="AW13" i="102"/>
  <c r="AV13" i="102"/>
  <c r="AU13" i="102"/>
  <c r="AT13" i="102"/>
  <c r="AS13" i="102"/>
  <c r="AR13" i="102"/>
  <c r="AQ13" i="102"/>
  <c r="AP13" i="102"/>
  <c r="AO13" i="102"/>
  <c r="AN13" i="102"/>
  <c r="AM13" i="102"/>
  <c r="AL13" i="102"/>
  <c r="BG44" i="103"/>
  <c r="BF44" i="103"/>
  <c r="BE44" i="103"/>
  <c r="BD44" i="103"/>
  <c r="BC44" i="103"/>
  <c r="BB44" i="103"/>
  <c r="BA44" i="103"/>
  <c r="AZ44" i="103"/>
  <c r="AY44" i="103"/>
  <c r="AX44" i="103"/>
  <c r="AW44" i="103"/>
  <c r="AV44" i="103"/>
  <c r="AU44" i="103"/>
  <c r="AT44" i="103"/>
  <c r="AS44" i="103"/>
  <c r="AR44" i="103"/>
  <c r="AQ44" i="103"/>
  <c r="AP44" i="103"/>
  <c r="AO44" i="103"/>
  <c r="AN44" i="103"/>
  <c r="AM44" i="103"/>
  <c r="AL44" i="103"/>
  <c r="AK44" i="103"/>
  <c r="AJ44" i="103"/>
  <c r="BG43" i="103"/>
  <c r="BF43" i="103"/>
  <c r="BE43" i="103"/>
  <c r="BD43" i="103"/>
  <c r="BC43" i="103"/>
  <c r="BB43" i="103"/>
  <c r="BA43" i="103"/>
  <c r="AZ43" i="103"/>
  <c r="AY43" i="103"/>
  <c r="AX43" i="103"/>
  <c r="AW43" i="103"/>
  <c r="AV43" i="103"/>
  <c r="AU43" i="103"/>
  <c r="AT43" i="103"/>
  <c r="AS43" i="103"/>
  <c r="AR43" i="103"/>
  <c r="AQ43" i="103"/>
  <c r="AP43" i="103"/>
  <c r="AO43" i="103"/>
  <c r="AN43" i="103"/>
  <c r="AM43" i="103"/>
  <c r="AL43" i="103"/>
  <c r="AK43" i="103"/>
  <c r="AJ43" i="103"/>
  <c r="BG42" i="103"/>
  <c r="BF42" i="103"/>
  <c r="BE42" i="103"/>
  <c r="BD42" i="103"/>
  <c r="BC42" i="103"/>
  <c r="BB42" i="103"/>
  <c r="BA42" i="103"/>
  <c r="AZ42" i="103"/>
  <c r="AY42" i="103"/>
  <c r="AX42" i="103"/>
  <c r="AW42" i="103"/>
  <c r="AV42" i="103"/>
  <c r="AU42" i="103"/>
  <c r="AT42" i="103"/>
  <c r="AS42" i="103"/>
  <c r="AR42" i="103"/>
  <c r="AQ42" i="103"/>
  <c r="AP42" i="103"/>
  <c r="AO42" i="103"/>
  <c r="AN42" i="103"/>
  <c r="AM42" i="103"/>
  <c r="AL42" i="103"/>
  <c r="AK42" i="103"/>
  <c r="AJ42" i="103"/>
  <c r="BG41" i="103"/>
  <c r="BF41" i="103"/>
  <c r="BE41" i="103"/>
  <c r="BD41" i="103"/>
  <c r="BC41" i="103"/>
  <c r="BB41" i="103"/>
  <c r="BA41" i="103"/>
  <c r="AZ41" i="103"/>
  <c r="AY41" i="103"/>
  <c r="AX41" i="103"/>
  <c r="AW41" i="103"/>
  <c r="AV41" i="103"/>
  <c r="AU41" i="103"/>
  <c r="AT41" i="103"/>
  <c r="AS41" i="103"/>
  <c r="AR41" i="103"/>
  <c r="AQ41" i="103"/>
  <c r="AP41" i="103"/>
  <c r="AO41" i="103"/>
  <c r="AN41" i="103"/>
  <c r="AM41" i="103"/>
  <c r="AL41" i="103"/>
  <c r="AK41" i="103"/>
  <c r="AJ41" i="103"/>
  <c r="BG40" i="103"/>
  <c r="BF40" i="103"/>
  <c r="BE40" i="103"/>
  <c r="BD40" i="103"/>
  <c r="BC40" i="103"/>
  <c r="BB40" i="103"/>
  <c r="BA40" i="103"/>
  <c r="AZ40" i="103"/>
  <c r="AY40" i="103"/>
  <c r="AX40" i="103"/>
  <c r="AW40" i="103"/>
  <c r="AV40" i="103"/>
  <c r="AU40" i="103"/>
  <c r="AT40" i="103"/>
  <c r="AS40" i="103"/>
  <c r="AR40" i="103"/>
  <c r="AQ40" i="103"/>
  <c r="AP40" i="103"/>
  <c r="AO40" i="103"/>
  <c r="AN40" i="103"/>
  <c r="AM40" i="103"/>
  <c r="AL40" i="103"/>
  <c r="AK40" i="103"/>
  <c r="AJ40" i="103"/>
  <c r="BG39" i="103"/>
  <c r="BF39" i="103"/>
  <c r="BE39" i="103"/>
  <c r="BD39" i="103"/>
  <c r="BC39" i="103"/>
  <c r="BB39" i="103"/>
  <c r="BA39" i="103"/>
  <c r="AZ39" i="103"/>
  <c r="AY39" i="103"/>
  <c r="AX39" i="103"/>
  <c r="AW39" i="103"/>
  <c r="AV39" i="103"/>
  <c r="AU39" i="103"/>
  <c r="AT39" i="103"/>
  <c r="AS39" i="103"/>
  <c r="AR39" i="103"/>
  <c r="AQ39" i="103"/>
  <c r="AP39" i="103"/>
  <c r="AO39" i="103"/>
  <c r="AN39" i="103"/>
  <c r="AM39" i="103"/>
  <c r="AL39" i="103"/>
  <c r="AK39" i="103"/>
  <c r="AJ39" i="103"/>
  <c r="BG38" i="103"/>
  <c r="BF38" i="103"/>
  <c r="BE38" i="103"/>
  <c r="BD38" i="103"/>
  <c r="BC38" i="103"/>
  <c r="BB38" i="103"/>
  <c r="BA38" i="103"/>
  <c r="AZ38" i="103"/>
  <c r="AY38" i="103"/>
  <c r="AX38" i="103"/>
  <c r="AW38" i="103"/>
  <c r="AV38" i="103"/>
  <c r="AU38" i="103"/>
  <c r="AT38" i="103"/>
  <c r="AS38" i="103"/>
  <c r="AR38" i="103"/>
  <c r="AQ38" i="103"/>
  <c r="AP38" i="103"/>
  <c r="AO38" i="103"/>
  <c r="AN38" i="103"/>
  <c r="AM38" i="103"/>
  <c r="AL38" i="103"/>
  <c r="AK38" i="103"/>
  <c r="AJ38" i="103"/>
  <c r="BG37" i="103"/>
  <c r="BF37" i="103"/>
  <c r="BE37" i="103"/>
  <c r="BD37" i="103"/>
  <c r="BC37" i="103"/>
  <c r="BB37" i="103"/>
  <c r="BA37" i="103"/>
  <c r="AZ37" i="103"/>
  <c r="AY37" i="103"/>
  <c r="AX37" i="103"/>
  <c r="AW37" i="103"/>
  <c r="AV37" i="103"/>
  <c r="AU37" i="103"/>
  <c r="AT37" i="103"/>
  <c r="AS37" i="103"/>
  <c r="AR37" i="103"/>
  <c r="AQ37" i="103"/>
  <c r="AP37" i="103"/>
  <c r="AO37" i="103"/>
  <c r="AN37" i="103"/>
  <c r="AM37" i="103"/>
  <c r="AL37" i="103"/>
  <c r="AK37" i="103"/>
  <c r="AJ37" i="103"/>
  <c r="BG36" i="103"/>
  <c r="BF36" i="103"/>
  <c r="BE36" i="103"/>
  <c r="BD36" i="103"/>
  <c r="BC36" i="103"/>
  <c r="BB36" i="103"/>
  <c r="BA36" i="103"/>
  <c r="AZ36" i="103"/>
  <c r="AY36" i="103"/>
  <c r="AX36" i="103"/>
  <c r="AW36" i="103"/>
  <c r="AV36" i="103"/>
  <c r="AU36" i="103"/>
  <c r="AT36" i="103"/>
  <c r="AS36" i="103"/>
  <c r="AR36" i="103"/>
  <c r="AQ36" i="103"/>
  <c r="AP36" i="103"/>
  <c r="AO36" i="103"/>
  <c r="AN36" i="103"/>
  <c r="AM36" i="103"/>
  <c r="AL36" i="103"/>
  <c r="AK36" i="103"/>
  <c r="AJ36" i="103"/>
  <c r="BG35" i="103"/>
  <c r="BF35" i="103"/>
  <c r="BE35" i="103"/>
  <c r="BD35" i="103"/>
  <c r="BC35" i="103"/>
  <c r="BB35" i="103"/>
  <c r="BA35" i="103"/>
  <c r="AZ35" i="103"/>
  <c r="AY35" i="103"/>
  <c r="AX35" i="103"/>
  <c r="AW35" i="103"/>
  <c r="AV35" i="103"/>
  <c r="AU35" i="103"/>
  <c r="AT35" i="103"/>
  <c r="AS35" i="103"/>
  <c r="AR35" i="103"/>
  <c r="AQ35" i="103"/>
  <c r="AP35" i="103"/>
  <c r="AO35" i="103"/>
  <c r="AN35" i="103"/>
  <c r="AM35" i="103"/>
  <c r="AL35" i="103"/>
  <c r="AK35" i="103"/>
  <c r="AJ35" i="103"/>
  <c r="BG34" i="103"/>
  <c r="BF34" i="103"/>
  <c r="BE34" i="103"/>
  <c r="BD34" i="103"/>
  <c r="BC34" i="103"/>
  <c r="BB34" i="103"/>
  <c r="BA34" i="103"/>
  <c r="AZ34" i="103"/>
  <c r="AY34" i="103"/>
  <c r="AX34" i="103"/>
  <c r="AW34" i="103"/>
  <c r="AV34" i="103"/>
  <c r="AU34" i="103"/>
  <c r="AT34" i="103"/>
  <c r="AS34" i="103"/>
  <c r="AR34" i="103"/>
  <c r="AQ34" i="103"/>
  <c r="AP34" i="103"/>
  <c r="AO34" i="103"/>
  <c r="AN34" i="103"/>
  <c r="AM34" i="103"/>
  <c r="AL34" i="103"/>
  <c r="AK34" i="103"/>
  <c r="AJ34" i="103"/>
  <c r="BG33" i="103"/>
  <c r="BF33" i="103"/>
  <c r="BE33" i="103"/>
  <c r="BD33" i="103"/>
  <c r="BC33" i="103"/>
  <c r="BB33" i="103"/>
  <c r="BA33" i="103"/>
  <c r="AZ33" i="103"/>
  <c r="AY33" i="103"/>
  <c r="AX33" i="103"/>
  <c r="AW33" i="103"/>
  <c r="AV33" i="103"/>
  <c r="AU33" i="103"/>
  <c r="AT33" i="103"/>
  <c r="AS33" i="103"/>
  <c r="AR33" i="103"/>
  <c r="AQ33" i="103"/>
  <c r="AP33" i="103"/>
  <c r="AO33" i="103"/>
  <c r="AN33" i="103"/>
  <c r="AM33" i="103"/>
  <c r="AL33" i="103"/>
  <c r="AK33" i="103"/>
  <c r="AJ33" i="103"/>
  <c r="BG32" i="103"/>
  <c r="BF32" i="103"/>
  <c r="BE32" i="103"/>
  <c r="BD32" i="103"/>
  <c r="BC32" i="103"/>
  <c r="BB32" i="103"/>
  <c r="BA32" i="103"/>
  <c r="AZ32" i="103"/>
  <c r="AY32" i="103"/>
  <c r="AX32" i="103"/>
  <c r="AW32" i="103"/>
  <c r="AV32" i="103"/>
  <c r="AU32" i="103"/>
  <c r="AT32" i="103"/>
  <c r="AS32" i="103"/>
  <c r="AR32" i="103"/>
  <c r="AQ32" i="103"/>
  <c r="AP32" i="103"/>
  <c r="AO32" i="103"/>
  <c r="AN32" i="103"/>
  <c r="AM32" i="103"/>
  <c r="AL32" i="103"/>
  <c r="AK32" i="103"/>
  <c r="AJ32" i="103"/>
  <c r="BG31" i="103"/>
  <c r="BF31" i="103"/>
  <c r="BE31" i="103"/>
  <c r="BD31" i="103"/>
  <c r="BC31" i="103"/>
  <c r="BB31" i="103"/>
  <c r="BA31" i="103"/>
  <c r="AZ31" i="103"/>
  <c r="AY31" i="103"/>
  <c r="AX31" i="103"/>
  <c r="AW31" i="103"/>
  <c r="AV31" i="103"/>
  <c r="AU31" i="103"/>
  <c r="AT31" i="103"/>
  <c r="AS31" i="103"/>
  <c r="AR31" i="103"/>
  <c r="AQ31" i="103"/>
  <c r="AP31" i="103"/>
  <c r="AO31" i="103"/>
  <c r="AN31" i="103"/>
  <c r="AM31" i="103"/>
  <c r="AL31" i="103"/>
  <c r="AK31" i="103"/>
  <c r="AJ31" i="103"/>
  <c r="BG30" i="103"/>
  <c r="BF30" i="103"/>
  <c r="BE30" i="103"/>
  <c r="BD30" i="103"/>
  <c r="BC30" i="103"/>
  <c r="BB30" i="103"/>
  <c r="BA30" i="103"/>
  <c r="AZ30" i="103"/>
  <c r="AY30" i="103"/>
  <c r="AX30" i="103"/>
  <c r="AW30" i="103"/>
  <c r="AV30" i="103"/>
  <c r="AU30" i="103"/>
  <c r="AT30" i="103"/>
  <c r="AS30" i="103"/>
  <c r="AR30" i="103"/>
  <c r="AQ30" i="103"/>
  <c r="AP30" i="103"/>
  <c r="AO30" i="103"/>
  <c r="AN30" i="103"/>
  <c r="AM30" i="103"/>
  <c r="AL30" i="103"/>
  <c r="AK30" i="103"/>
  <c r="AJ30" i="103"/>
  <c r="BG29" i="103"/>
  <c r="BF29" i="103"/>
  <c r="BE29" i="103"/>
  <c r="BD29" i="103"/>
  <c r="BC29" i="103"/>
  <c r="BB29" i="103"/>
  <c r="BA29" i="103"/>
  <c r="AZ29" i="103"/>
  <c r="AY29" i="103"/>
  <c r="AX29" i="103"/>
  <c r="AW29" i="103"/>
  <c r="AV29" i="103"/>
  <c r="AU29" i="103"/>
  <c r="AT29" i="103"/>
  <c r="AS29" i="103"/>
  <c r="AR29" i="103"/>
  <c r="AQ29" i="103"/>
  <c r="AP29" i="103"/>
  <c r="AO29" i="103"/>
  <c r="AN29" i="103"/>
  <c r="AM29" i="103"/>
  <c r="AL29" i="103"/>
  <c r="AK29" i="103"/>
  <c r="AJ29" i="103"/>
  <c r="BG28" i="103"/>
  <c r="BF28" i="103"/>
  <c r="BE28" i="103"/>
  <c r="BD28" i="103"/>
  <c r="BC28" i="103"/>
  <c r="BB28" i="103"/>
  <c r="BA28" i="103"/>
  <c r="AZ28" i="103"/>
  <c r="AY28" i="103"/>
  <c r="AX28" i="103"/>
  <c r="AW28" i="103"/>
  <c r="AV28" i="103"/>
  <c r="AU28" i="103"/>
  <c r="AT28" i="103"/>
  <c r="AS28" i="103"/>
  <c r="AR28" i="103"/>
  <c r="AQ28" i="103"/>
  <c r="AP28" i="103"/>
  <c r="AO28" i="103"/>
  <c r="AN28" i="103"/>
  <c r="AM28" i="103"/>
  <c r="AL28" i="103"/>
  <c r="AK28" i="103"/>
  <c r="AJ28" i="103"/>
  <c r="BG27" i="103"/>
  <c r="BF27" i="103"/>
  <c r="BE27" i="103"/>
  <c r="BD27" i="103"/>
  <c r="BC27" i="103"/>
  <c r="BB27" i="103"/>
  <c r="BA27" i="103"/>
  <c r="AZ27" i="103"/>
  <c r="AY27" i="103"/>
  <c r="AX27" i="103"/>
  <c r="AW27" i="103"/>
  <c r="AV27" i="103"/>
  <c r="AU27" i="103"/>
  <c r="AT27" i="103"/>
  <c r="AS27" i="103"/>
  <c r="AR27" i="103"/>
  <c r="AQ27" i="103"/>
  <c r="AP27" i="103"/>
  <c r="AO27" i="103"/>
  <c r="AN27" i="103"/>
  <c r="AM27" i="103"/>
  <c r="AL27" i="103"/>
  <c r="AK27" i="103"/>
  <c r="AJ27" i="103"/>
  <c r="BG26" i="103"/>
  <c r="BF26" i="103"/>
  <c r="BE26" i="103"/>
  <c r="BD26" i="103"/>
  <c r="BC26" i="103"/>
  <c r="BB26" i="103"/>
  <c r="BA26" i="103"/>
  <c r="AZ26" i="103"/>
  <c r="AY26" i="103"/>
  <c r="AX26" i="103"/>
  <c r="AW26" i="103"/>
  <c r="AV26" i="103"/>
  <c r="AU26" i="103"/>
  <c r="AT26" i="103"/>
  <c r="AS26" i="103"/>
  <c r="AR26" i="103"/>
  <c r="AQ26" i="103"/>
  <c r="AP26" i="103"/>
  <c r="AO26" i="103"/>
  <c r="AN26" i="103"/>
  <c r="AM26" i="103"/>
  <c r="AL26" i="103"/>
  <c r="AK26" i="103"/>
  <c r="AJ26" i="103"/>
  <c r="BG25" i="103"/>
  <c r="BF25" i="103"/>
  <c r="BE25" i="103"/>
  <c r="BD25" i="103"/>
  <c r="BC25" i="103"/>
  <c r="BB25" i="103"/>
  <c r="BA25" i="103"/>
  <c r="AZ25" i="103"/>
  <c r="AY25" i="103"/>
  <c r="AX25" i="103"/>
  <c r="AW25" i="103"/>
  <c r="AV25" i="103"/>
  <c r="AU25" i="103"/>
  <c r="AT25" i="103"/>
  <c r="AS25" i="103"/>
  <c r="AR25" i="103"/>
  <c r="AQ25" i="103"/>
  <c r="AP25" i="103"/>
  <c r="AO25" i="103"/>
  <c r="AN25" i="103"/>
  <c r="AM25" i="103"/>
  <c r="AL25" i="103"/>
  <c r="AK25" i="103"/>
  <c r="AJ25" i="103"/>
  <c r="BG24" i="103"/>
  <c r="BF24" i="103"/>
  <c r="BE24" i="103"/>
  <c r="BD24" i="103"/>
  <c r="BC24" i="103"/>
  <c r="BB24" i="103"/>
  <c r="BA24" i="103"/>
  <c r="AZ24" i="103"/>
  <c r="AY24" i="103"/>
  <c r="AX24" i="103"/>
  <c r="AW24" i="103"/>
  <c r="AV24" i="103"/>
  <c r="AU24" i="103"/>
  <c r="AT24" i="103"/>
  <c r="AS24" i="103"/>
  <c r="AR24" i="103"/>
  <c r="AQ24" i="103"/>
  <c r="AP24" i="103"/>
  <c r="AO24" i="103"/>
  <c r="AN24" i="103"/>
  <c r="AM24" i="103"/>
  <c r="AL24" i="103"/>
  <c r="AK24" i="103"/>
  <c r="AJ24" i="103"/>
  <c r="BG23" i="103"/>
  <c r="BF23" i="103"/>
  <c r="BE23" i="103"/>
  <c r="BD23" i="103"/>
  <c r="BC23" i="103"/>
  <c r="BB23" i="103"/>
  <c r="BA23" i="103"/>
  <c r="AZ23" i="103"/>
  <c r="AY23" i="103"/>
  <c r="AX23" i="103"/>
  <c r="AW23" i="103"/>
  <c r="AV23" i="103"/>
  <c r="AU23" i="103"/>
  <c r="AT23" i="103"/>
  <c r="AS23" i="103"/>
  <c r="AR23" i="103"/>
  <c r="AQ23" i="103"/>
  <c r="AP23" i="103"/>
  <c r="AO23" i="103"/>
  <c r="AN23" i="103"/>
  <c r="AM23" i="103"/>
  <c r="AL23" i="103"/>
  <c r="AK23" i="103"/>
  <c r="AJ23" i="103"/>
  <c r="BG22" i="103"/>
  <c r="BF22" i="103"/>
  <c r="BE22" i="103"/>
  <c r="BD22" i="103"/>
  <c r="BC22" i="103"/>
  <c r="BB22" i="103"/>
  <c r="BA22" i="103"/>
  <c r="AZ22" i="103"/>
  <c r="AY22" i="103"/>
  <c r="AX22" i="103"/>
  <c r="AW22" i="103"/>
  <c r="AV22" i="103"/>
  <c r="AU22" i="103"/>
  <c r="AT22" i="103"/>
  <c r="AS22" i="103"/>
  <c r="AR22" i="103"/>
  <c r="AQ22" i="103"/>
  <c r="AP22" i="103"/>
  <c r="AO22" i="103"/>
  <c r="AN22" i="103"/>
  <c r="AM22" i="103"/>
  <c r="AL22" i="103"/>
  <c r="AK22" i="103"/>
  <c r="AJ22" i="103"/>
  <c r="BG21" i="103"/>
  <c r="BF21" i="103"/>
  <c r="BE21" i="103"/>
  <c r="BD21" i="103"/>
  <c r="BC21" i="103"/>
  <c r="BB21" i="103"/>
  <c r="BA21" i="103"/>
  <c r="AZ21" i="103"/>
  <c r="AY21" i="103"/>
  <c r="AX21" i="103"/>
  <c r="AW21" i="103"/>
  <c r="AV21" i="103"/>
  <c r="AU21" i="103"/>
  <c r="AT21" i="103"/>
  <c r="AS21" i="103"/>
  <c r="AR21" i="103"/>
  <c r="AQ21" i="103"/>
  <c r="AP21" i="103"/>
  <c r="AO21" i="103"/>
  <c r="AN21" i="103"/>
  <c r="AM21" i="103"/>
  <c r="AL21" i="103"/>
  <c r="AK21" i="103"/>
  <c r="AJ21" i="103"/>
  <c r="BG20" i="103"/>
  <c r="BF20" i="103"/>
  <c r="BE20" i="103"/>
  <c r="BD20" i="103"/>
  <c r="BC20" i="103"/>
  <c r="BB20" i="103"/>
  <c r="BA20" i="103"/>
  <c r="AZ20" i="103"/>
  <c r="AY20" i="103"/>
  <c r="AX20" i="103"/>
  <c r="AW20" i="103"/>
  <c r="AV20" i="103"/>
  <c r="AU20" i="103"/>
  <c r="AT20" i="103"/>
  <c r="AS20" i="103"/>
  <c r="AR20" i="103"/>
  <c r="AQ20" i="103"/>
  <c r="AP20" i="103"/>
  <c r="AO20" i="103"/>
  <c r="AN20" i="103"/>
  <c r="AM20" i="103"/>
  <c r="AL20" i="103"/>
  <c r="AK20" i="103"/>
  <c r="AJ20" i="103"/>
  <c r="BG19" i="103"/>
  <c r="BF19" i="103"/>
  <c r="BE19" i="103"/>
  <c r="BD19" i="103"/>
  <c r="BC19" i="103"/>
  <c r="BB19" i="103"/>
  <c r="BA19" i="103"/>
  <c r="AZ19" i="103"/>
  <c r="AY19" i="103"/>
  <c r="AX19" i="103"/>
  <c r="AW19" i="103"/>
  <c r="AV19" i="103"/>
  <c r="AU19" i="103"/>
  <c r="AT19" i="103"/>
  <c r="AS19" i="103"/>
  <c r="AR19" i="103"/>
  <c r="AQ19" i="103"/>
  <c r="AP19" i="103"/>
  <c r="AO19" i="103"/>
  <c r="AN19" i="103"/>
  <c r="AM19" i="103"/>
  <c r="AL19" i="103"/>
  <c r="AK19" i="103"/>
  <c r="AJ19" i="103"/>
  <c r="BG18" i="103"/>
  <c r="BF18" i="103"/>
  <c r="BE18" i="103"/>
  <c r="BD18" i="103"/>
  <c r="BC18" i="103"/>
  <c r="BB18" i="103"/>
  <c r="BA18" i="103"/>
  <c r="AZ18" i="103"/>
  <c r="AY18" i="103"/>
  <c r="AX18" i="103"/>
  <c r="AW18" i="103"/>
  <c r="AV18" i="103"/>
  <c r="AU18" i="103"/>
  <c r="AT18" i="103"/>
  <c r="AS18" i="103"/>
  <c r="AR18" i="103"/>
  <c r="AQ18" i="103"/>
  <c r="AP18" i="103"/>
  <c r="AO18" i="103"/>
  <c r="AN18" i="103"/>
  <c r="AM18" i="103"/>
  <c r="AL18" i="103"/>
  <c r="AK18" i="103"/>
  <c r="AJ18" i="103"/>
  <c r="BG17" i="103"/>
  <c r="BF17" i="103"/>
  <c r="BE17" i="103"/>
  <c r="BD17" i="103"/>
  <c r="BC17" i="103"/>
  <c r="BB17" i="103"/>
  <c r="BA17" i="103"/>
  <c r="AZ17" i="103"/>
  <c r="AY17" i="103"/>
  <c r="AX17" i="103"/>
  <c r="AW17" i="103"/>
  <c r="AV17" i="103"/>
  <c r="AU17" i="103"/>
  <c r="AT17" i="103"/>
  <c r="AS17" i="103"/>
  <c r="AR17" i="103"/>
  <c r="AQ17" i="103"/>
  <c r="AP17" i="103"/>
  <c r="AO17" i="103"/>
  <c r="AN17" i="103"/>
  <c r="AM17" i="103"/>
  <c r="AL17" i="103"/>
  <c r="AK17" i="103"/>
  <c r="AJ17" i="103"/>
  <c r="BG16" i="103"/>
  <c r="BF16" i="103"/>
  <c r="BE16" i="103"/>
  <c r="BD16" i="103"/>
  <c r="BC16" i="103"/>
  <c r="BB16" i="103"/>
  <c r="BA16" i="103"/>
  <c r="AZ16" i="103"/>
  <c r="AY16" i="103"/>
  <c r="AX16" i="103"/>
  <c r="AW16" i="103"/>
  <c r="AV16" i="103"/>
  <c r="AU16" i="103"/>
  <c r="AT16" i="103"/>
  <c r="AS16" i="103"/>
  <c r="AR16" i="103"/>
  <c r="AQ16" i="103"/>
  <c r="AP16" i="103"/>
  <c r="AO16" i="103"/>
  <c r="AN16" i="103"/>
  <c r="AM16" i="103"/>
  <c r="AL16" i="103"/>
  <c r="AK16" i="103"/>
  <c r="AJ16" i="103"/>
  <c r="BG15" i="103"/>
  <c r="BF15" i="103"/>
  <c r="BE15" i="103"/>
  <c r="BD15" i="103"/>
  <c r="BC15" i="103"/>
  <c r="BB15" i="103"/>
  <c r="BA15" i="103"/>
  <c r="AZ15" i="103"/>
  <c r="AY15" i="103"/>
  <c r="AX15" i="103"/>
  <c r="AW15" i="103"/>
  <c r="AV15" i="103"/>
  <c r="AU15" i="103"/>
  <c r="AT15" i="103"/>
  <c r="AS15" i="103"/>
  <c r="AR15" i="103"/>
  <c r="AQ15" i="103"/>
  <c r="AP15" i="103"/>
  <c r="AO15" i="103"/>
  <c r="AN15" i="103"/>
  <c r="AM15" i="103"/>
  <c r="AL15" i="103"/>
  <c r="AK15" i="103"/>
  <c r="AJ15" i="103"/>
  <c r="BL14" i="103"/>
  <c r="BK14" i="103"/>
  <c r="BJ14" i="103"/>
  <c r="BI14" i="103"/>
  <c r="BH14" i="103"/>
  <c r="BG14" i="103"/>
  <c r="BF14" i="103"/>
  <c r="BE14" i="103"/>
  <c r="BD14" i="103"/>
  <c r="BC14" i="103"/>
  <c r="BB14" i="103"/>
  <c r="BA14" i="103"/>
  <c r="AZ14" i="103"/>
  <c r="AY14" i="103"/>
  <c r="AX14" i="103"/>
  <c r="AW14" i="103"/>
  <c r="AV14" i="103"/>
  <c r="AU14" i="103"/>
  <c r="AT14" i="103"/>
  <c r="AS14" i="103"/>
  <c r="AR14" i="103"/>
  <c r="AQ14" i="103"/>
  <c r="AP14" i="103"/>
  <c r="AO14" i="103"/>
  <c r="AN14" i="103"/>
  <c r="AM14" i="103"/>
  <c r="AL14" i="103"/>
  <c r="BL13" i="103"/>
  <c r="BK13" i="103"/>
  <c r="BJ13" i="103"/>
  <c r="BI13" i="103"/>
  <c r="BH13" i="103"/>
  <c r="BG13" i="103"/>
  <c r="BF13" i="103"/>
  <c r="BE13" i="103"/>
  <c r="BD13" i="103"/>
  <c r="BA13" i="103"/>
  <c r="AZ13" i="103"/>
  <c r="AY13" i="103"/>
  <c r="AX13" i="103"/>
  <c r="AW13" i="103"/>
  <c r="AV13" i="103"/>
  <c r="AU13" i="103"/>
  <c r="AT13" i="103"/>
  <c r="AS13" i="103"/>
  <c r="AR13" i="103"/>
  <c r="AQ13" i="103"/>
  <c r="AP13" i="103"/>
  <c r="AO13" i="103"/>
  <c r="AN13" i="103"/>
  <c r="AM13" i="103"/>
  <c r="AL13" i="103"/>
  <c r="BG44" i="104"/>
  <c r="BF44" i="104"/>
  <c r="BE44" i="104"/>
  <c r="BD44" i="104"/>
  <c r="BC44" i="104"/>
  <c r="BB44" i="104"/>
  <c r="BA44" i="104"/>
  <c r="AZ44" i="104"/>
  <c r="AY44" i="104"/>
  <c r="AX44" i="104"/>
  <c r="AW44" i="104"/>
  <c r="AV44" i="104"/>
  <c r="AU44" i="104"/>
  <c r="AT44" i="104"/>
  <c r="AS44" i="104"/>
  <c r="AR44" i="104"/>
  <c r="AQ44" i="104"/>
  <c r="AP44" i="104"/>
  <c r="AO44" i="104"/>
  <c r="AN44" i="104"/>
  <c r="AM44" i="104"/>
  <c r="AL44" i="104"/>
  <c r="AK44" i="104"/>
  <c r="AJ44" i="104"/>
  <c r="BG43" i="104"/>
  <c r="BF43" i="104"/>
  <c r="BE43" i="104"/>
  <c r="BD43" i="104"/>
  <c r="BC43" i="104"/>
  <c r="BB43" i="104"/>
  <c r="BA43" i="104"/>
  <c r="AZ43" i="104"/>
  <c r="AY43" i="104"/>
  <c r="AX43" i="104"/>
  <c r="AW43" i="104"/>
  <c r="AV43" i="104"/>
  <c r="AU43" i="104"/>
  <c r="AT43" i="104"/>
  <c r="AS43" i="104"/>
  <c r="AR43" i="104"/>
  <c r="AQ43" i="104"/>
  <c r="AP43" i="104"/>
  <c r="AO43" i="104"/>
  <c r="AN43" i="104"/>
  <c r="AM43" i="104"/>
  <c r="AL43" i="104"/>
  <c r="AK43" i="104"/>
  <c r="AJ43" i="104"/>
  <c r="BG42" i="104"/>
  <c r="BF42" i="104"/>
  <c r="BE42" i="104"/>
  <c r="BD42" i="104"/>
  <c r="BC42" i="104"/>
  <c r="BB42" i="104"/>
  <c r="BA42" i="104"/>
  <c r="AZ42" i="104"/>
  <c r="AY42" i="104"/>
  <c r="AX42" i="104"/>
  <c r="AW42" i="104"/>
  <c r="AV42" i="104"/>
  <c r="AU42" i="104"/>
  <c r="AT42" i="104"/>
  <c r="AS42" i="104"/>
  <c r="AR42" i="104"/>
  <c r="AQ42" i="104"/>
  <c r="AP42" i="104"/>
  <c r="AO42" i="104"/>
  <c r="AN42" i="104"/>
  <c r="AM42" i="104"/>
  <c r="AL42" i="104"/>
  <c r="AK42" i="104"/>
  <c r="AJ42" i="104"/>
  <c r="BG41" i="104"/>
  <c r="BF41" i="104"/>
  <c r="BE41" i="104"/>
  <c r="BD41" i="104"/>
  <c r="BC41" i="104"/>
  <c r="BB41" i="104"/>
  <c r="BA41" i="104"/>
  <c r="AZ41" i="104"/>
  <c r="AY41" i="104"/>
  <c r="AX41" i="104"/>
  <c r="AW41" i="104"/>
  <c r="AV41" i="104"/>
  <c r="AU41" i="104"/>
  <c r="AT41" i="104"/>
  <c r="AS41" i="104"/>
  <c r="AR41" i="104"/>
  <c r="AQ41" i="104"/>
  <c r="AP41" i="104"/>
  <c r="AO41" i="104"/>
  <c r="AN41" i="104"/>
  <c r="AM41" i="104"/>
  <c r="AL41" i="104"/>
  <c r="AK41" i="104"/>
  <c r="AJ41" i="104"/>
  <c r="BG40" i="104"/>
  <c r="BF40" i="104"/>
  <c r="BE40" i="104"/>
  <c r="BD40" i="104"/>
  <c r="BC40" i="104"/>
  <c r="BB40" i="104"/>
  <c r="BA40" i="104"/>
  <c r="AZ40" i="104"/>
  <c r="AY40" i="104"/>
  <c r="AX40" i="104"/>
  <c r="AW40" i="104"/>
  <c r="AV40" i="104"/>
  <c r="AU40" i="104"/>
  <c r="AT40" i="104"/>
  <c r="AS40" i="104"/>
  <c r="AR40" i="104"/>
  <c r="AQ40" i="104"/>
  <c r="AP40" i="104"/>
  <c r="AO40" i="104"/>
  <c r="AN40" i="104"/>
  <c r="AM40" i="104"/>
  <c r="AL40" i="104"/>
  <c r="AK40" i="104"/>
  <c r="AJ40" i="104"/>
  <c r="BG39" i="104"/>
  <c r="BF39" i="104"/>
  <c r="BE39" i="104"/>
  <c r="BD39" i="104"/>
  <c r="BC39" i="104"/>
  <c r="BB39" i="104"/>
  <c r="BA39" i="104"/>
  <c r="AZ39" i="104"/>
  <c r="AY39" i="104"/>
  <c r="AX39" i="104"/>
  <c r="AW39" i="104"/>
  <c r="AV39" i="104"/>
  <c r="AU39" i="104"/>
  <c r="AT39" i="104"/>
  <c r="AS39" i="104"/>
  <c r="AR39" i="104"/>
  <c r="AQ39" i="104"/>
  <c r="AP39" i="104"/>
  <c r="AO39" i="104"/>
  <c r="AN39" i="104"/>
  <c r="AM39" i="104"/>
  <c r="AL39" i="104"/>
  <c r="AK39" i="104"/>
  <c r="AJ39" i="104"/>
  <c r="BG38" i="104"/>
  <c r="BF38" i="104"/>
  <c r="BE38" i="104"/>
  <c r="BD38" i="104"/>
  <c r="BC38" i="104"/>
  <c r="BB38" i="104"/>
  <c r="BA38" i="104"/>
  <c r="AZ38" i="104"/>
  <c r="AY38" i="104"/>
  <c r="AX38" i="104"/>
  <c r="AW38" i="104"/>
  <c r="AV38" i="104"/>
  <c r="AU38" i="104"/>
  <c r="AT38" i="104"/>
  <c r="AS38" i="104"/>
  <c r="AR38" i="104"/>
  <c r="AQ38" i="104"/>
  <c r="AP38" i="104"/>
  <c r="AO38" i="104"/>
  <c r="AN38" i="104"/>
  <c r="AM38" i="104"/>
  <c r="AL38" i="104"/>
  <c r="AK38" i="104"/>
  <c r="AJ38" i="104"/>
  <c r="BG37" i="104"/>
  <c r="BF37" i="104"/>
  <c r="BE37" i="104"/>
  <c r="BD37" i="104"/>
  <c r="BC37" i="104"/>
  <c r="BB37" i="104"/>
  <c r="BA37" i="104"/>
  <c r="AZ37" i="104"/>
  <c r="AY37" i="104"/>
  <c r="AX37" i="104"/>
  <c r="AW37" i="104"/>
  <c r="AV37" i="104"/>
  <c r="AU37" i="104"/>
  <c r="AT37" i="104"/>
  <c r="AS37" i="104"/>
  <c r="AR37" i="104"/>
  <c r="AQ37" i="104"/>
  <c r="AP37" i="104"/>
  <c r="AO37" i="104"/>
  <c r="AN37" i="104"/>
  <c r="AM37" i="104"/>
  <c r="AL37" i="104"/>
  <c r="AK37" i="104"/>
  <c r="AJ37" i="104"/>
  <c r="BG36" i="104"/>
  <c r="BF36" i="104"/>
  <c r="BE36" i="104"/>
  <c r="BD36" i="104"/>
  <c r="BC36" i="104"/>
  <c r="BB36" i="104"/>
  <c r="BA36" i="104"/>
  <c r="AZ36" i="104"/>
  <c r="AY36" i="104"/>
  <c r="AX36" i="104"/>
  <c r="AW36" i="104"/>
  <c r="AV36" i="104"/>
  <c r="AU36" i="104"/>
  <c r="AT36" i="104"/>
  <c r="AS36" i="104"/>
  <c r="AR36" i="104"/>
  <c r="AQ36" i="104"/>
  <c r="AP36" i="104"/>
  <c r="AO36" i="104"/>
  <c r="AN36" i="104"/>
  <c r="AM36" i="104"/>
  <c r="AL36" i="104"/>
  <c r="AK36" i="104"/>
  <c r="AJ36" i="104"/>
  <c r="BG35" i="104"/>
  <c r="BF35" i="104"/>
  <c r="BE35" i="104"/>
  <c r="BD35" i="104"/>
  <c r="BC35" i="104"/>
  <c r="BB35" i="104"/>
  <c r="BA35" i="104"/>
  <c r="AZ35" i="104"/>
  <c r="AY35" i="104"/>
  <c r="AX35" i="104"/>
  <c r="AW35" i="104"/>
  <c r="AV35" i="104"/>
  <c r="AU35" i="104"/>
  <c r="AT35" i="104"/>
  <c r="AS35" i="104"/>
  <c r="AR35" i="104"/>
  <c r="AQ35" i="104"/>
  <c r="AP35" i="104"/>
  <c r="AO35" i="104"/>
  <c r="AN35" i="104"/>
  <c r="AM35" i="104"/>
  <c r="AL35" i="104"/>
  <c r="AK35" i="104"/>
  <c r="AJ35" i="104"/>
  <c r="BG34" i="104"/>
  <c r="BF34" i="104"/>
  <c r="BE34" i="104"/>
  <c r="BD34" i="104"/>
  <c r="BC34" i="104"/>
  <c r="BB34" i="104"/>
  <c r="BA34" i="104"/>
  <c r="AZ34" i="104"/>
  <c r="AY34" i="104"/>
  <c r="AX34" i="104"/>
  <c r="AW34" i="104"/>
  <c r="AV34" i="104"/>
  <c r="AU34" i="104"/>
  <c r="AT34" i="104"/>
  <c r="AS34" i="104"/>
  <c r="AR34" i="104"/>
  <c r="AQ34" i="104"/>
  <c r="AP34" i="104"/>
  <c r="AO34" i="104"/>
  <c r="AN34" i="104"/>
  <c r="AM34" i="104"/>
  <c r="AL34" i="104"/>
  <c r="AK34" i="104"/>
  <c r="AJ34" i="104"/>
  <c r="BG33" i="104"/>
  <c r="BF33" i="104"/>
  <c r="BE33" i="104"/>
  <c r="BD33" i="104"/>
  <c r="BC33" i="104"/>
  <c r="BB33" i="104"/>
  <c r="BA33" i="104"/>
  <c r="AZ33" i="104"/>
  <c r="AY33" i="104"/>
  <c r="AX33" i="104"/>
  <c r="AW33" i="104"/>
  <c r="AV33" i="104"/>
  <c r="AU33" i="104"/>
  <c r="AT33" i="104"/>
  <c r="AS33" i="104"/>
  <c r="AR33" i="104"/>
  <c r="AQ33" i="104"/>
  <c r="AP33" i="104"/>
  <c r="AO33" i="104"/>
  <c r="AN33" i="104"/>
  <c r="AM33" i="104"/>
  <c r="AL33" i="104"/>
  <c r="AK33" i="104"/>
  <c r="AJ33" i="104"/>
  <c r="BG32" i="104"/>
  <c r="BF32" i="104"/>
  <c r="BE32" i="104"/>
  <c r="BD32" i="104"/>
  <c r="BC32" i="104"/>
  <c r="BB32" i="104"/>
  <c r="BA32" i="104"/>
  <c r="AZ32" i="104"/>
  <c r="AY32" i="104"/>
  <c r="AX32" i="104"/>
  <c r="AW32" i="104"/>
  <c r="AV32" i="104"/>
  <c r="AU32" i="104"/>
  <c r="AT32" i="104"/>
  <c r="AS32" i="104"/>
  <c r="AR32" i="104"/>
  <c r="AQ32" i="104"/>
  <c r="AP32" i="104"/>
  <c r="AO32" i="104"/>
  <c r="AN32" i="104"/>
  <c r="AM32" i="104"/>
  <c r="AL32" i="104"/>
  <c r="AK32" i="104"/>
  <c r="AJ32" i="104"/>
  <c r="BG31" i="104"/>
  <c r="BF31" i="104"/>
  <c r="BE31" i="104"/>
  <c r="BD31" i="104"/>
  <c r="BC31" i="104"/>
  <c r="BB31" i="104"/>
  <c r="BA31" i="104"/>
  <c r="AZ31" i="104"/>
  <c r="AY31" i="104"/>
  <c r="AX31" i="104"/>
  <c r="AW31" i="104"/>
  <c r="AV31" i="104"/>
  <c r="AU31" i="104"/>
  <c r="AT31" i="104"/>
  <c r="AS31" i="104"/>
  <c r="AR31" i="104"/>
  <c r="AQ31" i="104"/>
  <c r="AP31" i="104"/>
  <c r="AO31" i="104"/>
  <c r="AN31" i="104"/>
  <c r="AM31" i="104"/>
  <c r="AL31" i="104"/>
  <c r="AK31" i="104"/>
  <c r="AJ31" i="104"/>
  <c r="BG30" i="104"/>
  <c r="BF30" i="104"/>
  <c r="BE30" i="104"/>
  <c r="BD30" i="104"/>
  <c r="BC30" i="104"/>
  <c r="BB30" i="104"/>
  <c r="BA30" i="104"/>
  <c r="AZ30" i="104"/>
  <c r="AY30" i="104"/>
  <c r="AX30" i="104"/>
  <c r="AW30" i="104"/>
  <c r="AV30" i="104"/>
  <c r="AU30" i="104"/>
  <c r="AT30" i="104"/>
  <c r="AS30" i="104"/>
  <c r="AR30" i="104"/>
  <c r="AQ30" i="104"/>
  <c r="AP30" i="104"/>
  <c r="AO30" i="104"/>
  <c r="AN30" i="104"/>
  <c r="AM30" i="104"/>
  <c r="AL30" i="104"/>
  <c r="AK30" i="104"/>
  <c r="AJ30" i="104"/>
  <c r="BG29" i="104"/>
  <c r="BF29" i="104"/>
  <c r="BE29" i="104"/>
  <c r="BD29" i="104"/>
  <c r="BC29" i="104"/>
  <c r="BB29" i="104"/>
  <c r="BA29" i="104"/>
  <c r="AZ29" i="104"/>
  <c r="AY29" i="104"/>
  <c r="AX29" i="104"/>
  <c r="AW29" i="104"/>
  <c r="AV29" i="104"/>
  <c r="AU29" i="104"/>
  <c r="AT29" i="104"/>
  <c r="AS29" i="104"/>
  <c r="AR29" i="104"/>
  <c r="AQ29" i="104"/>
  <c r="AP29" i="104"/>
  <c r="AO29" i="104"/>
  <c r="AN29" i="104"/>
  <c r="AM29" i="104"/>
  <c r="AL29" i="104"/>
  <c r="AK29" i="104"/>
  <c r="AJ29" i="104"/>
  <c r="BG28" i="104"/>
  <c r="BF28" i="104"/>
  <c r="BE28" i="104"/>
  <c r="BD28" i="104"/>
  <c r="BC28" i="104"/>
  <c r="BB28" i="104"/>
  <c r="BA28" i="104"/>
  <c r="AZ28" i="104"/>
  <c r="AY28" i="104"/>
  <c r="AX28" i="104"/>
  <c r="AW28" i="104"/>
  <c r="AV28" i="104"/>
  <c r="AU28" i="104"/>
  <c r="AT28" i="104"/>
  <c r="AS28" i="104"/>
  <c r="AR28" i="104"/>
  <c r="AQ28" i="104"/>
  <c r="AP28" i="104"/>
  <c r="AO28" i="104"/>
  <c r="AN28" i="104"/>
  <c r="AM28" i="104"/>
  <c r="AL28" i="104"/>
  <c r="AK28" i="104"/>
  <c r="AJ28" i="104"/>
  <c r="BG27" i="104"/>
  <c r="BF27" i="104"/>
  <c r="BE27" i="104"/>
  <c r="BD27" i="104"/>
  <c r="BC27" i="104"/>
  <c r="BB27" i="104"/>
  <c r="BA27" i="104"/>
  <c r="AZ27" i="104"/>
  <c r="AY27" i="104"/>
  <c r="AX27" i="104"/>
  <c r="AW27" i="104"/>
  <c r="AV27" i="104"/>
  <c r="AU27" i="104"/>
  <c r="AT27" i="104"/>
  <c r="AS27" i="104"/>
  <c r="AR27" i="104"/>
  <c r="AQ27" i="104"/>
  <c r="AP27" i="104"/>
  <c r="AO27" i="104"/>
  <c r="AN27" i="104"/>
  <c r="AM27" i="104"/>
  <c r="AL27" i="104"/>
  <c r="AK27" i="104"/>
  <c r="AJ27" i="104"/>
  <c r="BG26" i="104"/>
  <c r="BF26" i="104"/>
  <c r="BE26" i="104"/>
  <c r="BD26" i="104"/>
  <c r="BC26" i="104"/>
  <c r="BB26" i="104"/>
  <c r="BA26" i="104"/>
  <c r="AZ26" i="104"/>
  <c r="AY26" i="104"/>
  <c r="AX26" i="104"/>
  <c r="AW26" i="104"/>
  <c r="AV26" i="104"/>
  <c r="AU26" i="104"/>
  <c r="AT26" i="104"/>
  <c r="AS26" i="104"/>
  <c r="AR26" i="104"/>
  <c r="AQ26" i="104"/>
  <c r="AP26" i="104"/>
  <c r="AO26" i="104"/>
  <c r="AN26" i="104"/>
  <c r="AM26" i="104"/>
  <c r="AL26" i="104"/>
  <c r="AK26" i="104"/>
  <c r="AJ26" i="104"/>
  <c r="BG25" i="104"/>
  <c r="BF25" i="104"/>
  <c r="BE25" i="104"/>
  <c r="BD25" i="104"/>
  <c r="BC25" i="104"/>
  <c r="BB25" i="104"/>
  <c r="BA25" i="104"/>
  <c r="AZ25" i="104"/>
  <c r="AY25" i="104"/>
  <c r="AX25" i="104"/>
  <c r="AW25" i="104"/>
  <c r="AV25" i="104"/>
  <c r="AU25" i="104"/>
  <c r="AT25" i="104"/>
  <c r="AS25" i="104"/>
  <c r="AR25" i="104"/>
  <c r="AQ25" i="104"/>
  <c r="AP25" i="104"/>
  <c r="AO25" i="104"/>
  <c r="AN25" i="104"/>
  <c r="AM25" i="104"/>
  <c r="AL25" i="104"/>
  <c r="AK25" i="104"/>
  <c r="AJ25" i="104"/>
  <c r="BG24" i="104"/>
  <c r="BF24" i="104"/>
  <c r="BE24" i="104"/>
  <c r="BD24" i="104"/>
  <c r="BC24" i="104"/>
  <c r="BB24" i="104"/>
  <c r="BA24" i="104"/>
  <c r="AZ24" i="104"/>
  <c r="AY24" i="104"/>
  <c r="AX24" i="104"/>
  <c r="AW24" i="104"/>
  <c r="AV24" i="104"/>
  <c r="AU24" i="104"/>
  <c r="AT24" i="104"/>
  <c r="AS24" i="104"/>
  <c r="AR24" i="104"/>
  <c r="AQ24" i="104"/>
  <c r="AP24" i="104"/>
  <c r="AO24" i="104"/>
  <c r="AN24" i="104"/>
  <c r="AM24" i="104"/>
  <c r="AL24" i="104"/>
  <c r="AK24" i="104"/>
  <c r="AJ24" i="104"/>
  <c r="BG23" i="104"/>
  <c r="BF23" i="104"/>
  <c r="BE23" i="104"/>
  <c r="BD23" i="104"/>
  <c r="BC23" i="104"/>
  <c r="BB23" i="104"/>
  <c r="BA23" i="104"/>
  <c r="AZ23" i="104"/>
  <c r="AY23" i="104"/>
  <c r="AX23" i="104"/>
  <c r="AW23" i="104"/>
  <c r="AV23" i="104"/>
  <c r="AU23" i="104"/>
  <c r="AT23" i="104"/>
  <c r="AS23" i="104"/>
  <c r="AR23" i="104"/>
  <c r="AQ23" i="104"/>
  <c r="AP23" i="104"/>
  <c r="AO23" i="104"/>
  <c r="AN23" i="104"/>
  <c r="AM23" i="104"/>
  <c r="AL23" i="104"/>
  <c r="AK23" i="104"/>
  <c r="AJ23" i="104"/>
  <c r="BG22" i="104"/>
  <c r="BF22" i="104"/>
  <c r="BE22" i="104"/>
  <c r="BD22" i="104"/>
  <c r="BC22" i="104"/>
  <c r="BB22" i="104"/>
  <c r="BA22" i="104"/>
  <c r="AZ22" i="104"/>
  <c r="AY22" i="104"/>
  <c r="AX22" i="104"/>
  <c r="AW22" i="104"/>
  <c r="AV22" i="104"/>
  <c r="AU22" i="104"/>
  <c r="AT22" i="104"/>
  <c r="AS22" i="104"/>
  <c r="AR22" i="104"/>
  <c r="AQ22" i="104"/>
  <c r="AP22" i="104"/>
  <c r="AO22" i="104"/>
  <c r="AN22" i="104"/>
  <c r="AM22" i="104"/>
  <c r="AL22" i="104"/>
  <c r="AK22" i="104"/>
  <c r="AJ22" i="104"/>
  <c r="BG21" i="104"/>
  <c r="BF21" i="104"/>
  <c r="BE21" i="104"/>
  <c r="BD21" i="104"/>
  <c r="BC21" i="104"/>
  <c r="BB21" i="104"/>
  <c r="BA21" i="104"/>
  <c r="AZ21" i="104"/>
  <c r="AY21" i="104"/>
  <c r="AX21" i="104"/>
  <c r="AW21" i="104"/>
  <c r="AV21" i="104"/>
  <c r="AU21" i="104"/>
  <c r="AT21" i="104"/>
  <c r="AS21" i="104"/>
  <c r="AR21" i="104"/>
  <c r="AQ21" i="104"/>
  <c r="AP21" i="104"/>
  <c r="AO21" i="104"/>
  <c r="AN21" i="104"/>
  <c r="AM21" i="104"/>
  <c r="AL21" i="104"/>
  <c r="AK21" i="104"/>
  <c r="AJ21" i="104"/>
  <c r="BG20" i="104"/>
  <c r="BF20" i="104"/>
  <c r="BE20" i="104"/>
  <c r="BD20" i="104"/>
  <c r="BC20" i="104"/>
  <c r="BB20" i="104"/>
  <c r="BA20" i="104"/>
  <c r="AZ20" i="104"/>
  <c r="AY20" i="104"/>
  <c r="AX20" i="104"/>
  <c r="AW20" i="104"/>
  <c r="AV20" i="104"/>
  <c r="AU20" i="104"/>
  <c r="AT20" i="104"/>
  <c r="AS20" i="104"/>
  <c r="AR20" i="104"/>
  <c r="AQ20" i="104"/>
  <c r="AP20" i="104"/>
  <c r="AO20" i="104"/>
  <c r="AN20" i="104"/>
  <c r="AM20" i="104"/>
  <c r="AL20" i="104"/>
  <c r="AK20" i="104"/>
  <c r="AJ20" i="104"/>
  <c r="BG19" i="104"/>
  <c r="BF19" i="104"/>
  <c r="BE19" i="104"/>
  <c r="BD19" i="104"/>
  <c r="BC19" i="104"/>
  <c r="BB19" i="104"/>
  <c r="BA19" i="104"/>
  <c r="AZ19" i="104"/>
  <c r="AY19" i="104"/>
  <c r="AX19" i="104"/>
  <c r="AW19" i="104"/>
  <c r="AV19" i="104"/>
  <c r="AU19" i="104"/>
  <c r="AT19" i="104"/>
  <c r="AS19" i="104"/>
  <c r="AR19" i="104"/>
  <c r="AQ19" i="104"/>
  <c r="AP19" i="104"/>
  <c r="AO19" i="104"/>
  <c r="AN19" i="104"/>
  <c r="AM19" i="104"/>
  <c r="AL19" i="104"/>
  <c r="AK19" i="104"/>
  <c r="AJ19" i="104"/>
  <c r="BG18" i="104"/>
  <c r="BF18" i="104"/>
  <c r="BE18" i="104"/>
  <c r="BD18" i="104"/>
  <c r="BC18" i="104"/>
  <c r="BB18" i="104"/>
  <c r="BA18" i="104"/>
  <c r="AZ18" i="104"/>
  <c r="AY18" i="104"/>
  <c r="AX18" i="104"/>
  <c r="AW18" i="104"/>
  <c r="AV18" i="104"/>
  <c r="AU18" i="104"/>
  <c r="AT18" i="104"/>
  <c r="AS18" i="104"/>
  <c r="AR18" i="104"/>
  <c r="AQ18" i="104"/>
  <c r="AP18" i="104"/>
  <c r="AO18" i="104"/>
  <c r="AN18" i="104"/>
  <c r="AM18" i="104"/>
  <c r="AL18" i="104"/>
  <c r="AK18" i="104"/>
  <c r="AJ18" i="104"/>
  <c r="BG17" i="104"/>
  <c r="BF17" i="104"/>
  <c r="BE17" i="104"/>
  <c r="BD17" i="104"/>
  <c r="BC17" i="104"/>
  <c r="BB17" i="104"/>
  <c r="BA17" i="104"/>
  <c r="AZ17" i="104"/>
  <c r="AY17" i="104"/>
  <c r="AX17" i="104"/>
  <c r="AW17" i="104"/>
  <c r="AV17" i="104"/>
  <c r="AU17" i="104"/>
  <c r="AT17" i="104"/>
  <c r="AS17" i="104"/>
  <c r="AR17" i="104"/>
  <c r="AQ17" i="104"/>
  <c r="AP17" i="104"/>
  <c r="AO17" i="104"/>
  <c r="AN17" i="104"/>
  <c r="AM17" i="104"/>
  <c r="AL17" i="104"/>
  <c r="AK17" i="104"/>
  <c r="AJ17" i="104"/>
  <c r="BG16" i="104"/>
  <c r="BF16" i="104"/>
  <c r="BE16" i="104"/>
  <c r="BD16" i="104"/>
  <c r="BC16" i="104"/>
  <c r="BB16" i="104"/>
  <c r="BA16" i="104"/>
  <c r="AZ16" i="104"/>
  <c r="AY16" i="104"/>
  <c r="AX16" i="104"/>
  <c r="AW16" i="104"/>
  <c r="AV16" i="104"/>
  <c r="AU16" i="104"/>
  <c r="AT16" i="104"/>
  <c r="AS16" i="104"/>
  <c r="AR16" i="104"/>
  <c r="AQ16" i="104"/>
  <c r="AP16" i="104"/>
  <c r="AO16" i="104"/>
  <c r="AN16" i="104"/>
  <c r="AM16" i="104"/>
  <c r="AL16" i="104"/>
  <c r="AK16" i="104"/>
  <c r="AJ16" i="104"/>
  <c r="BG15" i="104"/>
  <c r="BF15" i="104"/>
  <c r="BE15" i="104"/>
  <c r="BD15" i="104"/>
  <c r="BC15" i="104"/>
  <c r="BB15" i="104"/>
  <c r="BA15" i="104"/>
  <c r="AZ15" i="104"/>
  <c r="AY15" i="104"/>
  <c r="AX15" i="104"/>
  <c r="AW15" i="104"/>
  <c r="AV15" i="104"/>
  <c r="AU15" i="104"/>
  <c r="AT15" i="104"/>
  <c r="AS15" i="104"/>
  <c r="AR15" i="104"/>
  <c r="AQ15" i="104"/>
  <c r="AP15" i="104"/>
  <c r="AO15" i="104"/>
  <c r="AN15" i="104"/>
  <c r="AM15" i="104"/>
  <c r="AL15" i="104"/>
  <c r="AK15" i="104"/>
  <c r="AJ15" i="104"/>
  <c r="BL14" i="104"/>
  <c r="BK14" i="104"/>
  <c r="BJ14" i="104"/>
  <c r="BI14" i="104"/>
  <c r="BH14" i="104"/>
  <c r="BG14" i="104"/>
  <c r="BF14" i="104"/>
  <c r="BE14" i="104"/>
  <c r="BD14" i="104"/>
  <c r="BC14" i="104"/>
  <c r="BB14" i="104"/>
  <c r="BA14" i="104"/>
  <c r="AZ14" i="104"/>
  <c r="AY14" i="104"/>
  <c r="AX14" i="104"/>
  <c r="AW14" i="104"/>
  <c r="AV14" i="104"/>
  <c r="AU14" i="104"/>
  <c r="AT14" i="104"/>
  <c r="AS14" i="104"/>
  <c r="AR14" i="104"/>
  <c r="AQ14" i="104"/>
  <c r="AP14" i="104"/>
  <c r="AO14" i="104"/>
  <c r="AN14" i="104"/>
  <c r="AM14" i="104"/>
  <c r="AL14" i="104"/>
  <c r="BL13" i="104"/>
  <c r="BK13" i="104"/>
  <c r="BJ13" i="104"/>
  <c r="BI13" i="104"/>
  <c r="BH13" i="104"/>
  <c r="BG13" i="104"/>
  <c r="BF13" i="104"/>
  <c r="BE13" i="104"/>
  <c r="BD13" i="104"/>
  <c r="BA13" i="104"/>
  <c r="AZ13" i="104"/>
  <c r="AY13" i="104"/>
  <c r="AX13" i="104"/>
  <c r="AW13" i="104"/>
  <c r="AV13" i="104"/>
  <c r="AU13" i="104"/>
  <c r="AT13" i="104"/>
  <c r="AS13" i="104"/>
  <c r="AR13" i="104"/>
  <c r="AQ13" i="104"/>
  <c r="AP13" i="104"/>
  <c r="AO13" i="104"/>
  <c r="AN13" i="104"/>
  <c r="AM13" i="104"/>
  <c r="AL13" i="104"/>
  <c r="BG44" i="105"/>
  <c r="BF44" i="105"/>
  <c r="BE44" i="105"/>
  <c r="BD44" i="105"/>
  <c r="BC44" i="105"/>
  <c r="BB44" i="105"/>
  <c r="BA44" i="105"/>
  <c r="AZ44" i="105"/>
  <c r="AY44" i="105"/>
  <c r="AX44" i="105"/>
  <c r="AW44" i="105"/>
  <c r="AV44" i="105"/>
  <c r="AU44" i="105"/>
  <c r="AT44" i="105"/>
  <c r="AS44" i="105"/>
  <c r="AR44" i="105"/>
  <c r="AQ44" i="105"/>
  <c r="AP44" i="105"/>
  <c r="AO44" i="105"/>
  <c r="AN44" i="105"/>
  <c r="AM44" i="105"/>
  <c r="AL44" i="105"/>
  <c r="AK44" i="105"/>
  <c r="AJ44" i="105"/>
  <c r="BG43" i="105"/>
  <c r="BF43" i="105"/>
  <c r="BE43" i="105"/>
  <c r="BD43" i="105"/>
  <c r="BC43" i="105"/>
  <c r="BB43" i="105"/>
  <c r="BA43" i="105"/>
  <c r="AZ43" i="105"/>
  <c r="AY43" i="105"/>
  <c r="AX43" i="105"/>
  <c r="AW43" i="105"/>
  <c r="AV43" i="105"/>
  <c r="AU43" i="105"/>
  <c r="AT43" i="105"/>
  <c r="AS43" i="105"/>
  <c r="AR43" i="105"/>
  <c r="AQ43" i="105"/>
  <c r="AP43" i="105"/>
  <c r="AO43" i="105"/>
  <c r="AN43" i="105"/>
  <c r="AM43" i="105"/>
  <c r="AL43" i="105"/>
  <c r="AK43" i="105"/>
  <c r="AJ43" i="105"/>
  <c r="BG42" i="105"/>
  <c r="BF42" i="105"/>
  <c r="BE42" i="105"/>
  <c r="BD42" i="105"/>
  <c r="BC42" i="105"/>
  <c r="BB42" i="105"/>
  <c r="BA42" i="105"/>
  <c r="AZ42" i="105"/>
  <c r="AY42" i="105"/>
  <c r="AX42" i="105"/>
  <c r="AW42" i="105"/>
  <c r="AV42" i="105"/>
  <c r="AU42" i="105"/>
  <c r="AT42" i="105"/>
  <c r="AS42" i="105"/>
  <c r="AR42" i="105"/>
  <c r="AQ42" i="105"/>
  <c r="AP42" i="105"/>
  <c r="AO42" i="105"/>
  <c r="AN42" i="105"/>
  <c r="AM42" i="105"/>
  <c r="AL42" i="105"/>
  <c r="AK42" i="105"/>
  <c r="AJ42" i="105"/>
  <c r="BG41" i="105"/>
  <c r="BF41" i="105"/>
  <c r="BE41" i="105"/>
  <c r="BD41" i="105"/>
  <c r="BC41" i="105"/>
  <c r="BB41" i="105"/>
  <c r="BA41" i="105"/>
  <c r="AZ41" i="105"/>
  <c r="AY41" i="105"/>
  <c r="AX41" i="105"/>
  <c r="AW41" i="105"/>
  <c r="AV41" i="105"/>
  <c r="AU41" i="105"/>
  <c r="AT41" i="105"/>
  <c r="AS41" i="105"/>
  <c r="AR41" i="105"/>
  <c r="AQ41" i="105"/>
  <c r="AP41" i="105"/>
  <c r="AO41" i="105"/>
  <c r="AN41" i="105"/>
  <c r="AM41" i="105"/>
  <c r="AL41" i="105"/>
  <c r="AK41" i="105"/>
  <c r="AJ41" i="105"/>
  <c r="BG40" i="105"/>
  <c r="BF40" i="105"/>
  <c r="BE40" i="105"/>
  <c r="BD40" i="105"/>
  <c r="BC40" i="105"/>
  <c r="BB40" i="105"/>
  <c r="BA40" i="105"/>
  <c r="AZ40" i="105"/>
  <c r="AY40" i="105"/>
  <c r="AX40" i="105"/>
  <c r="AW40" i="105"/>
  <c r="AV40" i="105"/>
  <c r="AU40" i="105"/>
  <c r="AT40" i="105"/>
  <c r="AS40" i="105"/>
  <c r="AR40" i="105"/>
  <c r="AQ40" i="105"/>
  <c r="AP40" i="105"/>
  <c r="AO40" i="105"/>
  <c r="AN40" i="105"/>
  <c r="AM40" i="105"/>
  <c r="AL40" i="105"/>
  <c r="AK40" i="105"/>
  <c r="AJ40" i="105"/>
  <c r="BG39" i="105"/>
  <c r="BF39" i="105"/>
  <c r="BE39" i="105"/>
  <c r="BD39" i="105"/>
  <c r="BC39" i="105"/>
  <c r="BB39" i="105"/>
  <c r="BA39" i="105"/>
  <c r="AZ39" i="105"/>
  <c r="AY39" i="105"/>
  <c r="AX39" i="105"/>
  <c r="AW39" i="105"/>
  <c r="AV39" i="105"/>
  <c r="AU39" i="105"/>
  <c r="AT39" i="105"/>
  <c r="AS39" i="105"/>
  <c r="AR39" i="105"/>
  <c r="AQ39" i="105"/>
  <c r="AP39" i="105"/>
  <c r="AO39" i="105"/>
  <c r="AN39" i="105"/>
  <c r="AM39" i="105"/>
  <c r="AL39" i="105"/>
  <c r="AK39" i="105"/>
  <c r="AJ39" i="105"/>
  <c r="BG38" i="105"/>
  <c r="BF38" i="105"/>
  <c r="BE38" i="105"/>
  <c r="BD38" i="105"/>
  <c r="BC38" i="105"/>
  <c r="BB38" i="105"/>
  <c r="BA38" i="105"/>
  <c r="AZ38" i="105"/>
  <c r="AY38" i="105"/>
  <c r="AX38" i="105"/>
  <c r="AW38" i="105"/>
  <c r="AV38" i="105"/>
  <c r="AU38" i="105"/>
  <c r="AT38" i="105"/>
  <c r="AS38" i="105"/>
  <c r="AR38" i="105"/>
  <c r="AQ38" i="105"/>
  <c r="AP38" i="105"/>
  <c r="AO38" i="105"/>
  <c r="AN38" i="105"/>
  <c r="AM38" i="105"/>
  <c r="AL38" i="105"/>
  <c r="AK38" i="105"/>
  <c r="AJ38" i="105"/>
  <c r="BG37" i="105"/>
  <c r="BF37" i="105"/>
  <c r="BE37" i="105"/>
  <c r="BD37" i="105"/>
  <c r="BC37" i="105"/>
  <c r="BB37" i="105"/>
  <c r="BA37" i="105"/>
  <c r="AZ37" i="105"/>
  <c r="AY37" i="105"/>
  <c r="AX37" i="105"/>
  <c r="AW37" i="105"/>
  <c r="AV37" i="105"/>
  <c r="AU37" i="105"/>
  <c r="AT37" i="105"/>
  <c r="AS37" i="105"/>
  <c r="AR37" i="105"/>
  <c r="AQ37" i="105"/>
  <c r="AP37" i="105"/>
  <c r="AO37" i="105"/>
  <c r="AN37" i="105"/>
  <c r="AM37" i="105"/>
  <c r="AL37" i="105"/>
  <c r="AK37" i="105"/>
  <c r="AJ37" i="105"/>
  <c r="BG36" i="105"/>
  <c r="BF36" i="105"/>
  <c r="BE36" i="105"/>
  <c r="BD36" i="105"/>
  <c r="BC36" i="105"/>
  <c r="BB36" i="105"/>
  <c r="BA36" i="105"/>
  <c r="AZ36" i="105"/>
  <c r="AY36" i="105"/>
  <c r="AX36" i="105"/>
  <c r="AW36" i="105"/>
  <c r="AV36" i="105"/>
  <c r="AU36" i="105"/>
  <c r="AT36" i="105"/>
  <c r="AS36" i="105"/>
  <c r="AR36" i="105"/>
  <c r="AQ36" i="105"/>
  <c r="AP36" i="105"/>
  <c r="AO36" i="105"/>
  <c r="AN36" i="105"/>
  <c r="AM36" i="105"/>
  <c r="AL36" i="105"/>
  <c r="AK36" i="105"/>
  <c r="AJ36" i="105"/>
  <c r="BG35" i="105"/>
  <c r="BF35" i="105"/>
  <c r="BE35" i="105"/>
  <c r="BD35" i="105"/>
  <c r="BC35" i="105"/>
  <c r="BB35" i="105"/>
  <c r="BA35" i="105"/>
  <c r="AZ35" i="105"/>
  <c r="AY35" i="105"/>
  <c r="AX35" i="105"/>
  <c r="AW35" i="105"/>
  <c r="AV35" i="105"/>
  <c r="AU35" i="105"/>
  <c r="AT35" i="105"/>
  <c r="AS35" i="105"/>
  <c r="AR35" i="105"/>
  <c r="AQ35" i="105"/>
  <c r="AP35" i="105"/>
  <c r="AO35" i="105"/>
  <c r="AN35" i="105"/>
  <c r="AM35" i="105"/>
  <c r="AL35" i="105"/>
  <c r="AK35" i="105"/>
  <c r="AJ35" i="105"/>
  <c r="BG34" i="105"/>
  <c r="BF34" i="105"/>
  <c r="BE34" i="105"/>
  <c r="BD34" i="105"/>
  <c r="BC34" i="105"/>
  <c r="BB34" i="105"/>
  <c r="BA34" i="105"/>
  <c r="AZ34" i="105"/>
  <c r="AY34" i="105"/>
  <c r="AX34" i="105"/>
  <c r="AW34" i="105"/>
  <c r="AV34" i="105"/>
  <c r="AU34" i="105"/>
  <c r="AT34" i="105"/>
  <c r="AS34" i="105"/>
  <c r="AR34" i="105"/>
  <c r="AQ34" i="105"/>
  <c r="AP34" i="105"/>
  <c r="AO34" i="105"/>
  <c r="AN34" i="105"/>
  <c r="AM34" i="105"/>
  <c r="AL34" i="105"/>
  <c r="AK34" i="105"/>
  <c r="AJ34" i="105"/>
  <c r="BG33" i="105"/>
  <c r="BF33" i="105"/>
  <c r="BE33" i="105"/>
  <c r="BD33" i="105"/>
  <c r="BC33" i="105"/>
  <c r="BB33" i="105"/>
  <c r="BA33" i="105"/>
  <c r="AZ33" i="105"/>
  <c r="AY33" i="105"/>
  <c r="AX33" i="105"/>
  <c r="AW33" i="105"/>
  <c r="AV33" i="105"/>
  <c r="AU33" i="105"/>
  <c r="AT33" i="105"/>
  <c r="AS33" i="105"/>
  <c r="AR33" i="105"/>
  <c r="AQ33" i="105"/>
  <c r="AP33" i="105"/>
  <c r="AO33" i="105"/>
  <c r="AN33" i="105"/>
  <c r="AM33" i="105"/>
  <c r="AL33" i="105"/>
  <c r="AK33" i="105"/>
  <c r="AJ33" i="105"/>
  <c r="BG32" i="105"/>
  <c r="BF32" i="105"/>
  <c r="BE32" i="105"/>
  <c r="BD32" i="105"/>
  <c r="BC32" i="105"/>
  <c r="BB32" i="105"/>
  <c r="BA32" i="105"/>
  <c r="AZ32" i="105"/>
  <c r="AY32" i="105"/>
  <c r="AX32" i="105"/>
  <c r="AW32" i="105"/>
  <c r="AV32" i="105"/>
  <c r="AU32" i="105"/>
  <c r="AT32" i="105"/>
  <c r="AS32" i="105"/>
  <c r="AR32" i="105"/>
  <c r="AQ32" i="105"/>
  <c r="AP32" i="105"/>
  <c r="AO32" i="105"/>
  <c r="AN32" i="105"/>
  <c r="AM32" i="105"/>
  <c r="AL32" i="105"/>
  <c r="AK32" i="105"/>
  <c r="AJ32" i="105"/>
  <c r="BG31" i="105"/>
  <c r="BF31" i="105"/>
  <c r="BE31" i="105"/>
  <c r="BD31" i="105"/>
  <c r="BC31" i="105"/>
  <c r="BB31" i="105"/>
  <c r="BA31" i="105"/>
  <c r="AZ31" i="105"/>
  <c r="AY31" i="105"/>
  <c r="AX31" i="105"/>
  <c r="AW31" i="105"/>
  <c r="AV31" i="105"/>
  <c r="AU31" i="105"/>
  <c r="AT31" i="105"/>
  <c r="AS31" i="105"/>
  <c r="AR31" i="105"/>
  <c r="AQ31" i="105"/>
  <c r="AP31" i="105"/>
  <c r="AO31" i="105"/>
  <c r="AN31" i="105"/>
  <c r="AM31" i="105"/>
  <c r="AL31" i="105"/>
  <c r="AK31" i="105"/>
  <c r="AJ31" i="105"/>
  <c r="BG30" i="105"/>
  <c r="BF30" i="105"/>
  <c r="BE30" i="105"/>
  <c r="BD30" i="105"/>
  <c r="BC30" i="105"/>
  <c r="BB30" i="105"/>
  <c r="BA30" i="105"/>
  <c r="AZ30" i="105"/>
  <c r="AY30" i="105"/>
  <c r="AX30" i="105"/>
  <c r="AW30" i="105"/>
  <c r="AV30" i="105"/>
  <c r="AU30" i="105"/>
  <c r="AT30" i="105"/>
  <c r="AS30" i="105"/>
  <c r="AR30" i="105"/>
  <c r="AQ30" i="105"/>
  <c r="AP30" i="105"/>
  <c r="AO30" i="105"/>
  <c r="AN30" i="105"/>
  <c r="AM30" i="105"/>
  <c r="AL30" i="105"/>
  <c r="AK30" i="105"/>
  <c r="AJ30" i="105"/>
  <c r="BG29" i="105"/>
  <c r="BF29" i="105"/>
  <c r="BE29" i="105"/>
  <c r="BD29" i="105"/>
  <c r="BC29" i="105"/>
  <c r="BB29" i="105"/>
  <c r="BA29" i="105"/>
  <c r="AZ29" i="105"/>
  <c r="AY29" i="105"/>
  <c r="AX29" i="105"/>
  <c r="AW29" i="105"/>
  <c r="AV29" i="105"/>
  <c r="AU29" i="105"/>
  <c r="AT29" i="105"/>
  <c r="AS29" i="105"/>
  <c r="AR29" i="105"/>
  <c r="AQ29" i="105"/>
  <c r="AP29" i="105"/>
  <c r="AO29" i="105"/>
  <c r="AN29" i="105"/>
  <c r="AM29" i="105"/>
  <c r="AL29" i="105"/>
  <c r="AK29" i="105"/>
  <c r="AJ29" i="105"/>
  <c r="BG28" i="105"/>
  <c r="BF28" i="105"/>
  <c r="BE28" i="105"/>
  <c r="BD28" i="105"/>
  <c r="BC28" i="105"/>
  <c r="BB28" i="105"/>
  <c r="BA28" i="105"/>
  <c r="AZ28" i="105"/>
  <c r="AY28" i="105"/>
  <c r="AX28" i="105"/>
  <c r="AW28" i="105"/>
  <c r="AV28" i="105"/>
  <c r="AU28" i="105"/>
  <c r="AT28" i="105"/>
  <c r="AS28" i="105"/>
  <c r="AR28" i="105"/>
  <c r="AQ28" i="105"/>
  <c r="AP28" i="105"/>
  <c r="AO28" i="105"/>
  <c r="AN28" i="105"/>
  <c r="AM28" i="105"/>
  <c r="AL28" i="105"/>
  <c r="AK28" i="105"/>
  <c r="AJ28" i="105"/>
  <c r="BG27" i="105"/>
  <c r="BF27" i="105"/>
  <c r="BE27" i="105"/>
  <c r="BD27" i="105"/>
  <c r="BC27" i="105"/>
  <c r="BB27" i="105"/>
  <c r="BA27" i="105"/>
  <c r="AZ27" i="105"/>
  <c r="AY27" i="105"/>
  <c r="AX27" i="105"/>
  <c r="AW27" i="105"/>
  <c r="AV27" i="105"/>
  <c r="AU27" i="105"/>
  <c r="AT27" i="105"/>
  <c r="AS27" i="105"/>
  <c r="AR27" i="105"/>
  <c r="AQ27" i="105"/>
  <c r="AP27" i="105"/>
  <c r="AO27" i="105"/>
  <c r="AN27" i="105"/>
  <c r="AM27" i="105"/>
  <c r="AL27" i="105"/>
  <c r="AK27" i="105"/>
  <c r="AJ27" i="105"/>
  <c r="BG26" i="105"/>
  <c r="BF26" i="105"/>
  <c r="BE26" i="105"/>
  <c r="BD26" i="105"/>
  <c r="BC26" i="105"/>
  <c r="BB26" i="105"/>
  <c r="BA26" i="105"/>
  <c r="AZ26" i="105"/>
  <c r="AY26" i="105"/>
  <c r="AX26" i="105"/>
  <c r="AW26" i="105"/>
  <c r="AV26" i="105"/>
  <c r="AU26" i="105"/>
  <c r="AT26" i="105"/>
  <c r="AS26" i="105"/>
  <c r="AR26" i="105"/>
  <c r="AQ26" i="105"/>
  <c r="AP26" i="105"/>
  <c r="AO26" i="105"/>
  <c r="AN26" i="105"/>
  <c r="AM26" i="105"/>
  <c r="AL26" i="105"/>
  <c r="AK26" i="105"/>
  <c r="AJ26" i="105"/>
  <c r="BG25" i="105"/>
  <c r="BF25" i="105"/>
  <c r="BE25" i="105"/>
  <c r="BD25" i="105"/>
  <c r="BC25" i="105"/>
  <c r="BB25" i="105"/>
  <c r="BA25" i="105"/>
  <c r="AZ25" i="105"/>
  <c r="AY25" i="105"/>
  <c r="AX25" i="105"/>
  <c r="AW25" i="105"/>
  <c r="AV25" i="105"/>
  <c r="AU25" i="105"/>
  <c r="AT25" i="105"/>
  <c r="AS25" i="105"/>
  <c r="AR25" i="105"/>
  <c r="AQ25" i="105"/>
  <c r="AP25" i="105"/>
  <c r="AO25" i="105"/>
  <c r="AN25" i="105"/>
  <c r="AM25" i="105"/>
  <c r="AL25" i="105"/>
  <c r="AK25" i="105"/>
  <c r="AJ25" i="105"/>
  <c r="BG24" i="105"/>
  <c r="BF24" i="105"/>
  <c r="BE24" i="105"/>
  <c r="BD24" i="105"/>
  <c r="BC24" i="105"/>
  <c r="BB24" i="105"/>
  <c r="BA24" i="105"/>
  <c r="AZ24" i="105"/>
  <c r="AY24" i="105"/>
  <c r="AX24" i="105"/>
  <c r="AW24" i="105"/>
  <c r="AV24" i="105"/>
  <c r="AU24" i="105"/>
  <c r="AT24" i="105"/>
  <c r="AS24" i="105"/>
  <c r="AR24" i="105"/>
  <c r="AQ24" i="105"/>
  <c r="AP24" i="105"/>
  <c r="AO24" i="105"/>
  <c r="AN24" i="105"/>
  <c r="AM24" i="105"/>
  <c r="AL24" i="105"/>
  <c r="AK24" i="105"/>
  <c r="AJ24" i="105"/>
  <c r="BG23" i="105"/>
  <c r="BF23" i="105"/>
  <c r="BE23" i="105"/>
  <c r="BD23" i="105"/>
  <c r="BC23" i="105"/>
  <c r="BB23" i="105"/>
  <c r="BA23" i="105"/>
  <c r="AZ23" i="105"/>
  <c r="AY23" i="105"/>
  <c r="AX23" i="105"/>
  <c r="AW23" i="105"/>
  <c r="AV23" i="105"/>
  <c r="AU23" i="105"/>
  <c r="AT23" i="105"/>
  <c r="AS23" i="105"/>
  <c r="AR23" i="105"/>
  <c r="AQ23" i="105"/>
  <c r="AP23" i="105"/>
  <c r="AO23" i="105"/>
  <c r="AN23" i="105"/>
  <c r="AM23" i="105"/>
  <c r="AL23" i="105"/>
  <c r="AK23" i="105"/>
  <c r="AJ23" i="105"/>
  <c r="BG22" i="105"/>
  <c r="BF22" i="105"/>
  <c r="BE22" i="105"/>
  <c r="BD22" i="105"/>
  <c r="BC22" i="105"/>
  <c r="BB22" i="105"/>
  <c r="BA22" i="105"/>
  <c r="AZ22" i="105"/>
  <c r="AY22" i="105"/>
  <c r="AX22" i="105"/>
  <c r="AW22" i="105"/>
  <c r="AV22" i="105"/>
  <c r="AU22" i="105"/>
  <c r="AT22" i="105"/>
  <c r="AS22" i="105"/>
  <c r="AR22" i="105"/>
  <c r="AQ22" i="105"/>
  <c r="AP22" i="105"/>
  <c r="AO22" i="105"/>
  <c r="AN22" i="105"/>
  <c r="AM22" i="105"/>
  <c r="AL22" i="105"/>
  <c r="AK22" i="105"/>
  <c r="AJ22" i="105"/>
  <c r="BG21" i="105"/>
  <c r="BF21" i="105"/>
  <c r="BE21" i="105"/>
  <c r="BD21" i="105"/>
  <c r="BC21" i="105"/>
  <c r="BB21" i="105"/>
  <c r="BA21" i="105"/>
  <c r="AZ21" i="105"/>
  <c r="AY21" i="105"/>
  <c r="AX21" i="105"/>
  <c r="AW21" i="105"/>
  <c r="AV21" i="105"/>
  <c r="AU21" i="105"/>
  <c r="AT21" i="105"/>
  <c r="AS21" i="105"/>
  <c r="AR21" i="105"/>
  <c r="AQ21" i="105"/>
  <c r="AP21" i="105"/>
  <c r="AO21" i="105"/>
  <c r="AN21" i="105"/>
  <c r="AM21" i="105"/>
  <c r="AL21" i="105"/>
  <c r="AK21" i="105"/>
  <c r="AJ21" i="105"/>
  <c r="BG20" i="105"/>
  <c r="BF20" i="105"/>
  <c r="BE20" i="105"/>
  <c r="BD20" i="105"/>
  <c r="BC20" i="105"/>
  <c r="BB20" i="105"/>
  <c r="BA20" i="105"/>
  <c r="AZ20" i="105"/>
  <c r="AY20" i="105"/>
  <c r="AX20" i="105"/>
  <c r="AW20" i="105"/>
  <c r="AV20" i="105"/>
  <c r="AU20" i="105"/>
  <c r="AT20" i="105"/>
  <c r="AS20" i="105"/>
  <c r="AR20" i="105"/>
  <c r="AQ20" i="105"/>
  <c r="AP20" i="105"/>
  <c r="AO20" i="105"/>
  <c r="AN20" i="105"/>
  <c r="AM20" i="105"/>
  <c r="AL20" i="105"/>
  <c r="AK20" i="105"/>
  <c r="AJ20" i="105"/>
  <c r="BG19" i="105"/>
  <c r="BF19" i="105"/>
  <c r="BE19" i="105"/>
  <c r="BD19" i="105"/>
  <c r="BC19" i="105"/>
  <c r="BB19" i="105"/>
  <c r="BA19" i="105"/>
  <c r="AZ19" i="105"/>
  <c r="AY19" i="105"/>
  <c r="AX19" i="105"/>
  <c r="AW19" i="105"/>
  <c r="AV19" i="105"/>
  <c r="AU19" i="105"/>
  <c r="AT19" i="105"/>
  <c r="AS19" i="105"/>
  <c r="AR19" i="105"/>
  <c r="AQ19" i="105"/>
  <c r="AP19" i="105"/>
  <c r="AO19" i="105"/>
  <c r="AN19" i="105"/>
  <c r="AM19" i="105"/>
  <c r="AL19" i="105"/>
  <c r="AK19" i="105"/>
  <c r="AJ19" i="105"/>
  <c r="BG18" i="105"/>
  <c r="BF18" i="105"/>
  <c r="BE18" i="105"/>
  <c r="BD18" i="105"/>
  <c r="BC18" i="105"/>
  <c r="BB18" i="105"/>
  <c r="BA18" i="105"/>
  <c r="AZ18" i="105"/>
  <c r="AY18" i="105"/>
  <c r="AX18" i="105"/>
  <c r="AW18" i="105"/>
  <c r="AV18" i="105"/>
  <c r="AU18" i="105"/>
  <c r="AT18" i="105"/>
  <c r="AS18" i="105"/>
  <c r="AR18" i="105"/>
  <c r="AQ18" i="105"/>
  <c r="AP18" i="105"/>
  <c r="AO18" i="105"/>
  <c r="AN18" i="105"/>
  <c r="AM18" i="105"/>
  <c r="AL18" i="105"/>
  <c r="AK18" i="105"/>
  <c r="AJ18" i="105"/>
  <c r="BG17" i="105"/>
  <c r="BF17" i="105"/>
  <c r="BE17" i="105"/>
  <c r="BD17" i="105"/>
  <c r="BC17" i="105"/>
  <c r="BB17" i="105"/>
  <c r="BA17" i="105"/>
  <c r="AZ17" i="105"/>
  <c r="AY17" i="105"/>
  <c r="AX17" i="105"/>
  <c r="AW17" i="105"/>
  <c r="AV17" i="105"/>
  <c r="AU17" i="105"/>
  <c r="AT17" i="105"/>
  <c r="AS17" i="105"/>
  <c r="AR17" i="105"/>
  <c r="AQ17" i="105"/>
  <c r="AP17" i="105"/>
  <c r="AO17" i="105"/>
  <c r="AN17" i="105"/>
  <c r="AM17" i="105"/>
  <c r="AL17" i="105"/>
  <c r="AK17" i="105"/>
  <c r="AJ17" i="105"/>
  <c r="BG16" i="105"/>
  <c r="BF16" i="105"/>
  <c r="BE16" i="105"/>
  <c r="BD16" i="105"/>
  <c r="BC16" i="105"/>
  <c r="BB16" i="105"/>
  <c r="BA16" i="105"/>
  <c r="AZ16" i="105"/>
  <c r="AY16" i="105"/>
  <c r="AX16" i="105"/>
  <c r="AW16" i="105"/>
  <c r="AV16" i="105"/>
  <c r="AU16" i="105"/>
  <c r="AT16" i="105"/>
  <c r="AS16" i="105"/>
  <c r="AR16" i="105"/>
  <c r="AQ16" i="105"/>
  <c r="AP16" i="105"/>
  <c r="AO16" i="105"/>
  <c r="AN16" i="105"/>
  <c r="AM16" i="105"/>
  <c r="AL16" i="105"/>
  <c r="AK16" i="105"/>
  <c r="AJ16" i="105"/>
  <c r="BG15" i="105"/>
  <c r="BF15" i="105"/>
  <c r="BE15" i="105"/>
  <c r="BD15" i="105"/>
  <c r="BC15" i="105"/>
  <c r="BB15" i="105"/>
  <c r="BA15" i="105"/>
  <c r="AZ15" i="105"/>
  <c r="AY15" i="105"/>
  <c r="AX15" i="105"/>
  <c r="AW15" i="105"/>
  <c r="AV15" i="105"/>
  <c r="AU15" i="105"/>
  <c r="AT15" i="105"/>
  <c r="AS15" i="105"/>
  <c r="AR15" i="105"/>
  <c r="AQ15" i="105"/>
  <c r="AP15" i="105"/>
  <c r="AO15" i="105"/>
  <c r="AN15" i="105"/>
  <c r="AM15" i="105"/>
  <c r="AL15" i="105"/>
  <c r="AK15" i="105"/>
  <c r="AJ15" i="105"/>
  <c r="BL14" i="105"/>
  <c r="BK14" i="105"/>
  <c r="BJ14" i="105"/>
  <c r="BI14" i="105"/>
  <c r="BH14" i="105"/>
  <c r="BG14" i="105"/>
  <c r="BF14" i="105"/>
  <c r="BE14" i="105"/>
  <c r="BD14" i="105"/>
  <c r="BC14" i="105"/>
  <c r="BB14" i="105"/>
  <c r="BA14" i="105"/>
  <c r="AZ14" i="105"/>
  <c r="AY14" i="105"/>
  <c r="AX14" i="105"/>
  <c r="AW14" i="105"/>
  <c r="AV14" i="105"/>
  <c r="AU14" i="105"/>
  <c r="AT14" i="105"/>
  <c r="AS14" i="105"/>
  <c r="AR14" i="105"/>
  <c r="AQ14" i="105"/>
  <c r="AP14" i="105"/>
  <c r="AO14" i="105"/>
  <c r="AN14" i="105"/>
  <c r="AM14" i="105"/>
  <c r="AL14" i="105"/>
  <c r="BL13" i="105"/>
  <c r="BK13" i="105"/>
  <c r="BJ13" i="105"/>
  <c r="BI13" i="105"/>
  <c r="BH13" i="105"/>
  <c r="BG13" i="105"/>
  <c r="BF13" i="105"/>
  <c r="BE13" i="105"/>
  <c r="BD13" i="105"/>
  <c r="BA13" i="105"/>
  <c r="AZ13" i="105"/>
  <c r="AY13" i="105"/>
  <c r="AX13" i="105"/>
  <c r="AW13" i="105"/>
  <c r="AV13" i="105"/>
  <c r="AU13" i="105"/>
  <c r="AT13" i="105"/>
  <c r="AS13" i="105"/>
  <c r="AR13" i="105"/>
  <c r="AQ13" i="105"/>
  <c r="AP13" i="105"/>
  <c r="AO13" i="105"/>
  <c r="AN13" i="105"/>
  <c r="AM13" i="105"/>
  <c r="AL13" i="105"/>
  <c r="BG44" i="106"/>
  <c r="BF44" i="106"/>
  <c r="BE44" i="106"/>
  <c r="BD44" i="106"/>
  <c r="BC44" i="106"/>
  <c r="BB44" i="106"/>
  <c r="BA44" i="106"/>
  <c r="AZ44" i="106"/>
  <c r="AY44" i="106"/>
  <c r="AX44" i="106"/>
  <c r="AW44" i="106"/>
  <c r="AV44" i="106"/>
  <c r="AU44" i="106"/>
  <c r="AT44" i="106"/>
  <c r="AS44" i="106"/>
  <c r="AR44" i="106"/>
  <c r="AQ44" i="106"/>
  <c r="AP44" i="106"/>
  <c r="AO44" i="106"/>
  <c r="AN44" i="106"/>
  <c r="AM44" i="106"/>
  <c r="AL44" i="106"/>
  <c r="AK44" i="106"/>
  <c r="AJ44" i="106"/>
  <c r="BG43" i="106"/>
  <c r="BF43" i="106"/>
  <c r="BE43" i="106"/>
  <c r="BD43" i="106"/>
  <c r="BC43" i="106"/>
  <c r="BB43" i="106"/>
  <c r="BA43" i="106"/>
  <c r="AZ43" i="106"/>
  <c r="AY43" i="106"/>
  <c r="AX43" i="106"/>
  <c r="AW43" i="106"/>
  <c r="AV43" i="106"/>
  <c r="AU43" i="106"/>
  <c r="AT43" i="106"/>
  <c r="AS43" i="106"/>
  <c r="AR43" i="106"/>
  <c r="AQ43" i="106"/>
  <c r="AP43" i="106"/>
  <c r="AO43" i="106"/>
  <c r="AN43" i="106"/>
  <c r="AM43" i="106"/>
  <c r="AL43" i="106"/>
  <c r="AK43" i="106"/>
  <c r="AJ43" i="106"/>
  <c r="BG42" i="106"/>
  <c r="BF42" i="106"/>
  <c r="BE42" i="106"/>
  <c r="BD42" i="106"/>
  <c r="BC42" i="106"/>
  <c r="BB42" i="106"/>
  <c r="BA42" i="106"/>
  <c r="AZ42" i="106"/>
  <c r="AY42" i="106"/>
  <c r="AX42" i="106"/>
  <c r="AW42" i="106"/>
  <c r="AV42" i="106"/>
  <c r="AU42" i="106"/>
  <c r="AT42" i="106"/>
  <c r="AS42" i="106"/>
  <c r="AR42" i="106"/>
  <c r="AQ42" i="106"/>
  <c r="AP42" i="106"/>
  <c r="AO42" i="106"/>
  <c r="AN42" i="106"/>
  <c r="AM42" i="106"/>
  <c r="AL42" i="106"/>
  <c r="AK42" i="106"/>
  <c r="AJ42" i="106"/>
  <c r="BG41" i="106"/>
  <c r="BF41" i="106"/>
  <c r="BE41" i="106"/>
  <c r="BD41" i="106"/>
  <c r="BC41" i="106"/>
  <c r="BB41" i="106"/>
  <c r="BA41" i="106"/>
  <c r="AZ41" i="106"/>
  <c r="AY41" i="106"/>
  <c r="AX41" i="106"/>
  <c r="AW41" i="106"/>
  <c r="AV41" i="106"/>
  <c r="AU41" i="106"/>
  <c r="AT41" i="106"/>
  <c r="AS41" i="106"/>
  <c r="AR41" i="106"/>
  <c r="AQ41" i="106"/>
  <c r="AP41" i="106"/>
  <c r="AO41" i="106"/>
  <c r="AN41" i="106"/>
  <c r="AM41" i="106"/>
  <c r="AL41" i="106"/>
  <c r="AK41" i="106"/>
  <c r="AJ41" i="106"/>
  <c r="BG40" i="106"/>
  <c r="BF40" i="106"/>
  <c r="BE40" i="106"/>
  <c r="BD40" i="106"/>
  <c r="BC40" i="106"/>
  <c r="BB40" i="106"/>
  <c r="BA40" i="106"/>
  <c r="AZ40" i="106"/>
  <c r="AY40" i="106"/>
  <c r="AX40" i="106"/>
  <c r="AW40" i="106"/>
  <c r="AV40" i="106"/>
  <c r="AU40" i="106"/>
  <c r="AT40" i="106"/>
  <c r="AS40" i="106"/>
  <c r="AR40" i="106"/>
  <c r="AQ40" i="106"/>
  <c r="AP40" i="106"/>
  <c r="AO40" i="106"/>
  <c r="AN40" i="106"/>
  <c r="AM40" i="106"/>
  <c r="AL40" i="106"/>
  <c r="AK40" i="106"/>
  <c r="AJ40" i="106"/>
  <c r="BG39" i="106"/>
  <c r="BF39" i="106"/>
  <c r="BE39" i="106"/>
  <c r="BD39" i="106"/>
  <c r="BC39" i="106"/>
  <c r="BB39" i="106"/>
  <c r="BA39" i="106"/>
  <c r="AZ39" i="106"/>
  <c r="AY39" i="106"/>
  <c r="AX39" i="106"/>
  <c r="AW39" i="106"/>
  <c r="AV39" i="106"/>
  <c r="AU39" i="106"/>
  <c r="AT39" i="106"/>
  <c r="AS39" i="106"/>
  <c r="AR39" i="106"/>
  <c r="AQ39" i="106"/>
  <c r="AP39" i="106"/>
  <c r="AO39" i="106"/>
  <c r="AN39" i="106"/>
  <c r="AM39" i="106"/>
  <c r="AL39" i="106"/>
  <c r="AK39" i="106"/>
  <c r="AJ39" i="106"/>
  <c r="BG38" i="106"/>
  <c r="BF38" i="106"/>
  <c r="BE38" i="106"/>
  <c r="BD38" i="106"/>
  <c r="BC38" i="106"/>
  <c r="BB38" i="106"/>
  <c r="BA38" i="106"/>
  <c r="AZ38" i="106"/>
  <c r="AY38" i="106"/>
  <c r="AX38" i="106"/>
  <c r="AW38" i="106"/>
  <c r="AV38" i="106"/>
  <c r="AU38" i="106"/>
  <c r="AT38" i="106"/>
  <c r="AS38" i="106"/>
  <c r="AR38" i="106"/>
  <c r="AQ38" i="106"/>
  <c r="AP38" i="106"/>
  <c r="AO38" i="106"/>
  <c r="AN38" i="106"/>
  <c r="AM38" i="106"/>
  <c r="AL38" i="106"/>
  <c r="AK38" i="106"/>
  <c r="AJ38" i="106"/>
  <c r="BG37" i="106"/>
  <c r="BF37" i="106"/>
  <c r="BE37" i="106"/>
  <c r="BD37" i="106"/>
  <c r="BC37" i="106"/>
  <c r="BB37" i="106"/>
  <c r="BA37" i="106"/>
  <c r="AZ37" i="106"/>
  <c r="AY37" i="106"/>
  <c r="AX37" i="106"/>
  <c r="AW37" i="106"/>
  <c r="AV37" i="106"/>
  <c r="AU37" i="106"/>
  <c r="AT37" i="106"/>
  <c r="AS37" i="106"/>
  <c r="AR37" i="106"/>
  <c r="AQ37" i="106"/>
  <c r="AP37" i="106"/>
  <c r="AO37" i="106"/>
  <c r="AN37" i="106"/>
  <c r="AM37" i="106"/>
  <c r="AL37" i="106"/>
  <c r="AK37" i="106"/>
  <c r="AJ37" i="106"/>
  <c r="BG36" i="106"/>
  <c r="BF36" i="106"/>
  <c r="BE36" i="106"/>
  <c r="BD36" i="106"/>
  <c r="BC36" i="106"/>
  <c r="BB36" i="106"/>
  <c r="BA36" i="106"/>
  <c r="AZ36" i="106"/>
  <c r="AY36" i="106"/>
  <c r="AX36" i="106"/>
  <c r="AW36" i="106"/>
  <c r="AV36" i="106"/>
  <c r="AU36" i="106"/>
  <c r="AT36" i="106"/>
  <c r="AS36" i="106"/>
  <c r="AR36" i="106"/>
  <c r="AQ36" i="106"/>
  <c r="AP36" i="106"/>
  <c r="AO36" i="106"/>
  <c r="AN36" i="106"/>
  <c r="AM36" i="106"/>
  <c r="AL36" i="106"/>
  <c r="AK36" i="106"/>
  <c r="AJ36" i="106"/>
  <c r="BG35" i="106"/>
  <c r="BF35" i="106"/>
  <c r="BE35" i="106"/>
  <c r="BD35" i="106"/>
  <c r="BC35" i="106"/>
  <c r="BB35" i="106"/>
  <c r="BA35" i="106"/>
  <c r="AZ35" i="106"/>
  <c r="AY35" i="106"/>
  <c r="AX35" i="106"/>
  <c r="AW35" i="106"/>
  <c r="AV35" i="106"/>
  <c r="AU35" i="106"/>
  <c r="AT35" i="106"/>
  <c r="AS35" i="106"/>
  <c r="AR35" i="106"/>
  <c r="AQ35" i="106"/>
  <c r="AP35" i="106"/>
  <c r="AO35" i="106"/>
  <c r="AN35" i="106"/>
  <c r="AM35" i="106"/>
  <c r="AL35" i="106"/>
  <c r="AK35" i="106"/>
  <c r="AJ35" i="106"/>
  <c r="BG34" i="106"/>
  <c r="BF34" i="106"/>
  <c r="BE34" i="106"/>
  <c r="BD34" i="106"/>
  <c r="BC34" i="106"/>
  <c r="BB34" i="106"/>
  <c r="BA34" i="106"/>
  <c r="AZ34" i="106"/>
  <c r="AY34" i="106"/>
  <c r="AX34" i="106"/>
  <c r="AW34" i="106"/>
  <c r="AV34" i="106"/>
  <c r="AU34" i="106"/>
  <c r="AT34" i="106"/>
  <c r="AS34" i="106"/>
  <c r="AR34" i="106"/>
  <c r="AQ34" i="106"/>
  <c r="AP34" i="106"/>
  <c r="AO34" i="106"/>
  <c r="AN34" i="106"/>
  <c r="AM34" i="106"/>
  <c r="AL34" i="106"/>
  <c r="AK34" i="106"/>
  <c r="AJ34" i="106"/>
  <c r="BG33" i="106"/>
  <c r="BF33" i="106"/>
  <c r="BE33" i="106"/>
  <c r="BD33" i="106"/>
  <c r="BC33" i="106"/>
  <c r="BB33" i="106"/>
  <c r="BA33" i="106"/>
  <c r="AZ33" i="106"/>
  <c r="AY33" i="106"/>
  <c r="AX33" i="106"/>
  <c r="AW33" i="106"/>
  <c r="AV33" i="106"/>
  <c r="AU33" i="106"/>
  <c r="AT33" i="106"/>
  <c r="AS33" i="106"/>
  <c r="AR33" i="106"/>
  <c r="AQ33" i="106"/>
  <c r="AP33" i="106"/>
  <c r="AO33" i="106"/>
  <c r="AN33" i="106"/>
  <c r="AM33" i="106"/>
  <c r="AL33" i="106"/>
  <c r="AK33" i="106"/>
  <c r="AJ33" i="106"/>
  <c r="BG32" i="106"/>
  <c r="BF32" i="106"/>
  <c r="BE32" i="106"/>
  <c r="BD32" i="106"/>
  <c r="BC32" i="106"/>
  <c r="BB32" i="106"/>
  <c r="BA32" i="106"/>
  <c r="AZ32" i="106"/>
  <c r="AY32" i="106"/>
  <c r="AX32" i="106"/>
  <c r="AW32" i="106"/>
  <c r="AV32" i="106"/>
  <c r="AU32" i="106"/>
  <c r="AT32" i="106"/>
  <c r="AS32" i="106"/>
  <c r="AR32" i="106"/>
  <c r="AQ32" i="106"/>
  <c r="AP32" i="106"/>
  <c r="AO32" i="106"/>
  <c r="AN32" i="106"/>
  <c r="AM32" i="106"/>
  <c r="AL32" i="106"/>
  <c r="AK32" i="106"/>
  <c r="AJ32" i="106"/>
  <c r="BG31" i="106"/>
  <c r="BF31" i="106"/>
  <c r="BE31" i="106"/>
  <c r="BD31" i="106"/>
  <c r="BC31" i="106"/>
  <c r="BB31" i="106"/>
  <c r="BA31" i="106"/>
  <c r="AZ31" i="106"/>
  <c r="AY31" i="106"/>
  <c r="AX31" i="106"/>
  <c r="AW31" i="106"/>
  <c r="AV31" i="106"/>
  <c r="AU31" i="106"/>
  <c r="AT31" i="106"/>
  <c r="AS31" i="106"/>
  <c r="AR31" i="106"/>
  <c r="AQ31" i="106"/>
  <c r="AP31" i="106"/>
  <c r="AO31" i="106"/>
  <c r="AN31" i="106"/>
  <c r="AM31" i="106"/>
  <c r="AL31" i="106"/>
  <c r="AK31" i="106"/>
  <c r="AJ31" i="106"/>
  <c r="BG30" i="106"/>
  <c r="BF30" i="106"/>
  <c r="BE30" i="106"/>
  <c r="BD30" i="106"/>
  <c r="BC30" i="106"/>
  <c r="BB30" i="106"/>
  <c r="BA30" i="106"/>
  <c r="AZ30" i="106"/>
  <c r="AY30" i="106"/>
  <c r="AX30" i="106"/>
  <c r="AW30" i="106"/>
  <c r="AV30" i="106"/>
  <c r="AU30" i="106"/>
  <c r="AT30" i="106"/>
  <c r="AS30" i="106"/>
  <c r="AR30" i="106"/>
  <c r="AQ30" i="106"/>
  <c r="AP30" i="106"/>
  <c r="AO30" i="106"/>
  <c r="AN30" i="106"/>
  <c r="AM30" i="106"/>
  <c r="AL30" i="106"/>
  <c r="AK30" i="106"/>
  <c r="AJ30" i="106"/>
  <c r="BG29" i="106"/>
  <c r="BF29" i="106"/>
  <c r="BE29" i="106"/>
  <c r="BD29" i="106"/>
  <c r="BC29" i="106"/>
  <c r="BB29" i="106"/>
  <c r="BA29" i="106"/>
  <c r="AZ29" i="106"/>
  <c r="AY29" i="106"/>
  <c r="AX29" i="106"/>
  <c r="AW29" i="106"/>
  <c r="AV29" i="106"/>
  <c r="AU29" i="106"/>
  <c r="AT29" i="106"/>
  <c r="AS29" i="106"/>
  <c r="AR29" i="106"/>
  <c r="AQ29" i="106"/>
  <c r="AP29" i="106"/>
  <c r="AO29" i="106"/>
  <c r="AN29" i="106"/>
  <c r="AM29" i="106"/>
  <c r="AL29" i="106"/>
  <c r="AK29" i="106"/>
  <c r="AJ29" i="106"/>
  <c r="BG28" i="106"/>
  <c r="BF28" i="106"/>
  <c r="BE28" i="106"/>
  <c r="BD28" i="106"/>
  <c r="BC28" i="106"/>
  <c r="BB28" i="106"/>
  <c r="BA28" i="106"/>
  <c r="AZ28" i="106"/>
  <c r="AY28" i="106"/>
  <c r="AX28" i="106"/>
  <c r="AW28" i="106"/>
  <c r="AV28" i="106"/>
  <c r="AU28" i="106"/>
  <c r="AT28" i="106"/>
  <c r="AS28" i="106"/>
  <c r="AR28" i="106"/>
  <c r="AQ28" i="106"/>
  <c r="AP28" i="106"/>
  <c r="AO28" i="106"/>
  <c r="AN28" i="106"/>
  <c r="AM28" i="106"/>
  <c r="AL28" i="106"/>
  <c r="AK28" i="106"/>
  <c r="AJ28" i="106"/>
  <c r="BG27" i="106"/>
  <c r="BF27" i="106"/>
  <c r="BE27" i="106"/>
  <c r="BD27" i="106"/>
  <c r="BC27" i="106"/>
  <c r="BB27" i="106"/>
  <c r="BA27" i="106"/>
  <c r="AZ27" i="106"/>
  <c r="AY27" i="106"/>
  <c r="AX27" i="106"/>
  <c r="AW27" i="106"/>
  <c r="AV27" i="106"/>
  <c r="AU27" i="106"/>
  <c r="AT27" i="106"/>
  <c r="AS27" i="106"/>
  <c r="AR27" i="106"/>
  <c r="AQ27" i="106"/>
  <c r="AP27" i="106"/>
  <c r="AO27" i="106"/>
  <c r="AN27" i="106"/>
  <c r="AM27" i="106"/>
  <c r="AL27" i="106"/>
  <c r="AK27" i="106"/>
  <c r="AJ27" i="106"/>
  <c r="BG26" i="106"/>
  <c r="BF26" i="106"/>
  <c r="BE26" i="106"/>
  <c r="BD26" i="106"/>
  <c r="BC26" i="106"/>
  <c r="BB26" i="106"/>
  <c r="BA26" i="106"/>
  <c r="AZ26" i="106"/>
  <c r="AY26" i="106"/>
  <c r="AX26" i="106"/>
  <c r="AW26" i="106"/>
  <c r="AV26" i="106"/>
  <c r="AU26" i="106"/>
  <c r="AT26" i="106"/>
  <c r="AS26" i="106"/>
  <c r="AR26" i="106"/>
  <c r="AQ26" i="106"/>
  <c r="AP26" i="106"/>
  <c r="AO26" i="106"/>
  <c r="AN26" i="106"/>
  <c r="AM26" i="106"/>
  <c r="AL26" i="106"/>
  <c r="AK26" i="106"/>
  <c r="AJ26" i="106"/>
  <c r="BG25" i="106"/>
  <c r="BF25" i="106"/>
  <c r="BE25" i="106"/>
  <c r="BD25" i="106"/>
  <c r="BC25" i="106"/>
  <c r="BB25" i="106"/>
  <c r="BA25" i="106"/>
  <c r="AZ25" i="106"/>
  <c r="AY25" i="106"/>
  <c r="AX25" i="106"/>
  <c r="AW25" i="106"/>
  <c r="AV25" i="106"/>
  <c r="AU25" i="106"/>
  <c r="AT25" i="106"/>
  <c r="AS25" i="106"/>
  <c r="AR25" i="106"/>
  <c r="AQ25" i="106"/>
  <c r="AP25" i="106"/>
  <c r="AO25" i="106"/>
  <c r="AN25" i="106"/>
  <c r="AM25" i="106"/>
  <c r="AL25" i="106"/>
  <c r="AK25" i="106"/>
  <c r="AJ25" i="106"/>
  <c r="BG24" i="106"/>
  <c r="BF24" i="106"/>
  <c r="BE24" i="106"/>
  <c r="BD24" i="106"/>
  <c r="BC24" i="106"/>
  <c r="BB24" i="106"/>
  <c r="BA24" i="106"/>
  <c r="AZ24" i="106"/>
  <c r="AY24" i="106"/>
  <c r="AX24" i="106"/>
  <c r="AW24" i="106"/>
  <c r="AV24" i="106"/>
  <c r="AU24" i="106"/>
  <c r="AT24" i="106"/>
  <c r="AS24" i="106"/>
  <c r="AR24" i="106"/>
  <c r="AQ24" i="106"/>
  <c r="AP24" i="106"/>
  <c r="AO24" i="106"/>
  <c r="AN24" i="106"/>
  <c r="AM24" i="106"/>
  <c r="AL24" i="106"/>
  <c r="AK24" i="106"/>
  <c r="AJ24" i="106"/>
  <c r="BG23" i="106"/>
  <c r="BF23" i="106"/>
  <c r="BE23" i="106"/>
  <c r="BD23" i="106"/>
  <c r="BC23" i="106"/>
  <c r="BB23" i="106"/>
  <c r="BA23" i="106"/>
  <c r="AZ23" i="106"/>
  <c r="AY23" i="106"/>
  <c r="AX23" i="106"/>
  <c r="AW23" i="106"/>
  <c r="AV23" i="106"/>
  <c r="AU23" i="106"/>
  <c r="AT23" i="106"/>
  <c r="AS23" i="106"/>
  <c r="AR23" i="106"/>
  <c r="AQ23" i="106"/>
  <c r="AP23" i="106"/>
  <c r="AO23" i="106"/>
  <c r="AN23" i="106"/>
  <c r="AM23" i="106"/>
  <c r="AL23" i="106"/>
  <c r="AK23" i="106"/>
  <c r="AJ23" i="106"/>
  <c r="BG22" i="106"/>
  <c r="BF22" i="106"/>
  <c r="BE22" i="106"/>
  <c r="BD22" i="106"/>
  <c r="BC22" i="106"/>
  <c r="BB22" i="106"/>
  <c r="BA22" i="106"/>
  <c r="AZ22" i="106"/>
  <c r="AY22" i="106"/>
  <c r="AX22" i="106"/>
  <c r="AW22" i="106"/>
  <c r="AV22" i="106"/>
  <c r="AU22" i="106"/>
  <c r="AT22" i="106"/>
  <c r="AS22" i="106"/>
  <c r="AR22" i="106"/>
  <c r="AQ22" i="106"/>
  <c r="AP22" i="106"/>
  <c r="AO22" i="106"/>
  <c r="AN22" i="106"/>
  <c r="AM22" i="106"/>
  <c r="AL22" i="106"/>
  <c r="AK22" i="106"/>
  <c r="AJ22" i="106"/>
  <c r="BG21" i="106"/>
  <c r="BF21" i="106"/>
  <c r="BE21" i="106"/>
  <c r="BD21" i="106"/>
  <c r="BC21" i="106"/>
  <c r="BB21" i="106"/>
  <c r="BA21" i="106"/>
  <c r="AZ21" i="106"/>
  <c r="AY21" i="106"/>
  <c r="AX21" i="106"/>
  <c r="AW21" i="106"/>
  <c r="AV21" i="106"/>
  <c r="AU21" i="106"/>
  <c r="AT21" i="106"/>
  <c r="AS21" i="106"/>
  <c r="AR21" i="106"/>
  <c r="AQ21" i="106"/>
  <c r="AP21" i="106"/>
  <c r="AO21" i="106"/>
  <c r="AN21" i="106"/>
  <c r="AM21" i="106"/>
  <c r="AL21" i="106"/>
  <c r="AK21" i="106"/>
  <c r="AJ21" i="106"/>
  <c r="BG20" i="106"/>
  <c r="BF20" i="106"/>
  <c r="BE20" i="106"/>
  <c r="BD20" i="106"/>
  <c r="BC20" i="106"/>
  <c r="BB20" i="106"/>
  <c r="BA20" i="106"/>
  <c r="AZ20" i="106"/>
  <c r="AY20" i="106"/>
  <c r="AX20" i="106"/>
  <c r="AW20" i="106"/>
  <c r="AV20" i="106"/>
  <c r="AU20" i="106"/>
  <c r="AT20" i="106"/>
  <c r="AS20" i="106"/>
  <c r="AR20" i="106"/>
  <c r="AQ20" i="106"/>
  <c r="AP20" i="106"/>
  <c r="AO20" i="106"/>
  <c r="AN20" i="106"/>
  <c r="AM20" i="106"/>
  <c r="AL20" i="106"/>
  <c r="AK20" i="106"/>
  <c r="AJ20" i="106"/>
  <c r="BG19" i="106"/>
  <c r="BF19" i="106"/>
  <c r="BE19" i="106"/>
  <c r="BD19" i="106"/>
  <c r="BC19" i="106"/>
  <c r="BB19" i="106"/>
  <c r="BA19" i="106"/>
  <c r="AZ19" i="106"/>
  <c r="AY19" i="106"/>
  <c r="AX19" i="106"/>
  <c r="AW19" i="106"/>
  <c r="AV19" i="106"/>
  <c r="AU19" i="106"/>
  <c r="AT19" i="106"/>
  <c r="AS19" i="106"/>
  <c r="AR19" i="106"/>
  <c r="AQ19" i="106"/>
  <c r="AP19" i="106"/>
  <c r="AO19" i="106"/>
  <c r="AN19" i="106"/>
  <c r="AM19" i="106"/>
  <c r="AL19" i="106"/>
  <c r="AK19" i="106"/>
  <c r="AJ19" i="106"/>
  <c r="BG18" i="106"/>
  <c r="BF18" i="106"/>
  <c r="BE18" i="106"/>
  <c r="BD18" i="106"/>
  <c r="BC18" i="106"/>
  <c r="BB18" i="106"/>
  <c r="BA18" i="106"/>
  <c r="AZ18" i="106"/>
  <c r="AY18" i="106"/>
  <c r="AX18" i="106"/>
  <c r="AW18" i="106"/>
  <c r="AV18" i="106"/>
  <c r="AU18" i="106"/>
  <c r="AT18" i="106"/>
  <c r="AS18" i="106"/>
  <c r="AR18" i="106"/>
  <c r="AQ18" i="106"/>
  <c r="AP18" i="106"/>
  <c r="AO18" i="106"/>
  <c r="AN18" i="106"/>
  <c r="AM18" i="106"/>
  <c r="AL18" i="106"/>
  <c r="AK18" i="106"/>
  <c r="AJ18" i="106"/>
  <c r="BG17" i="106"/>
  <c r="BF17" i="106"/>
  <c r="BE17" i="106"/>
  <c r="BD17" i="106"/>
  <c r="BC17" i="106"/>
  <c r="BB17" i="106"/>
  <c r="BA17" i="106"/>
  <c r="AZ17" i="106"/>
  <c r="AY17" i="106"/>
  <c r="AX17" i="106"/>
  <c r="AW17" i="106"/>
  <c r="AV17" i="106"/>
  <c r="AU17" i="106"/>
  <c r="AT17" i="106"/>
  <c r="AS17" i="106"/>
  <c r="AR17" i="106"/>
  <c r="AQ17" i="106"/>
  <c r="AP17" i="106"/>
  <c r="AO17" i="106"/>
  <c r="AN17" i="106"/>
  <c r="AM17" i="106"/>
  <c r="AL17" i="106"/>
  <c r="AK17" i="106"/>
  <c r="AJ17" i="106"/>
  <c r="BG16" i="106"/>
  <c r="BF16" i="106"/>
  <c r="BE16" i="106"/>
  <c r="BD16" i="106"/>
  <c r="BC16" i="106"/>
  <c r="BB16" i="106"/>
  <c r="BA16" i="106"/>
  <c r="AZ16" i="106"/>
  <c r="AY16" i="106"/>
  <c r="AX16" i="106"/>
  <c r="AW16" i="106"/>
  <c r="AV16" i="106"/>
  <c r="AU16" i="106"/>
  <c r="AT16" i="106"/>
  <c r="AS16" i="106"/>
  <c r="AR16" i="106"/>
  <c r="AQ16" i="106"/>
  <c r="AP16" i="106"/>
  <c r="AO16" i="106"/>
  <c r="AN16" i="106"/>
  <c r="AM16" i="106"/>
  <c r="AL16" i="106"/>
  <c r="AK16" i="106"/>
  <c r="AJ16" i="106"/>
  <c r="BG15" i="106"/>
  <c r="BF15" i="106"/>
  <c r="BE15" i="106"/>
  <c r="BD15" i="106"/>
  <c r="BC15" i="106"/>
  <c r="BB15" i="106"/>
  <c r="BA15" i="106"/>
  <c r="AZ15" i="106"/>
  <c r="AY15" i="106"/>
  <c r="AX15" i="106"/>
  <c r="AW15" i="106"/>
  <c r="AV15" i="106"/>
  <c r="AU15" i="106"/>
  <c r="AT15" i="106"/>
  <c r="AS15" i="106"/>
  <c r="AR15" i="106"/>
  <c r="AQ15" i="106"/>
  <c r="AP15" i="106"/>
  <c r="AO15" i="106"/>
  <c r="AN15" i="106"/>
  <c r="AM15" i="106"/>
  <c r="AL15" i="106"/>
  <c r="AK15" i="106"/>
  <c r="AJ15" i="106"/>
  <c r="BL14" i="106"/>
  <c r="BK14" i="106"/>
  <c r="BJ14" i="106"/>
  <c r="BI14" i="106"/>
  <c r="BH14" i="106"/>
  <c r="BG14" i="106"/>
  <c r="BF14" i="106"/>
  <c r="BE14" i="106"/>
  <c r="BD14" i="106"/>
  <c r="BC14" i="106"/>
  <c r="BB14" i="106"/>
  <c r="BA14" i="106"/>
  <c r="AZ14" i="106"/>
  <c r="AY14" i="106"/>
  <c r="AX14" i="106"/>
  <c r="AW14" i="106"/>
  <c r="AV14" i="106"/>
  <c r="AU14" i="106"/>
  <c r="AT14" i="106"/>
  <c r="AS14" i="106"/>
  <c r="AR14" i="106"/>
  <c r="AQ14" i="106"/>
  <c r="AP14" i="106"/>
  <c r="AO14" i="106"/>
  <c r="AN14" i="106"/>
  <c r="AM14" i="106"/>
  <c r="AL14" i="106"/>
  <c r="BL13" i="106"/>
  <c r="BK13" i="106"/>
  <c r="BJ13" i="106"/>
  <c r="BI13" i="106"/>
  <c r="BH13" i="106"/>
  <c r="BG13" i="106"/>
  <c r="BF13" i="106"/>
  <c r="BE13" i="106"/>
  <c r="BD13" i="106"/>
  <c r="BA13" i="106"/>
  <c r="AZ13" i="106"/>
  <c r="AY13" i="106"/>
  <c r="AX13" i="106"/>
  <c r="AW13" i="106"/>
  <c r="AV13" i="106"/>
  <c r="AU13" i="106"/>
  <c r="AT13" i="106"/>
  <c r="AS13" i="106"/>
  <c r="AR13" i="106"/>
  <c r="AQ13" i="106"/>
  <c r="AP13" i="106"/>
  <c r="AO13" i="106"/>
  <c r="AN13" i="106"/>
  <c r="AM13" i="106"/>
  <c r="AL13" i="106"/>
  <c r="BG44" i="107"/>
  <c r="BF44" i="107"/>
  <c r="BE44" i="107"/>
  <c r="BD44" i="107"/>
  <c r="BC44" i="107"/>
  <c r="BB44" i="107"/>
  <c r="BA44" i="107"/>
  <c r="AZ44" i="107"/>
  <c r="AY44" i="107"/>
  <c r="AX44" i="107"/>
  <c r="AW44" i="107"/>
  <c r="AV44" i="107"/>
  <c r="AU44" i="107"/>
  <c r="AT44" i="107"/>
  <c r="AS44" i="107"/>
  <c r="AR44" i="107"/>
  <c r="AQ44" i="107"/>
  <c r="AP44" i="107"/>
  <c r="AO44" i="107"/>
  <c r="AN44" i="107"/>
  <c r="AM44" i="107"/>
  <c r="AL44" i="107"/>
  <c r="AK44" i="107"/>
  <c r="AJ44" i="107"/>
  <c r="BG43" i="107"/>
  <c r="BF43" i="107"/>
  <c r="BE43" i="107"/>
  <c r="BD43" i="107"/>
  <c r="BC43" i="107"/>
  <c r="BB43" i="107"/>
  <c r="BA43" i="107"/>
  <c r="AZ43" i="107"/>
  <c r="AY43" i="107"/>
  <c r="AX43" i="107"/>
  <c r="AW43" i="107"/>
  <c r="AV43" i="107"/>
  <c r="AU43" i="107"/>
  <c r="AT43" i="107"/>
  <c r="AS43" i="107"/>
  <c r="AR43" i="107"/>
  <c r="AQ43" i="107"/>
  <c r="AP43" i="107"/>
  <c r="AO43" i="107"/>
  <c r="AN43" i="107"/>
  <c r="AM43" i="107"/>
  <c r="AL43" i="107"/>
  <c r="AK43" i="107"/>
  <c r="AJ43" i="107"/>
  <c r="BG42" i="107"/>
  <c r="BF42" i="107"/>
  <c r="BE42" i="107"/>
  <c r="BD42" i="107"/>
  <c r="BC42" i="107"/>
  <c r="BB42" i="107"/>
  <c r="BA42" i="107"/>
  <c r="AZ42" i="107"/>
  <c r="AY42" i="107"/>
  <c r="AX42" i="107"/>
  <c r="AW42" i="107"/>
  <c r="AV42" i="107"/>
  <c r="AU42" i="107"/>
  <c r="AT42" i="107"/>
  <c r="AS42" i="107"/>
  <c r="AR42" i="107"/>
  <c r="AQ42" i="107"/>
  <c r="AP42" i="107"/>
  <c r="AO42" i="107"/>
  <c r="AN42" i="107"/>
  <c r="AM42" i="107"/>
  <c r="AL42" i="107"/>
  <c r="AK42" i="107"/>
  <c r="AJ42" i="107"/>
  <c r="BG41" i="107"/>
  <c r="BF41" i="107"/>
  <c r="BE41" i="107"/>
  <c r="BD41" i="107"/>
  <c r="BC41" i="107"/>
  <c r="BB41" i="107"/>
  <c r="BA41" i="107"/>
  <c r="AZ41" i="107"/>
  <c r="AY41" i="107"/>
  <c r="AX41" i="107"/>
  <c r="AW41" i="107"/>
  <c r="AV41" i="107"/>
  <c r="AU41" i="107"/>
  <c r="AT41" i="107"/>
  <c r="AS41" i="107"/>
  <c r="AR41" i="107"/>
  <c r="AQ41" i="107"/>
  <c r="AP41" i="107"/>
  <c r="AO41" i="107"/>
  <c r="AN41" i="107"/>
  <c r="AM41" i="107"/>
  <c r="AL41" i="107"/>
  <c r="AK41" i="107"/>
  <c r="AJ41" i="107"/>
  <c r="BG40" i="107"/>
  <c r="BF40" i="107"/>
  <c r="BE40" i="107"/>
  <c r="BD40" i="107"/>
  <c r="BC40" i="107"/>
  <c r="BB40" i="107"/>
  <c r="BA40" i="107"/>
  <c r="AZ40" i="107"/>
  <c r="AY40" i="107"/>
  <c r="AX40" i="107"/>
  <c r="AW40" i="107"/>
  <c r="AV40" i="107"/>
  <c r="AU40" i="107"/>
  <c r="AT40" i="107"/>
  <c r="AS40" i="107"/>
  <c r="AR40" i="107"/>
  <c r="AQ40" i="107"/>
  <c r="AP40" i="107"/>
  <c r="AO40" i="107"/>
  <c r="AN40" i="107"/>
  <c r="AM40" i="107"/>
  <c r="AL40" i="107"/>
  <c r="AK40" i="107"/>
  <c r="AJ40" i="107"/>
  <c r="BG39" i="107"/>
  <c r="BF39" i="107"/>
  <c r="BE39" i="107"/>
  <c r="BD39" i="107"/>
  <c r="BC39" i="107"/>
  <c r="BB39" i="107"/>
  <c r="BA39" i="107"/>
  <c r="AZ39" i="107"/>
  <c r="AY39" i="107"/>
  <c r="AX39" i="107"/>
  <c r="AW39" i="107"/>
  <c r="AV39" i="107"/>
  <c r="AU39" i="107"/>
  <c r="AT39" i="107"/>
  <c r="AS39" i="107"/>
  <c r="AR39" i="107"/>
  <c r="AQ39" i="107"/>
  <c r="AP39" i="107"/>
  <c r="AO39" i="107"/>
  <c r="AN39" i="107"/>
  <c r="AM39" i="107"/>
  <c r="AL39" i="107"/>
  <c r="AK39" i="107"/>
  <c r="AJ39" i="107"/>
  <c r="BG38" i="107"/>
  <c r="BF38" i="107"/>
  <c r="BE38" i="107"/>
  <c r="BD38" i="107"/>
  <c r="BC38" i="107"/>
  <c r="BB38" i="107"/>
  <c r="BA38" i="107"/>
  <c r="AZ38" i="107"/>
  <c r="AY38" i="107"/>
  <c r="AX38" i="107"/>
  <c r="AW38" i="107"/>
  <c r="AV38" i="107"/>
  <c r="AU38" i="107"/>
  <c r="AT38" i="107"/>
  <c r="AS38" i="107"/>
  <c r="AR38" i="107"/>
  <c r="AQ38" i="107"/>
  <c r="AP38" i="107"/>
  <c r="AO38" i="107"/>
  <c r="AN38" i="107"/>
  <c r="AM38" i="107"/>
  <c r="AL38" i="107"/>
  <c r="AK38" i="107"/>
  <c r="AJ38" i="107"/>
  <c r="BG37" i="107"/>
  <c r="BF37" i="107"/>
  <c r="BE37" i="107"/>
  <c r="BD37" i="107"/>
  <c r="BC37" i="107"/>
  <c r="BB37" i="107"/>
  <c r="BA37" i="107"/>
  <c r="AZ37" i="107"/>
  <c r="AY37" i="107"/>
  <c r="AX37" i="107"/>
  <c r="AW37" i="107"/>
  <c r="AV37" i="107"/>
  <c r="AU37" i="107"/>
  <c r="AT37" i="107"/>
  <c r="AS37" i="107"/>
  <c r="AR37" i="107"/>
  <c r="AQ37" i="107"/>
  <c r="AP37" i="107"/>
  <c r="AO37" i="107"/>
  <c r="AN37" i="107"/>
  <c r="AM37" i="107"/>
  <c r="AL37" i="107"/>
  <c r="AK37" i="107"/>
  <c r="AJ37" i="107"/>
  <c r="BG36" i="107"/>
  <c r="BF36" i="107"/>
  <c r="BE36" i="107"/>
  <c r="BD36" i="107"/>
  <c r="BC36" i="107"/>
  <c r="BB36" i="107"/>
  <c r="BA36" i="107"/>
  <c r="AZ36" i="107"/>
  <c r="AY36" i="107"/>
  <c r="AX36" i="107"/>
  <c r="AW36" i="107"/>
  <c r="AV36" i="107"/>
  <c r="AU36" i="107"/>
  <c r="AT36" i="107"/>
  <c r="AS36" i="107"/>
  <c r="AR36" i="107"/>
  <c r="AQ36" i="107"/>
  <c r="AP36" i="107"/>
  <c r="AO36" i="107"/>
  <c r="AN36" i="107"/>
  <c r="AM36" i="107"/>
  <c r="AL36" i="107"/>
  <c r="AK36" i="107"/>
  <c r="AJ36" i="107"/>
  <c r="BG35" i="107"/>
  <c r="BF35" i="107"/>
  <c r="BE35" i="107"/>
  <c r="BD35" i="107"/>
  <c r="BC35" i="107"/>
  <c r="BB35" i="107"/>
  <c r="BA35" i="107"/>
  <c r="AZ35" i="107"/>
  <c r="AY35" i="107"/>
  <c r="AX35" i="107"/>
  <c r="AW35" i="107"/>
  <c r="AV35" i="107"/>
  <c r="AU35" i="107"/>
  <c r="AT35" i="107"/>
  <c r="AS35" i="107"/>
  <c r="AR35" i="107"/>
  <c r="AQ35" i="107"/>
  <c r="AP35" i="107"/>
  <c r="AO35" i="107"/>
  <c r="AN35" i="107"/>
  <c r="AM35" i="107"/>
  <c r="AL35" i="107"/>
  <c r="AK35" i="107"/>
  <c r="AJ35" i="107"/>
  <c r="BG34" i="107"/>
  <c r="BF34" i="107"/>
  <c r="BE34" i="107"/>
  <c r="BD34" i="107"/>
  <c r="BC34" i="107"/>
  <c r="BB34" i="107"/>
  <c r="BA34" i="107"/>
  <c r="AZ34" i="107"/>
  <c r="AY34" i="107"/>
  <c r="AX34" i="107"/>
  <c r="AW34" i="107"/>
  <c r="AV34" i="107"/>
  <c r="AU34" i="107"/>
  <c r="AT34" i="107"/>
  <c r="AS34" i="107"/>
  <c r="AR34" i="107"/>
  <c r="AQ34" i="107"/>
  <c r="AP34" i="107"/>
  <c r="AO34" i="107"/>
  <c r="AN34" i="107"/>
  <c r="AM34" i="107"/>
  <c r="AL34" i="107"/>
  <c r="AK34" i="107"/>
  <c r="AJ34" i="107"/>
  <c r="BG33" i="107"/>
  <c r="BF33" i="107"/>
  <c r="BE33" i="107"/>
  <c r="BD33" i="107"/>
  <c r="BC33" i="107"/>
  <c r="BB33" i="107"/>
  <c r="BA33" i="107"/>
  <c r="AZ33" i="107"/>
  <c r="AY33" i="107"/>
  <c r="AX33" i="107"/>
  <c r="AW33" i="107"/>
  <c r="AV33" i="107"/>
  <c r="AU33" i="107"/>
  <c r="AT33" i="107"/>
  <c r="AS33" i="107"/>
  <c r="AR33" i="107"/>
  <c r="AQ33" i="107"/>
  <c r="AP33" i="107"/>
  <c r="AO33" i="107"/>
  <c r="AN33" i="107"/>
  <c r="AM33" i="107"/>
  <c r="AL33" i="107"/>
  <c r="AK33" i="107"/>
  <c r="AJ33" i="107"/>
  <c r="BG32" i="107"/>
  <c r="BF32" i="107"/>
  <c r="BE32" i="107"/>
  <c r="BD32" i="107"/>
  <c r="BC32" i="107"/>
  <c r="BB32" i="107"/>
  <c r="BA32" i="107"/>
  <c r="AZ32" i="107"/>
  <c r="AY32" i="107"/>
  <c r="AX32" i="107"/>
  <c r="AW32" i="107"/>
  <c r="AV32" i="107"/>
  <c r="AU32" i="107"/>
  <c r="AT32" i="107"/>
  <c r="AS32" i="107"/>
  <c r="AR32" i="107"/>
  <c r="AQ32" i="107"/>
  <c r="AP32" i="107"/>
  <c r="AO32" i="107"/>
  <c r="AN32" i="107"/>
  <c r="AM32" i="107"/>
  <c r="AL32" i="107"/>
  <c r="AK32" i="107"/>
  <c r="AJ32" i="107"/>
  <c r="BG31" i="107"/>
  <c r="BF31" i="107"/>
  <c r="BE31" i="107"/>
  <c r="BD31" i="107"/>
  <c r="BC31" i="107"/>
  <c r="BB31" i="107"/>
  <c r="BA31" i="107"/>
  <c r="AZ31" i="107"/>
  <c r="AY31" i="107"/>
  <c r="AX31" i="107"/>
  <c r="AW31" i="107"/>
  <c r="AV31" i="107"/>
  <c r="AU31" i="107"/>
  <c r="AT31" i="107"/>
  <c r="AS31" i="107"/>
  <c r="AR31" i="107"/>
  <c r="AQ31" i="107"/>
  <c r="AP31" i="107"/>
  <c r="AO31" i="107"/>
  <c r="AN31" i="107"/>
  <c r="AM31" i="107"/>
  <c r="AL31" i="107"/>
  <c r="AK31" i="107"/>
  <c r="AJ31" i="107"/>
  <c r="BG30" i="107"/>
  <c r="BF30" i="107"/>
  <c r="BE30" i="107"/>
  <c r="BD30" i="107"/>
  <c r="BC30" i="107"/>
  <c r="BB30" i="107"/>
  <c r="BA30" i="107"/>
  <c r="AZ30" i="107"/>
  <c r="AY30" i="107"/>
  <c r="AX30" i="107"/>
  <c r="AW30" i="107"/>
  <c r="AV30" i="107"/>
  <c r="AU30" i="107"/>
  <c r="AT30" i="107"/>
  <c r="AS30" i="107"/>
  <c r="AR30" i="107"/>
  <c r="AQ30" i="107"/>
  <c r="AP30" i="107"/>
  <c r="AO30" i="107"/>
  <c r="AN30" i="107"/>
  <c r="AM30" i="107"/>
  <c r="AL30" i="107"/>
  <c r="AK30" i="107"/>
  <c r="AJ30" i="107"/>
  <c r="BG29" i="107"/>
  <c r="BF29" i="107"/>
  <c r="BE29" i="107"/>
  <c r="BD29" i="107"/>
  <c r="BC29" i="107"/>
  <c r="BB29" i="107"/>
  <c r="BA29" i="107"/>
  <c r="AZ29" i="107"/>
  <c r="AY29" i="107"/>
  <c r="AX29" i="107"/>
  <c r="AW29" i="107"/>
  <c r="AV29" i="107"/>
  <c r="AU29" i="107"/>
  <c r="AT29" i="107"/>
  <c r="AS29" i="107"/>
  <c r="AR29" i="107"/>
  <c r="AQ29" i="107"/>
  <c r="AP29" i="107"/>
  <c r="AO29" i="107"/>
  <c r="AN29" i="107"/>
  <c r="AM29" i="107"/>
  <c r="AL29" i="107"/>
  <c r="AK29" i="107"/>
  <c r="AJ29" i="107"/>
  <c r="BG28" i="107"/>
  <c r="BF28" i="107"/>
  <c r="BE28" i="107"/>
  <c r="BD28" i="107"/>
  <c r="BC28" i="107"/>
  <c r="BB28" i="107"/>
  <c r="BA28" i="107"/>
  <c r="AZ28" i="107"/>
  <c r="AY28" i="107"/>
  <c r="AX28" i="107"/>
  <c r="AW28" i="107"/>
  <c r="AV28" i="107"/>
  <c r="AU28" i="107"/>
  <c r="AT28" i="107"/>
  <c r="AS28" i="107"/>
  <c r="AR28" i="107"/>
  <c r="AQ28" i="107"/>
  <c r="AP28" i="107"/>
  <c r="AO28" i="107"/>
  <c r="AN28" i="107"/>
  <c r="AM28" i="107"/>
  <c r="AL28" i="107"/>
  <c r="AK28" i="107"/>
  <c r="AJ28" i="107"/>
  <c r="BG27" i="107"/>
  <c r="BF27" i="107"/>
  <c r="BE27" i="107"/>
  <c r="BD27" i="107"/>
  <c r="BC27" i="107"/>
  <c r="BB27" i="107"/>
  <c r="BA27" i="107"/>
  <c r="AZ27" i="107"/>
  <c r="AY27" i="107"/>
  <c r="AX27" i="107"/>
  <c r="AW27" i="107"/>
  <c r="AV27" i="107"/>
  <c r="AU27" i="107"/>
  <c r="AT27" i="107"/>
  <c r="AS27" i="107"/>
  <c r="AR27" i="107"/>
  <c r="AQ27" i="107"/>
  <c r="AP27" i="107"/>
  <c r="AO27" i="107"/>
  <c r="AN27" i="107"/>
  <c r="AM27" i="107"/>
  <c r="AL27" i="107"/>
  <c r="AK27" i="107"/>
  <c r="AJ27" i="107"/>
  <c r="BG26" i="107"/>
  <c r="BF26" i="107"/>
  <c r="BE26" i="107"/>
  <c r="BD26" i="107"/>
  <c r="BC26" i="107"/>
  <c r="BB26" i="107"/>
  <c r="BA26" i="107"/>
  <c r="AZ26" i="107"/>
  <c r="AY26" i="107"/>
  <c r="AX26" i="107"/>
  <c r="AW26" i="107"/>
  <c r="AV26" i="107"/>
  <c r="AU26" i="107"/>
  <c r="AT26" i="107"/>
  <c r="AS26" i="107"/>
  <c r="AR26" i="107"/>
  <c r="AQ26" i="107"/>
  <c r="AP26" i="107"/>
  <c r="AO26" i="107"/>
  <c r="AN26" i="107"/>
  <c r="AM26" i="107"/>
  <c r="AL26" i="107"/>
  <c r="AK26" i="107"/>
  <c r="AJ26" i="107"/>
  <c r="BG25" i="107"/>
  <c r="BF25" i="107"/>
  <c r="BE25" i="107"/>
  <c r="BD25" i="107"/>
  <c r="BC25" i="107"/>
  <c r="BB25" i="107"/>
  <c r="BA25" i="107"/>
  <c r="AZ25" i="107"/>
  <c r="AY25" i="107"/>
  <c r="AX25" i="107"/>
  <c r="AW25" i="107"/>
  <c r="AV25" i="107"/>
  <c r="AU25" i="107"/>
  <c r="AT25" i="107"/>
  <c r="AS25" i="107"/>
  <c r="AR25" i="107"/>
  <c r="AQ25" i="107"/>
  <c r="AP25" i="107"/>
  <c r="AO25" i="107"/>
  <c r="AN25" i="107"/>
  <c r="AM25" i="107"/>
  <c r="AL25" i="107"/>
  <c r="AK25" i="107"/>
  <c r="AJ25" i="107"/>
  <c r="BG24" i="107"/>
  <c r="BF24" i="107"/>
  <c r="BE24" i="107"/>
  <c r="BD24" i="107"/>
  <c r="BC24" i="107"/>
  <c r="BB24" i="107"/>
  <c r="BA24" i="107"/>
  <c r="AZ24" i="107"/>
  <c r="AY24" i="107"/>
  <c r="AX24" i="107"/>
  <c r="AW24" i="107"/>
  <c r="AV24" i="107"/>
  <c r="AU24" i="107"/>
  <c r="AT24" i="107"/>
  <c r="AS24" i="107"/>
  <c r="AR24" i="107"/>
  <c r="AQ24" i="107"/>
  <c r="AP24" i="107"/>
  <c r="AO24" i="107"/>
  <c r="AN24" i="107"/>
  <c r="AM24" i="107"/>
  <c r="AL24" i="107"/>
  <c r="AK24" i="107"/>
  <c r="AJ24" i="107"/>
  <c r="BG23" i="107"/>
  <c r="BF23" i="107"/>
  <c r="BE23" i="107"/>
  <c r="BD23" i="107"/>
  <c r="BC23" i="107"/>
  <c r="BB23" i="107"/>
  <c r="BA23" i="107"/>
  <c r="AZ23" i="107"/>
  <c r="AY23" i="107"/>
  <c r="AX23" i="107"/>
  <c r="AW23" i="107"/>
  <c r="AV23" i="107"/>
  <c r="AU23" i="107"/>
  <c r="AT23" i="107"/>
  <c r="AS23" i="107"/>
  <c r="AR23" i="107"/>
  <c r="AQ23" i="107"/>
  <c r="AP23" i="107"/>
  <c r="AO23" i="107"/>
  <c r="AN23" i="107"/>
  <c r="AM23" i="107"/>
  <c r="AL23" i="107"/>
  <c r="AK23" i="107"/>
  <c r="AJ23" i="107"/>
  <c r="BG22" i="107"/>
  <c r="BF22" i="107"/>
  <c r="BE22" i="107"/>
  <c r="BD22" i="107"/>
  <c r="BC22" i="107"/>
  <c r="BB22" i="107"/>
  <c r="BA22" i="107"/>
  <c r="AZ22" i="107"/>
  <c r="AY22" i="107"/>
  <c r="AX22" i="107"/>
  <c r="AW22" i="107"/>
  <c r="AV22" i="107"/>
  <c r="AU22" i="107"/>
  <c r="AT22" i="107"/>
  <c r="AS22" i="107"/>
  <c r="AR22" i="107"/>
  <c r="AQ22" i="107"/>
  <c r="AP22" i="107"/>
  <c r="AO22" i="107"/>
  <c r="AN22" i="107"/>
  <c r="AM22" i="107"/>
  <c r="AL22" i="107"/>
  <c r="AK22" i="107"/>
  <c r="AJ22" i="107"/>
  <c r="BG21" i="107"/>
  <c r="BF21" i="107"/>
  <c r="BE21" i="107"/>
  <c r="BD21" i="107"/>
  <c r="BC21" i="107"/>
  <c r="BB21" i="107"/>
  <c r="BA21" i="107"/>
  <c r="AZ21" i="107"/>
  <c r="AY21" i="107"/>
  <c r="AX21" i="107"/>
  <c r="AW21" i="107"/>
  <c r="AV21" i="107"/>
  <c r="AU21" i="107"/>
  <c r="AT21" i="107"/>
  <c r="AS21" i="107"/>
  <c r="AR21" i="107"/>
  <c r="AQ21" i="107"/>
  <c r="AP21" i="107"/>
  <c r="AO21" i="107"/>
  <c r="AN21" i="107"/>
  <c r="AM21" i="107"/>
  <c r="AL21" i="107"/>
  <c r="AK21" i="107"/>
  <c r="AJ21" i="107"/>
  <c r="BG20" i="107"/>
  <c r="BF20" i="107"/>
  <c r="BE20" i="107"/>
  <c r="BD20" i="107"/>
  <c r="BC20" i="107"/>
  <c r="BB20" i="107"/>
  <c r="BA20" i="107"/>
  <c r="AZ20" i="107"/>
  <c r="AY20" i="107"/>
  <c r="AX20" i="107"/>
  <c r="AW20" i="107"/>
  <c r="AV20" i="107"/>
  <c r="AU20" i="107"/>
  <c r="AT20" i="107"/>
  <c r="AS20" i="107"/>
  <c r="AR20" i="107"/>
  <c r="AQ20" i="107"/>
  <c r="AP20" i="107"/>
  <c r="AO20" i="107"/>
  <c r="AN20" i="107"/>
  <c r="AM20" i="107"/>
  <c r="AL20" i="107"/>
  <c r="AK20" i="107"/>
  <c r="AJ20" i="107"/>
  <c r="BG19" i="107"/>
  <c r="BF19" i="107"/>
  <c r="BE19" i="107"/>
  <c r="BD19" i="107"/>
  <c r="BC19" i="107"/>
  <c r="BB19" i="107"/>
  <c r="BA19" i="107"/>
  <c r="AZ19" i="107"/>
  <c r="AY19" i="107"/>
  <c r="AX19" i="107"/>
  <c r="AW19" i="107"/>
  <c r="AV19" i="107"/>
  <c r="AU19" i="107"/>
  <c r="AT19" i="107"/>
  <c r="AS19" i="107"/>
  <c r="AR19" i="107"/>
  <c r="AQ19" i="107"/>
  <c r="AP19" i="107"/>
  <c r="AO19" i="107"/>
  <c r="AN19" i="107"/>
  <c r="AM19" i="107"/>
  <c r="AL19" i="107"/>
  <c r="AK19" i="107"/>
  <c r="AJ19" i="107"/>
  <c r="BG18" i="107"/>
  <c r="BF18" i="107"/>
  <c r="BE18" i="107"/>
  <c r="BD18" i="107"/>
  <c r="BC18" i="107"/>
  <c r="BB18" i="107"/>
  <c r="BA18" i="107"/>
  <c r="AZ18" i="107"/>
  <c r="AY18" i="107"/>
  <c r="AX18" i="107"/>
  <c r="AW18" i="107"/>
  <c r="AV18" i="107"/>
  <c r="AU18" i="107"/>
  <c r="AT18" i="107"/>
  <c r="AS18" i="107"/>
  <c r="AR18" i="107"/>
  <c r="AQ18" i="107"/>
  <c r="AP18" i="107"/>
  <c r="AO18" i="107"/>
  <c r="AN18" i="107"/>
  <c r="AM18" i="107"/>
  <c r="AL18" i="107"/>
  <c r="AK18" i="107"/>
  <c r="AJ18" i="107"/>
  <c r="BG17" i="107"/>
  <c r="BF17" i="107"/>
  <c r="BE17" i="107"/>
  <c r="BD17" i="107"/>
  <c r="BC17" i="107"/>
  <c r="BB17" i="107"/>
  <c r="BA17" i="107"/>
  <c r="AZ17" i="107"/>
  <c r="AY17" i="107"/>
  <c r="AX17" i="107"/>
  <c r="AW17" i="107"/>
  <c r="AV17" i="107"/>
  <c r="AU17" i="107"/>
  <c r="AT17" i="107"/>
  <c r="AS17" i="107"/>
  <c r="AR17" i="107"/>
  <c r="AQ17" i="107"/>
  <c r="AP17" i="107"/>
  <c r="AO17" i="107"/>
  <c r="AN17" i="107"/>
  <c r="AM17" i="107"/>
  <c r="AL17" i="107"/>
  <c r="AK17" i="107"/>
  <c r="AJ17" i="107"/>
  <c r="BG16" i="107"/>
  <c r="BF16" i="107"/>
  <c r="BE16" i="107"/>
  <c r="BD16" i="107"/>
  <c r="BC16" i="107"/>
  <c r="BB16" i="107"/>
  <c r="BA16" i="107"/>
  <c r="AZ16" i="107"/>
  <c r="AY16" i="107"/>
  <c r="AX16" i="107"/>
  <c r="AW16" i="107"/>
  <c r="AV16" i="107"/>
  <c r="AU16" i="107"/>
  <c r="AT16" i="107"/>
  <c r="AS16" i="107"/>
  <c r="AR16" i="107"/>
  <c r="AQ16" i="107"/>
  <c r="AP16" i="107"/>
  <c r="AO16" i="107"/>
  <c r="AN16" i="107"/>
  <c r="AM16" i="107"/>
  <c r="AL16" i="107"/>
  <c r="AK16" i="107"/>
  <c r="AJ16" i="107"/>
  <c r="BG15" i="107"/>
  <c r="BF15" i="107"/>
  <c r="BE15" i="107"/>
  <c r="BD15" i="107"/>
  <c r="BC15" i="107"/>
  <c r="BB15" i="107"/>
  <c r="BA15" i="107"/>
  <c r="AZ15" i="107"/>
  <c r="AY15" i="107"/>
  <c r="AX15" i="107"/>
  <c r="AW15" i="107"/>
  <c r="AV15" i="107"/>
  <c r="AU15" i="107"/>
  <c r="AT15" i="107"/>
  <c r="AS15" i="107"/>
  <c r="AR15" i="107"/>
  <c r="AQ15" i="107"/>
  <c r="AP15" i="107"/>
  <c r="AO15" i="107"/>
  <c r="AN15" i="107"/>
  <c r="AM15" i="107"/>
  <c r="AL15" i="107"/>
  <c r="AK15" i="107"/>
  <c r="AJ15" i="107"/>
  <c r="BL14" i="107"/>
  <c r="BK14" i="107"/>
  <c r="BJ14" i="107"/>
  <c r="BI14" i="107"/>
  <c r="BH14" i="107"/>
  <c r="BG14" i="107"/>
  <c r="BF14" i="107"/>
  <c r="BE14" i="107"/>
  <c r="BD14" i="107"/>
  <c r="BC14" i="107"/>
  <c r="BB14" i="107"/>
  <c r="BA14" i="107"/>
  <c r="AZ14" i="107"/>
  <c r="AY14" i="107"/>
  <c r="AX14" i="107"/>
  <c r="AW14" i="107"/>
  <c r="AV14" i="107"/>
  <c r="AU14" i="107"/>
  <c r="AT14" i="107"/>
  <c r="AS14" i="107"/>
  <c r="AR14" i="107"/>
  <c r="AQ14" i="107"/>
  <c r="AP14" i="107"/>
  <c r="AO14" i="107"/>
  <c r="AN14" i="107"/>
  <c r="AM14" i="107"/>
  <c r="AL14" i="107"/>
  <c r="BL13" i="107"/>
  <c r="BK13" i="107"/>
  <c r="BJ13" i="107"/>
  <c r="BI13" i="107"/>
  <c r="BH13" i="107"/>
  <c r="BG13" i="107"/>
  <c r="BF13" i="107"/>
  <c r="BE13" i="107"/>
  <c r="BD13" i="107"/>
  <c r="BA13" i="107"/>
  <c r="AZ13" i="107"/>
  <c r="AY13" i="107"/>
  <c r="AX13" i="107"/>
  <c r="AW13" i="107"/>
  <c r="AV13" i="107"/>
  <c r="AU13" i="107"/>
  <c r="AT13" i="107"/>
  <c r="AS13" i="107"/>
  <c r="AR13" i="107"/>
  <c r="AQ13" i="107"/>
  <c r="AP13" i="107"/>
  <c r="AO13" i="107"/>
  <c r="AN13" i="107"/>
  <c r="AM13" i="107"/>
  <c r="AL13" i="107"/>
  <c r="BG44" i="108"/>
  <c r="BF44" i="108"/>
  <c r="BE44" i="108"/>
  <c r="BD44" i="108"/>
  <c r="BC44" i="108"/>
  <c r="BB44" i="108"/>
  <c r="BA44" i="108"/>
  <c r="AZ44" i="108"/>
  <c r="AY44" i="108"/>
  <c r="AX44" i="108"/>
  <c r="AW44" i="108"/>
  <c r="AV44" i="108"/>
  <c r="AU44" i="108"/>
  <c r="AT44" i="108"/>
  <c r="AS44" i="108"/>
  <c r="AR44" i="108"/>
  <c r="AQ44" i="108"/>
  <c r="AP44" i="108"/>
  <c r="AO44" i="108"/>
  <c r="AN44" i="108"/>
  <c r="AM44" i="108"/>
  <c r="AL44" i="108"/>
  <c r="AK44" i="108"/>
  <c r="AJ44" i="108"/>
  <c r="BG43" i="108"/>
  <c r="BF43" i="108"/>
  <c r="BE43" i="108"/>
  <c r="BD43" i="108"/>
  <c r="BC43" i="108"/>
  <c r="BB43" i="108"/>
  <c r="BA43" i="108"/>
  <c r="AZ43" i="108"/>
  <c r="AY43" i="108"/>
  <c r="AX43" i="108"/>
  <c r="AW43" i="108"/>
  <c r="AV43" i="108"/>
  <c r="AU43" i="108"/>
  <c r="AT43" i="108"/>
  <c r="AS43" i="108"/>
  <c r="AR43" i="108"/>
  <c r="AQ43" i="108"/>
  <c r="AP43" i="108"/>
  <c r="AO43" i="108"/>
  <c r="AN43" i="108"/>
  <c r="AM43" i="108"/>
  <c r="AL43" i="108"/>
  <c r="AK43" i="108"/>
  <c r="AJ43" i="108"/>
  <c r="BG42" i="108"/>
  <c r="BF42" i="108"/>
  <c r="BE42" i="108"/>
  <c r="BD42" i="108"/>
  <c r="BC42" i="108"/>
  <c r="BB42" i="108"/>
  <c r="BA42" i="108"/>
  <c r="AZ42" i="108"/>
  <c r="AY42" i="108"/>
  <c r="AX42" i="108"/>
  <c r="AW42" i="108"/>
  <c r="AV42" i="108"/>
  <c r="AU42" i="108"/>
  <c r="AT42" i="108"/>
  <c r="AS42" i="108"/>
  <c r="AR42" i="108"/>
  <c r="AQ42" i="108"/>
  <c r="AP42" i="108"/>
  <c r="AO42" i="108"/>
  <c r="AN42" i="108"/>
  <c r="AM42" i="108"/>
  <c r="AL42" i="108"/>
  <c r="AK42" i="108"/>
  <c r="AJ42" i="108"/>
  <c r="BG41" i="108"/>
  <c r="BF41" i="108"/>
  <c r="BE41" i="108"/>
  <c r="BD41" i="108"/>
  <c r="BC41" i="108"/>
  <c r="BB41" i="108"/>
  <c r="BA41" i="108"/>
  <c r="AZ41" i="108"/>
  <c r="AY41" i="108"/>
  <c r="AX41" i="108"/>
  <c r="AW41" i="108"/>
  <c r="AV41" i="108"/>
  <c r="AU41" i="108"/>
  <c r="AT41" i="108"/>
  <c r="AS41" i="108"/>
  <c r="AR41" i="108"/>
  <c r="AQ41" i="108"/>
  <c r="AP41" i="108"/>
  <c r="AO41" i="108"/>
  <c r="AN41" i="108"/>
  <c r="AM41" i="108"/>
  <c r="AL41" i="108"/>
  <c r="AK41" i="108"/>
  <c r="AJ41" i="108"/>
  <c r="BG40" i="108"/>
  <c r="BF40" i="108"/>
  <c r="BE40" i="108"/>
  <c r="BD40" i="108"/>
  <c r="BC40" i="108"/>
  <c r="BB40" i="108"/>
  <c r="BA40" i="108"/>
  <c r="AZ40" i="108"/>
  <c r="AY40" i="108"/>
  <c r="AX40" i="108"/>
  <c r="AW40" i="108"/>
  <c r="AV40" i="108"/>
  <c r="AU40" i="108"/>
  <c r="AT40" i="108"/>
  <c r="AS40" i="108"/>
  <c r="AR40" i="108"/>
  <c r="AQ40" i="108"/>
  <c r="AP40" i="108"/>
  <c r="AO40" i="108"/>
  <c r="AN40" i="108"/>
  <c r="AM40" i="108"/>
  <c r="AL40" i="108"/>
  <c r="AK40" i="108"/>
  <c r="AJ40" i="108"/>
  <c r="BG39" i="108"/>
  <c r="BF39" i="108"/>
  <c r="BE39" i="108"/>
  <c r="BD39" i="108"/>
  <c r="BC39" i="108"/>
  <c r="BB39" i="108"/>
  <c r="BA39" i="108"/>
  <c r="AZ39" i="108"/>
  <c r="AY39" i="108"/>
  <c r="AX39" i="108"/>
  <c r="AW39" i="108"/>
  <c r="AV39" i="108"/>
  <c r="AU39" i="108"/>
  <c r="AT39" i="108"/>
  <c r="AS39" i="108"/>
  <c r="AR39" i="108"/>
  <c r="AQ39" i="108"/>
  <c r="AP39" i="108"/>
  <c r="AO39" i="108"/>
  <c r="AN39" i="108"/>
  <c r="AM39" i="108"/>
  <c r="AL39" i="108"/>
  <c r="AK39" i="108"/>
  <c r="AJ39" i="108"/>
  <c r="BG38" i="108"/>
  <c r="BF38" i="108"/>
  <c r="BE38" i="108"/>
  <c r="BD38" i="108"/>
  <c r="BC38" i="108"/>
  <c r="BB38" i="108"/>
  <c r="BA38" i="108"/>
  <c r="AZ38" i="108"/>
  <c r="AY38" i="108"/>
  <c r="AX38" i="108"/>
  <c r="AW38" i="108"/>
  <c r="AV38" i="108"/>
  <c r="AU38" i="108"/>
  <c r="AT38" i="108"/>
  <c r="AS38" i="108"/>
  <c r="AR38" i="108"/>
  <c r="AQ38" i="108"/>
  <c r="AP38" i="108"/>
  <c r="AO38" i="108"/>
  <c r="AN38" i="108"/>
  <c r="AM38" i="108"/>
  <c r="AL38" i="108"/>
  <c r="AK38" i="108"/>
  <c r="AJ38" i="108"/>
  <c r="BG37" i="108"/>
  <c r="BF37" i="108"/>
  <c r="BE37" i="108"/>
  <c r="BD37" i="108"/>
  <c r="BC37" i="108"/>
  <c r="BB37" i="108"/>
  <c r="BA37" i="108"/>
  <c r="AZ37" i="108"/>
  <c r="AY37" i="108"/>
  <c r="AX37" i="108"/>
  <c r="AW37" i="108"/>
  <c r="AV37" i="108"/>
  <c r="AU37" i="108"/>
  <c r="AT37" i="108"/>
  <c r="AS37" i="108"/>
  <c r="AR37" i="108"/>
  <c r="AQ37" i="108"/>
  <c r="AP37" i="108"/>
  <c r="AO37" i="108"/>
  <c r="AN37" i="108"/>
  <c r="AM37" i="108"/>
  <c r="AL37" i="108"/>
  <c r="AK37" i="108"/>
  <c r="AJ37" i="108"/>
  <c r="BG36" i="108"/>
  <c r="BF36" i="108"/>
  <c r="BE36" i="108"/>
  <c r="BD36" i="108"/>
  <c r="BC36" i="108"/>
  <c r="BB36" i="108"/>
  <c r="BA36" i="108"/>
  <c r="AZ36" i="108"/>
  <c r="AY36" i="108"/>
  <c r="AX36" i="108"/>
  <c r="AW36" i="108"/>
  <c r="AV36" i="108"/>
  <c r="AU36" i="108"/>
  <c r="AT36" i="108"/>
  <c r="AS36" i="108"/>
  <c r="AR36" i="108"/>
  <c r="AQ36" i="108"/>
  <c r="AP36" i="108"/>
  <c r="AO36" i="108"/>
  <c r="AN36" i="108"/>
  <c r="AM36" i="108"/>
  <c r="AL36" i="108"/>
  <c r="AK36" i="108"/>
  <c r="AJ36" i="108"/>
  <c r="BG35" i="108"/>
  <c r="BF35" i="108"/>
  <c r="BE35" i="108"/>
  <c r="BD35" i="108"/>
  <c r="BC35" i="108"/>
  <c r="BB35" i="108"/>
  <c r="BA35" i="108"/>
  <c r="AZ35" i="108"/>
  <c r="AY35" i="108"/>
  <c r="AX35" i="108"/>
  <c r="AW35" i="108"/>
  <c r="AV35" i="108"/>
  <c r="AU35" i="108"/>
  <c r="AT35" i="108"/>
  <c r="AS35" i="108"/>
  <c r="AR35" i="108"/>
  <c r="AQ35" i="108"/>
  <c r="AP35" i="108"/>
  <c r="AO35" i="108"/>
  <c r="AN35" i="108"/>
  <c r="AM35" i="108"/>
  <c r="AL35" i="108"/>
  <c r="AK35" i="108"/>
  <c r="AJ35" i="108"/>
  <c r="BG34" i="108"/>
  <c r="BF34" i="108"/>
  <c r="BE34" i="108"/>
  <c r="BD34" i="108"/>
  <c r="BC34" i="108"/>
  <c r="BB34" i="108"/>
  <c r="BA34" i="108"/>
  <c r="AZ34" i="108"/>
  <c r="AY34" i="108"/>
  <c r="AX34" i="108"/>
  <c r="AW34" i="108"/>
  <c r="AV34" i="108"/>
  <c r="AU34" i="108"/>
  <c r="AT34" i="108"/>
  <c r="AS34" i="108"/>
  <c r="AR34" i="108"/>
  <c r="AQ34" i="108"/>
  <c r="AP34" i="108"/>
  <c r="AO34" i="108"/>
  <c r="AN34" i="108"/>
  <c r="AM34" i="108"/>
  <c r="AL34" i="108"/>
  <c r="AK34" i="108"/>
  <c r="AJ34" i="108"/>
  <c r="BG33" i="108"/>
  <c r="BF33" i="108"/>
  <c r="BE33" i="108"/>
  <c r="BD33" i="108"/>
  <c r="BC33" i="108"/>
  <c r="BB33" i="108"/>
  <c r="BA33" i="108"/>
  <c r="AZ33" i="108"/>
  <c r="AY33" i="108"/>
  <c r="AX33" i="108"/>
  <c r="AW33" i="108"/>
  <c r="AV33" i="108"/>
  <c r="AU33" i="108"/>
  <c r="AT33" i="108"/>
  <c r="AS33" i="108"/>
  <c r="AR33" i="108"/>
  <c r="AQ33" i="108"/>
  <c r="AP33" i="108"/>
  <c r="AO33" i="108"/>
  <c r="AN33" i="108"/>
  <c r="AM33" i="108"/>
  <c r="AL33" i="108"/>
  <c r="AK33" i="108"/>
  <c r="AJ33" i="108"/>
  <c r="BG32" i="108"/>
  <c r="BF32" i="108"/>
  <c r="BE32" i="108"/>
  <c r="BD32" i="108"/>
  <c r="BC32" i="108"/>
  <c r="BB32" i="108"/>
  <c r="BA32" i="108"/>
  <c r="AZ32" i="108"/>
  <c r="AY32" i="108"/>
  <c r="AX32" i="108"/>
  <c r="AW32" i="108"/>
  <c r="AV32" i="108"/>
  <c r="AU32" i="108"/>
  <c r="AT32" i="108"/>
  <c r="AS32" i="108"/>
  <c r="AR32" i="108"/>
  <c r="AQ32" i="108"/>
  <c r="AP32" i="108"/>
  <c r="AO32" i="108"/>
  <c r="AN32" i="108"/>
  <c r="AM32" i="108"/>
  <c r="AL32" i="108"/>
  <c r="AK32" i="108"/>
  <c r="AJ32" i="108"/>
  <c r="BG31" i="108"/>
  <c r="BF31" i="108"/>
  <c r="BE31" i="108"/>
  <c r="BD31" i="108"/>
  <c r="BC31" i="108"/>
  <c r="BB31" i="108"/>
  <c r="BA31" i="108"/>
  <c r="AZ31" i="108"/>
  <c r="AY31" i="108"/>
  <c r="AX31" i="108"/>
  <c r="AW31" i="108"/>
  <c r="AV31" i="108"/>
  <c r="AU31" i="108"/>
  <c r="AT31" i="108"/>
  <c r="AS31" i="108"/>
  <c r="AR31" i="108"/>
  <c r="AQ31" i="108"/>
  <c r="AP31" i="108"/>
  <c r="AO31" i="108"/>
  <c r="AN31" i="108"/>
  <c r="AM31" i="108"/>
  <c r="AL31" i="108"/>
  <c r="AK31" i="108"/>
  <c r="AJ31" i="108"/>
  <c r="BG30" i="108"/>
  <c r="BF30" i="108"/>
  <c r="BE30" i="108"/>
  <c r="BD30" i="108"/>
  <c r="BC30" i="108"/>
  <c r="BB30" i="108"/>
  <c r="BA30" i="108"/>
  <c r="AZ30" i="108"/>
  <c r="AY30" i="108"/>
  <c r="AX30" i="108"/>
  <c r="AW30" i="108"/>
  <c r="AV30" i="108"/>
  <c r="AU30" i="108"/>
  <c r="AT30" i="108"/>
  <c r="AS30" i="108"/>
  <c r="AR30" i="108"/>
  <c r="AQ30" i="108"/>
  <c r="AP30" i="108"/>
  <c r="AO30" i="108"/>
  <c r="AN30" i="108"/>
  <c r="AM30" i="108"/>
  <c r="AL30" i="108"/>
  <c r="AK30" i="108"/>
  <c r="AJ30" i="108"/>
  <c r="BG29" i="108"/>
  <c r="BF29" i="108"/>
  <c r="BE29" i="108"/>
  <c r="BD29" i="108"/>
  <c r="BC29" i="108"/>
  <c r="BB29" i="108"/>
  <c r="BA29" i="108"/>
  <c r="AZ29" i="108"/>
  <c r="AY29" i="108"/>
  <c r="AX29" i="108"/>
  <c r="AW29" i="108"/>
  <c r="AV29" i="108"/>
  <c r="AU29" i="108"/>
  <c r="AT29" i="108"/>
  <c r="AS29" i="108"/>
  <c r="AR29" i="108"/>
  <c r="AQ29" i="108"/>
  <c r="AP29" i="108"/>
  <c r="AO29" i="108"/>
  <c r="AN29" i="108"/>
  <c r="AM29" i="108"/>
  <c r="AL29" i="108"/>
  <c r="AK29" i="108"/>
  <c r="AJ29" i="108"/>
  <c r="BG28" i="108"/>
  <c r="BF28" i="108"/>
  <c r="BE28" i="108"/>
  <c r="BD28" i="108"/>
  <c r="BC28" i="108"/>
  <c r="BB28" i="108"/>
  <c r="BA28" i="108"/>
  <c r="AZ28" i="108"/>
  <c r="AY28" i="108"/>
  <c r="AX28" i="108"/>
  <c r="AW28" i="108"/>
  <c r="AV28" i="108"/>
  <c r="AU28" i="108"/>
  <c r="AT28" i="108"/>
  <c r="AS28" i="108"/>
  <c r="AR28" i="108"/>
  <c r="AQ28" i="108"/>
  <c r="AP28" i="108"/>
  <c r="AO28" i="108"/>
  <c r="AN28" i="108"/>
  <c r="AM28" i="108"/>
  <c r="AL28" i="108"/>
  <c r="AK28" i="108"/>
  <c r="AJ28" i="108"/>
  <c r="BG27" i="108"/>
  <c r="BF27" i="108"/>
  <c r="BE27" i="108"/>
  <c r="BD27" i="108"/>
  <c r="BC27" i="108"/>
  <c r="BB27" i="108"/>
  <c r="BA27" i="108"/>
  <c r="AZ27" i="108"/>
  <c r="AY27" i="108"/>
  <c r="AX27" i="108"/>
  <c r="AW27" i="108"/>
  <c r="AV27" i="108"/>
  <c r="AU27" i="108"/>
  <c r="AT27" i="108"/>
  <c r="AS27" i="108"/>
  <c r="AR27" i="108"/>
  <c r="AQ27" i="108"/>
  <c r="AP27" i="108"/>
  <c r="AO27" i="108"/>
  <c r="AN27" i="108"/>
  <c r="AM27" i="108"/>
  <c r="AL27" i="108"/>
  <c r="AK27" i="108"/>
  <c r="AJ27" i="108"/>
  <c r="BG26" i="108"/>
  <c r="BF26" i="108"/>
  <c r="BE26" i="108"/>
  <c r="BD26" i="108"/>
  <c r="BC26" i="108"/>
  <c r="BB26" i="108"/>
  <c r="BA26" i="108"/>
  <c r="AZ26" i="108"/>
  <c r="AY26" i="108"/>
  <c r="AX26" i="108"/>
  <c r="AW26" i="108"/>
  <c r="AV26" i="108"/>
  <c r="AU26" i="108"/>
  <c r="AT26" i="108"/>
  <c r="AS26" i="108"/>
  <c r="AR26" i="108"/>
  <c r="AQ26" i="108"/>
  <c r="AP26" i="108"/>
  <c r="AO26" i="108"/>
  <c r="AN26" i="108"/>
  <c r="AM26" i="108"/>
  <c r="AL26" i="108"/>
  <c r="AK26" i="108"/>
  <c r="AJ26" i="108"/>
  <c r="BG25" i="108"/>
  <c r="BF25" i="108"/>
  <c r="BE25" i="108"/>
  <c r="BD25" i="108"/>
  <c r="BC25" i="108"/>
  <c r="BB25" i="108"/>
  <c r="BA25" i="108"/>
  <c r="AZ25" i="108"/>
  <c r="AY25" i="108"/>
  <c r="AX25" i="108"/>
  <c r="AW25" i="108"/>
  <c r="AV25" i="108"/>
  <c r="AU25" i="108"/>
  <c r="AT25" i="108"/>
  <c r="AS25" i="108"/>
  <c r="AR25" i="108"/>
  <c r="AQ25" i="108"/>
  <c r="AP25" i="108"/>
  <c r="AO25" i="108"/>
  <c r="AN25" i="108"/>
  <c r="AM25" i="108"/>
  <c r="AL25" i="108"/>
  <c r="AK25" i="108"/>
  <c r="AJ25" i="108"/>
  <c r="BG24" i="108"/>
  <c r="BF24" i="108"/>
  <c r="BE24" i="108"/>
  <c r="BD24" i="108"/>
  <c r="BC24" i="108"/>
  <c r="BB24" i="108"/>
  <c r="BA24" i="108"/>
  <c r="AZ24" i="108"/>
  <c r="AY24" i="108"/>
  <c r="AX24" i="108"/>
  <c r="AW24" i="108"/>
  <c r="AV24" i="108"/>
  <c r="AU24" i="108"/>
  <c r="AT24" i="108"/>
  <c r="AS24" i="108"/>
  <c r="AR24" i="108"/>
  <c r="AQ24" i="108"/>
  <c r="AP24" i="108"/>
  <c r="AO24" i="108"/>
  <c r="AN24" i="108"/>
  <c r="AM24" i="108"/>
  <c r="AL24" i="108"/>
  <c r="AK24" i="108"/>
  <c r="AJ24" i="108"/>
  <c r="BG23" i="108"/>
  <c r="BF23" i="108"/>
  <c r="BE23" i="108"/>
  <c r="BD23" i="108"/>
  <c r="BC23" i="108"/>
  <c r="BB23" i="108"/>
  <c r="BA23" i="108"/>
  <c r="AZ23" i="108"/>
  <c r="AY23" i="108"/>
  <c r="AX23" i="108"/>
  <c r="AW23" i="108"/>
  <c r="AV23" i="108"/>
  <c r="AU23" i="108"/>
  <c r="AT23" i="108"/>
  <c r="AS23" i="108"/>
  <c r="AR23" i="108"/>
  <c r="AQ23" i="108"/>
  <c r="AP23" i="108"/>
  <c r="AO23" i="108"/>
  <c r="AN23" i="108"/>
  <c r="AM23" i="108"/>
  <c r="AL23" i="108"/>
  <c r="AK23" i="108"/>
  <c r="AJ23" i="108"/>
  <c r="BG22" i="108"/>
  <c r="BF22" i="108"/>
  <c r="BE22" i="108"/>
  <c r="BD22" i="108"/>
  <c r="BC22" i="108"/>
  <c r="BB22" i="108"/>
  <c r="BA22" i="108"/>
  <c r="AZ22" i="108"/>
  <c r="AY22" i="108"/>
  <c r="AX22" i="108"/>
  <c r="AW22" i="108"/>
  <c r="AV22" i="108"/>
  <c r="AU22" i="108"/>
  <c r="AT22" i="108"/>
  <c r="AS22" i="108"/>
  <c r="AR22" i="108"/>
  <c r="AQ22" i="108"/>
  <c r="AP22" i="108"/>
  <c r="AO22" i="108"/>
  <c r="AN22" i="108"/>
  <c r="AM22" i="108"/>
  <c r="AL22" i="108"/>
  <c r="AK22" i="108"/>
  <c r="AJ22" i="108"/>
  <c r="BG21" i="108"/>
  <c r="BF21" i="108"/>
  <c r="BE21" i="108"/>
  <c r="BD21" i="108"/>
  <c r="BC21" i="108"/>
  <c r="BB21" i="108"/>
  <c r="BA21" i="108"/>
  <c r="AZ21" i="108"/>
  <c r="AY21" i="108"/>
  <c r="AX21" i="108"/>
  <c r="AW21" i="108"/>
  <c r="AV21" i="108"/>
  <c r="AU21" i="108"/>
  <c r="AT21" i="108"/>
  <c r="AS21" i="108"/>
  <c r="AR21" i="108"/>
  <c r="AQ21" i="108"/>
  <c r="AP21" i="108"/>
  <c r="AO21" i="108"/>
  <c r="AN21" i="108"/>
  <c r="AM21" i="108"/>
  <c r="AL21" i="108"/>
  <c r="AK21" i="108"/>
  <c r="AJ21" i="108"/>
  <c r="BG20" i="108"/>
  <c r="BF20" i="108"/>
  <c r="BE20" i="108"/>
  <c r="BD20" i="108"/>
  <c r="BC20" i="108"/>
  <c r="BB20" i="108"/>
  <c r="BA20" i="108"/>
  <c r="AZ20" i="108"/>
  <c r="AY20" i="108"/>
  <c r="AX20" i="108"/>
  <c r="AW20" i="108"/>
  <c r="AV20" i="108"/>
  <c r="AU20" i="108"/>
  <c r="AT20" i="108"/>
  <c r="AS20" i="108"/>
  <c r="AR20" i="108"/>
  <c r="AQ20" i="108"/>
  <c r="AP20" i="108"/>
  <c r="AO20" i="108"/>
  <c r="AN20" i="108"/>
  <c r="AM20" i="108"/>
  <c r="AL20" i="108"/>
  <c r="AK20" i="108"/>
  <c r="AJ20" i="108"/>
  <c r="BG19" i="108"/>
  <c r="BF19" i="108"/>
  <c r="BE19" i="108"/>
  <c r="BD19" i="108"/>
  <c r="BC19" i="108"/>
  <c r="BB19" i="108"/>
  <c r="BA19" i="108"/>
  <c r="AZ19" i="108"/>
  <c r="AY19" i="108"/>
  <c r="AX19" i="108"/>
  <c r="AW19" i="108"/>
  <c r="AV19" i="108"/>
  <c r="AU19" i="108"/>
  <c r="AT19" i="108"/>
  <c r="AS19" i="108"/>
  <c r="AR19" i="108"/>
  <c r="AQ19" i="108"/>
  <c r="AP19" i="108"/>
  <c r="AO19" i="108"/>
  <c r="AN19" i="108"/>
  <c r="AM19" i="108"/>
  <c r="AL19" i="108"/>
  <c r="AK19" i="108"/>
  <c r="AJ19" i="108"/>
  <c r="BG18" i="108"/>
  <c r="BF18" i="108"/>
  <c r="BE18" i="108"/>
  <c r="BD18" i="108"/>
  <c r="BC18" i="108"/>
  <c r="BB18" i="108"/>
  <c r="BA18" i="108"/>
  <c r="AZ18" i="108"/>
  <c r="AY18" i="108"/>
  <c r="AX18" i="108"/>
  <c r="AW18" i="108"/>
  <c r="AV18" i="108"/>
  <c r="AU18" i="108"/>
  <c r="AT18" i="108"/>
  <c r="AS18" i="108"/>
  <c r="AR18" i="108"/>
  <c r="AQ18" i="108"/>
  <c r="AP18" i="108"/>
  <c r="AO18" i="108"/>
  <c r="AN18" i="108"/>
  <c r="AM18" i="108"/>
  <c r="AL18" i="108"/>
  <c r="AK18" i="108"/>
  <c r="AJ18" i="108"/>
  <c r="BG17" i="108"/>
  <c r="BF17" i="108"/>
  <c r="BE17" i="108"/>
  <c r="BD17" i="108"/>
  <c r="BC17" i="108"/>
  <c r="BB17" i="108"/>
  <c r="BA17" i="108"/>
  <c r="AZ17" i="108"/>
  <c r="AY17" i="108"/>
  <c r="AX17" i="108"/>
  <c r="AW17" i="108"/>
  <c r="AV17" i="108"/>
  <c r="AU17" i="108"/>
  <c r="AT17" i="108"/>
  <c r="AS17" i="108"/>
  <c r="AR17" i="108"/>
  <c r="AQ17" i="108"/>
  <c r="AP17" i="108"/>
  <c r="AO17" i="108"/>
  <c r="AN17" i="108"/>
  <c r="AM17" i="108"/>
  <c r="AL17" i="108"/>
  <c r="AK17" i="108"/>
  <c r="AJ17" i="108"/>
  <c r="BG16" i="108"/>
  <c r="BF16" i="108"/>
  <c r="BE16" i="108"/>
  <c r="BD16" i="108"/>
  <c r="BC16" i="108"/>
  <c r="BB16" i="108"/>
  <c r="BA16" i="108"/>
  <c r="AZ16" i="108"/>
  <c r="AY16" i="108"/>
  <c r="AX16" i="108"/>
  <c r="AW16" i="108"/>
  <c r="AV16" i="108"/>
  <c r="AU16" i="108"/>
  <c r="AT16" i="108"/>
  <c r="AS16" i="108"/>
  <c r="AR16" i="108"/>
  <c r="AQ16" i="108"/>
  <c r="AP16" i="108"/>
  <c r="AO16" i="108"/>
  <c r="AN16" i="108"/>
  <c r="AM16" i="108"/>
  <c r="AL16" i="108"/>
  <c r="AK16" i="108"/>
  <c r="AJ16" i="108"/>
  <c r="BG15" i="108"/>
  <c r="BF15" i="108"/>
  <c r="BE15" i="108"/>
  <c r="BD15" i="108"/>
  <c r="BC15" i="108"/>
  <c r="BB15" i="108"/>
  <c r="BA15" i="108"/>
  <c r="AZ15" i="108"/>
  <c r="AY15" i="108"/>
  <c r="AX15" i="108"/>
  <c r="AW15" i="108"/>
  <c r="AV15" i="108"/>
  <c r="AU15" i="108"/>
  <c r="AT15" i="108"/>
  <c r="AS15" i="108"/>
  <c r="AR15" i="108"/>
  <c r="AQ15" i="108"/>
  <c r="AP15" i="108"/>
  <c r="AO15" i="108"/>
  <c r="AN15" i="108"/>
  <c r="AM15" i="108"/>
  <c r="AL15" i="108"/>
  <c r="AK15" i="108"/>
  <c r="AJ15" i="108"/>
  <c r="BL14" i="108"/>
  <c r="BK14" i="108"/>
  <c r="BJ14" i="108"/>
  <c r="BI14" i="108"/>
  <c r="BH14" i="108"/>
  <c r="BG14" i="108"/>
  <c r="BF14" i="108"/>
  <c r="BE14" i="108"/>
  <c r="BD14" i="108"/>
  <c r="BC14" i="108"/>
  <c r="BB14" i="108"/>
  <c r="BA14" i="108"/>
  <c r="AZ14" i="108"/>
  <c r="AY14" i="108"/>
  <c r="AX14" i="108"/>
  <c r="AW14" i="108"/>
  <c r="AV14" i="108"/>
  <c r="AU14" i="108"/>
  <c r="AT14" i="108"/>
  <c r="AS14" i="108"/>
  <c r="AR14" i="108"/>
  <c r="AQ14" i="108"/>
  <c r="AP14" i="108"/>
  <c r="AO14" i="108"/>
  <c r="AN14" i="108"/>
  <c r="AM14" i="108"/>
  <c r="AL14" i="108"/>
  <c r="BL13" i="108"/>
  <c r="BK13" i="108"/>
  <c r="BJ13" i="108"/>
  <c r="BI13" i="108"/>
  <c r="BH13" i="108"/>
  <c r="BG13" i="108"/>
  <c r="BF13" i="108"/>
  <c r="BE13" i="108"/>
  <c r="BD13" i="108"/>
  <c r="BA13" i="108"/>
  <c r="AZ13" i="108"/>
  <c r="AY13" i="108"/>
  <c r="AX13" i="108"/>
  <c r="AW13" i="108"/>
  <c r="AV13" i="108"/>
  <c r="AU13" i="108"/>
  <c r="AT13" i="108"/>
  <c r="AS13" i="108"/>
  <c r="AR13" i="108"/>
  <c r="AQ13" i="108"/>
  <c r="AP13" i="108"/>
  <c r="AO13" i="108"/>
  <c r="AN13" i="108"/>
  <c r="AM13" i="108"/>
  <c r="AL13" i="108"/>
  <c r="BG44" i="109"/>
  <c r="BF44" i="109"/>
  <c r="BE44" i="109"/>
  <c r="BD44" i="109"/>
  <c r="BC44" i="109"/>
  <c r="BB44" i="109"/>
  <c r="BA44" i="109"/>
  <c r="AZ44" i="109"/>
  <c r="AY44" i="109"/>
  <c r="AX44" i="109"/>
  <c r="AW44" i="109"/>
  <c r="AV44" i="109"/>
  <c r="AU44" i="109"/>
  <c r="AT44" i="109"/>
  <c r="AS44" i="109"/>
  <c r="AR44" i="109"/>
  <c r="AQ44" i="109"/>
  <c r="AP44" i="109"/>
  <c r="AO44" i="109"/>
  <c r="AN44" i="109"/>
  <c r="AM44" i="109"/>
  <c r="AL44" i="109"/>
  <c r="AK44" i="109"/>
  <c r="AJ44" i="109"/>
  <c r="BG43" i="109"/>
  <c r="BF43" i="109"/>
  <c r="BE43" i="109"/>
  <c r="BD43" i="109"/>
  <c r="BC43" i="109"/>
  <c r="BB43" i="109"/>
  <c r="BA43" i="109"/>
  <c r="AZ43" i="109"/>
  <c r="AY43" i="109"/>
  <c r="AX43" i="109"/>
  <c r="AW43" i="109"/>
  <c r="AV43" i="109"/>
  <c r="AU43" i="109"/>
  <c r="AT43" i="109"/>
  <c r="AS43" i="109"/>
  <c r="AR43" i="109"/>
  <c r="AQ43" i="109"/>
  <c r="AP43" i="109"/>
  <c r="AO43" i="109"/>
  <c r="AN43" i="109"/>
  <c r="AM43" i="109"/>
  <c r="AL43" i="109"/>
  <c r="AK43" i="109"/>
  <c r="AJ43" i="109"/>
  <c r="BG42" i="109"/>
  <c r="BF42" i="109"/>
  <c r="BE42" i="109"/>
  <c r="BD42" i="109"/>
  <c r="BC42" i="109"/>
  <c r="BB42" i="109"/>
  <c r="BA42" i="109"/>
  <c r="AZ42" i="109"/>
  <c r="AY42" i="109"/>
  <c r="AX42" i="109"/>
  <c r="AW42" i="109"/>
  <c r="AV42" i="109"/>
  <c r="AU42" i="109"/>
  <c r="AT42" i="109"/>
  <c r="AS42" i="109"/>
  <c r="AR42" i="109"/>
  <c r="AQ42" i="109"/>
  <c r="AP42" i="109"/>
  <c r="AO42" i="109"/>
  <c r="AN42" i="109"/>
  <c r="AM42" i="109"/>
  <c r="AL42" i="109"/>
  <c r="AK42" i="109"/>
  <c r="AJ42" i="109"/>
  <c r="BG41" i="109"/>
  <c r="BF41" i="109"/>
  <c r="BE41" i="109"/>
  <c r="BD41" i="109"/>
  <c r="BC41" i="109"/>
  <c r="BB41" i="109"/>
  <c r="BA41" i="109"/>
  <c r="AZ41" i="109"/>
  <c r="AY41" i="109"/>
  <c r="AX41" i="109"/>
  <c r="AW41" i="109"/>
  <c r="AV41" i="109"/>
  <c r="AU41" i="109"/>
  <c r="AT41" i="109"/>
  <c r="AS41" i="109"/>
  <c r="AR41" i="109"/>
  <c r="AQ41" i="109"/>
  <c r="AP41" i="109"/>
  <c r="AO41" i="109"/>
  <c r="AN41" i="109"/>
  <c r="AM41" i="109"/>
  <c r="AL41" i="109"/>
  <c r="AK41" i="109"/>
  <c r="AJ41" i="109"/>
  <c r="BG40" i="109"/>
  <c r="BF40" i="109"/>
  <c r="BE40" i="109"/>
  <c r="BD40" i="109"/>
  <c r="BC40" i="109"/>
  <c r="BB40" i="109"/>
  <c r="BA40" i="109"/>
  <c r="AZ40" i="109"/>
  <c r="AY40" i="109"/>
  <c r="AX40" i="109"/>
  <c r="AW40" i="109"/>
  <c r="AV40" i="109"/>
  <c r="AU40" i="109"/>
  <c r="AT40" i="109"/>
  <c r="AS40" i="109"/>
  <c r="AR40" i="109"/>
  <c r="AQ40" i="109"/>
  <c r="AP40" i="109"/>
  <c r="AO40" i="109"/>
  <c r="AN40" i="109"/>
  <c r="AM40" i="109"/>
  <c r="AL40" i="109"/>
  <c r="AK40" i="109"/>
  <c r="AJ40" i="109"/>
  <c r="BG39" i="109"/>
  <c r="BF39" i="109"/>
  <c r="BE39" i="109"/>
  <c r="BD39" i="109"/>
  <c r="BC39" i="109"/>
  <c r="BB39" i="109"/>
  <c r="BA39" i="109"/>
  <c r="AZ39" i="109"/>
  <c r="AY39" i="109"/>
  <c r="AX39" i="109"/>
  <c r="AW39" i="109"/>
  <c r="AV39" i="109"/>
  <c r="AU39" i="109"/>
  <c r="AT39" i="109"/>
  <c r="AS39" i="109"/>
  <c r="AR39" i="109"/>
  <c r="AQ39" i="109"/>
  <c r="AP39" i="109"/>
  <c r="AO39" i="109"/>
  <c r="AN39" i="109"/>
  <c r="AM39" i="109"/>
  <c r="AL39" i="109"/>
  <c r="AK39" i="109"/>
  <c r="AJ39" i="109"/>
  <c r="BG38" i="109"/>
  <c r="BF38" i="109"/>
  <c r="BE38" i="109"/>
  <c r="BD38" i="109"/>
  <c r="BC38" i="109"/>
  <c r="BB38" i="109"/>
  <c r="BA38" i="109"/>
  <c r="AZ38" i="109"/>
  <c r="AY38" i="109"/>
  <c r="AX38" i="109"/>
  <c r="AW38" i="109"/>
  <c r="AV38" i="109"/>
  <c r="AU38" i="109"/>
  <c r="AT38" i="109"/>
  <c r="AS38" i="109"/>
  <c r="AR38" i="109"/>
  <c r="AQ38" i="109"/>
  <c r="AP38" i="109"/>
  <c r="AO38" i="109"/>
  <c r="AN38" i="109"/>
  <c r="AM38" i="109"/>
  <c r="AL38" i="109"/>
  <c r="AK38" i="109"/>
  <c r="AJ38" i="109"/>
  <c r="BG37" i="109"/>
  <c r="BF37" i="109"/>
  <c r="BE37" i="109"/>
  <c r="BD37" i="109"/>
  <c r="BC37" i="109"/>
  <c r="BB37" i="109"/>
  <c r="BA37" i="109"/>
  <c r="AZ37" i="109"/>
  <c r="AY37" i="109"/>
  <c r="AX37" i="109"/>
  <c r="AW37" i="109"/>
  <c r="AV37" i="109"/>
  <c r="AU37" i="109"/>
  <c r="AT37" i="109"/>
  <c r="AS37" i="109"/>
  <c r="AR37" i="109"/>
  <c r="AQ37" i="109"/>
  <c r="AP37" i="109"/>
  <c r="AO37" i="109"/>
  <c r="AN37" i="109"/>
  <c r="AM37" i="109"/>
  <c r="AL37" i="109"/>
  <c r="AK37" i="109"/>
  <c r="AJ37" i="109"/>
  <c r="BG36" i="109"/>
  <c r="BF36" i="109"/>
  <c r="BE36" i="109"/>
  <c r="BD36" i="109"/>
  <c r="BC36" i="109"/>
  <c r="BB36" i="109"/>
  <c r="BA36" i="109"/>
  <c r="AZ36" i="109"/>
  <c r="AY36" i="109"/>
  <c r="AX36" i="109"/>
  <c r="AW36" i="109"/>
  <c r="AV36" i="109"/>
  <c r="AU36" i="109"/>
  <c r="AT36" i="109"/>
  <c r="AS36" i="109"/>
  <c r="AR36" i="109"/>
  <c r="AQ36" i="109"/>
  <c r="AP36" i="109"/>
  <c r="AO36" i="109"/>
  <c r="AN36" i="109"/>
  <c r="AM36" i="109"/>
  <c r="AL36" i="109"/>
  <c r="AK36" i="109"/>
  <c r="AJ36" i="109"/>
  <c r="BG35" i="109"/>
  <c r="BF35" i="109"/>
  <c r="BE35" i="109"/>
  <c r="BD35" i="109"/>
  <c r="BC35" i="109"/>
  <c r="BB35" i="109"/>
  <c r="BA35" i="109"/>
  <c r="AZ35" i="109"/>
  <c r="AY35" i="109"/>
  <c r="AX35" i="109"/>
  <c r="AW35" i="109"/>
  <c r="AV35" i="109"/>
  <c r="AU35" i="109"/>
  <c r="AT35" i="109"/>
  <c r="AS35" i="109"/>
  <c r="AR35" i="109"/>
  <c r="AQ35" i="109"/>
  <c r="AP35" i="109"/>
  <c r="AO35" i="109"/>
  <c r="AN35" i="109"/>
  <c r="AM35" i="109"/>
  <c r="AL35" i="109"/>
  <c r="AK35" i="109"/>
  <c r="AJ35" i="109"/>
  <c r="BG34" i="109"/>
  <c r="BF34" i="109"/>
  <c r="BE34" i="109"/>
  <c r="BD34" i="109"/>
  <c r="BC34" i="109"/>
  <c r="BB34" i="109"/>
  <c r="BA34" i="109"/>
  <c r="AZ34" i="109"/>
  <c r="AY34" i="109"/>
  <c r="AX34" i="109"/>
  <c r="AW34" i="109"/>
  <c r="AV34" i="109"/>
  <c r="AU34" i="109"/>
  <c r="AT34" i="109"/>
  <c r="AS34" i="109"/>
  <c r="AR34" i="109"/>
  <c r="AQ34" i="109"/>
  <c r="AP34" i="109"/>
  <c r="AO34" i="109"/>
  <c r="AN34" i="109"/>
  <c r="AM34" i="109"/>
  <c r="AL34" i="109"/>
  <c r="AK34" i="109"/>
  <c r="AJ34" i="109"/>
  <c r="BG33" i="109"/>
  <c r="BF33" i="109"/>
  <c r="BE33" i="109"/>
  <c r="BD33" i="109"/>
  <c r="BC33" i="109"/>
  <c r="BB33" i="109"/>
  <c r="BA33" i="109"/>
  <c r="AZ33" i="109"/>
  <c r="AY33" i="109"/>
  <c r="AX33" i="109"/>
  <c r="AW33" i="109"/>
  <c r="AV33" i="109"/>
  <c r="AU33" i="109"/>
  <c r="AT33" i="109"/>
  <c r="AS33" i="109"/>
  <c r="AR33" i="109"/>
  <c r="AQ33" i="109"/>
  <c r="AP33" i="109"/>
  <c r="AO33" i="109"/>
  <c r="AN33" i="109"/>
  <c r="AM33" i="109"/>
  <c r="AL33" i="109"/>
  <c r="AK33" i="109"/>
  <c r="AJ33" i="109"/>
  <c r="BG32" i="109"/>
  <c r="BF32" i="109"/>
  <c r="BE32" i="109"/>
  <c r="BD32" i="109"/>
  <c r="BC32" i="109"/>
  <c r="BB32" i="109"/>
  <c r="BA32" i="109"/>
  <c r="AZ32" i="109"/>
  <c r="AY32" i="109"/>
  <c r="AX32" i="109"/>
  <c r="AW32" i="109"/>
  <c r="AV32" i="109"/>
  <c r="AU32" i="109"/>
  <c r="AT32" i="109"/>
  <c r="AS32" i="109"/>
  <c r="AR32" i="109"/>
  <c r="AQ32" i="109"/>
  <c r="AP32" i="109"/>
  <c r="AO32" i="109"/>
  <c r="AN32" i="109"/>
  <c r="AM32" i="109"/>
  <c r="AL32" i="109"/>
  <c r="AK32" i="109"/>
  <c r="AJ32" i="109"/>
  <c r="BG31" i="109"/>
  <c r="BF31" i="109"/>
  <c r="BE31" i="109"/>
  <c r="BD31" i="109"/>
  <c r="BC31" i="109"/>
  <c r="BB31" i="109"/>
  <c r="BA31" i="109"/>
  <c r="AZ31" i="109"/>
  <c r="AY31" i="109"/>
  <c r="AX31" i="109"/>
  <c r="AW31" i="109"/>
  <c r="AV31" i="109"/>
  <c r="AU31" i="109"/>
  <c r="AT31" i="109"/>
  <c r="AS31" i="109"/>
  <c r="AR31" i="109"/>
  <c r="AQ31" i="109"/>
  <c r="AP31" i="109"/>
  <c r="AO31" i="109"/>
  <c r="AN31" i="109"/>
  <c r="AM31" i="109"/>
  <c r="AL31" i="109"/>
  <c r="AK31" i="109"/>
  <c r="AJ31" i="109"/>
  <c r="BG30" i="109"/>
  <c r="BF30" i="109"/>
  <c r="BE30" i="109"/>
  <c r="BD30" i="109"/>
  <c r="BC30" i="109"/>
  <c r="BB30" i="109"/>
  <c r="BA30" i="109"/>
  <c r="AZ30" i="109"/>
  <c r="AY30" i="109"/>
  <c r="AX30" i="109"/>
  <c r="AW30" i="109"/>
  <c r="AV30" i="109"/>
  <c r="AU30" i="109"/>
  <c r="AT30" i="109"/>
  <c r="AS30" i="109"/>
  <c r="AR30" i="109"/>
  <c r="AQ30" i="109"/>
  <c r="AP30" i="109"/>
  <c r="AO30" i="109"/>
  <c r="AN30" i="109"/>
  <c r="AM30" i="109"/>
  <c r="AL30" i="109"/>
  <c r="AK30" i="109"/>
  <c r="AJ30" i="109"/>
  <c r="BG29" i="109"/>
  <c r="BF29" i="109"/>
  <c r="BE29" i="109"/>
  <c r="BD29" i="109"/>
  <c r="BC29" i="109"/>
  <c r="BB29" i="109"/>
  <c r="BA29" i="109"/>
  <c r="AZ29" i="109"/>
  <c r="AY29" i="109"/>
  <c r="AX29" i="109"/>
  <c r="AW29" i="109"/>
  <c r="AV29" i="109"/>
  <c r="AU29" i="109"/>
  <c r="AT29" i="109"/>
  <c r="AS29" i="109"/>
  <c r="AR29" i="109"/>
  <c r="AQ29" i="109"/>
  <c r="AP29" i="109"/>
  <c r="AO29" i="109"/>
  <c r="AN29" i="109"/>
  <c r="AM29" i="109"/>
  <c r="AL29" i="109"/>
  <c r="AK29" i="109"/>
  <c r="AJ29" i="109"/>
  <c r="BG28" i="109"/>
  <c r="BF28" i="109"/>
  <c r="BE28" i="109"/>
  <c r="BD28" i="109"/>
  <c r="BC28" i="109"/>
  <c r="BB28" i="109"/>
  <c r="BA28" i="109"/>
  <c r="AZ28" i="109"/>
  <c r="AY28" i="109"/>
  <c r="AX28" i="109"/>
  <c r="AW28" i="109"/>
  <c r="AV28" i="109"/>
  <c r="AU28" i="109"/>
  <c r="AT28" i="109"/>
  <c r="AS28" i="109"/>
  <c r="AR28" i="109"/>
  <c r="AQ28" i="109"/>
  <c r="AP28" i="109"/>
  <c r="AO28" i="109"/>
  <c r="AN28" i="109"/>
  <c r="AM28" i="109"/>
  <c r="AL28" i="109"/>
  <c r="AK28" i="109"/>
  <c r="AJ28" i="109"/>
  <c r="BG27" i="109"/>
  <c r="BF27" i="109"/>
  <c r="BE27" i="109"/>
  <c r="BD27" i="109"/>
  <c r="BC27" i="109"/>
  <c r="BB27" i="109"/>
  <c r="BA27" i="109"/>
  <c r="AZ27" i="109"/>
  <c r="AY27" i="109"/>
  <c r="AX27" i="109"/>
  <c r="AW27" i="109"/>
  <c r="AV27" i="109"/>
  <c r="AU27" i="109"/>
  <c r="AT27" i="109"/>
  <c r="AS27" i="109"/>
  <c r="AR27" i="109"/>
  <c r="AQ27" i="109"/>
  <c r="AP27" i="109"/>
  <c r="AO27" i="109"/>
  <c r="AN27" i="109"/>
  <c r="AM27" i="109"/>
  <c r="AL27" i="109"/>
  <c r="AK27" i="109"/>
  <c r="AJ27" i="109"/>
  <c r="BG26" i="109"/>
  <c r="BF26" i="109"/>
  <c r="BE26" i="109"/>
  <c r="BD26" i="109"/>
  <c r="BC26" i="109"/>
  <c r="BB26" i="109"/>
  <c r="BA26" i="109"/>
  <c r="AZ26" i="109"/>
  <c r="AY26" i="109"/>
  <c r="AX26" i="109"/>
  <c r="AW26" i="109"/>
  <c r="AV26" i="109"/>
  <c r="AU26" i="109"/>
  <c r="AT26" i="109"/>
  <c r="AS26" i="109"/>
  <c r="AR26" i="109"/>
  <c r="AQ26" i="109"/>
  <c r="AP26" i="109"/>
  <c r="AO26" i="109"/>
  <c r="AN26" i="109"/>
  <c r="AM26" i="109"/>
  <c r="AL26" i="109"/>
  <c r="AK26" i="109"/>
  <c r="AJ26" i="109"/>
  <c r="BG25" i="109"/>
  <c r="BF25" i="109"/>
  <c r="BE25" i="109"/>
  <c r="BD25" i="109"/>
  <c r="BC25" i="109"/>
  <c r="BB25" i="109"/>
  <c r="BA25" i="109"/>
  <c r="AZ25" i="109"/>
  <c r="AY25" i="109"/>
  <c r="AX25" i="109"/>
  <c r="AW25" i="109"/>
  <c r="AV25" i="109"/>
  <c r="AU25" i="109"/>
  <c r="AT25" i="109"/>
  <c r="AS25" i="109"/>
  <c r="AR25" i="109"/>
  <c r="AQ25" i="109"/>
  <c r="AP25" i="109"/>
  <c r="AO25" i="109"/>
  <c r="AN25" i="109"/>
  <c r="AM25" i="109"/>
  <c r="AL25" i="109"/>
  <c r="AK25" i="109"/>
  <c r="AJ25" i="109"/>
  <c r="BG24" i="109"/>
  <c r="BF24" i="109"/>
  <c r="BE24" i="109"/>
  <c r="BD24" i="109"/>
  <c r="BC24" i="109"/>
  <c r="BB24" i="109"/>
  <c r="BA24" i="109"/>
  <c r="AZ24" i="109"/>
  <c r="AY24" i="109"/>
  <c r="AX24" i="109"/>
  <c r="AW24" i="109"/>
  <c r="AV24" i="109"/>
  <c r="AU24" i="109"/>
  <c r="AT24" i="109"/>
  <c r="AS24" i="109"/>
  <c r="AR24" i="109"/>
  <c r="AQ24" i="109"/>
  <c r="AP24" i="109"/>
  <c r="AO24" i="109"/>
  <c r="AN24" i="109"/>
  <c r="AM24" i="109"/>
  <c r="AL24" i="109"/>
  <c r="AK24" i="109"/>
  <c r="AJ24" i="109"/>
  <c r="BG23" i="109"/>
  <c r="BF23" i="109"/>
  <c r="BE23" i="109"/>
  <c r="BD23" i="109"/>
  <c r="BC23" i="109"/>
  <c r="BB23" i="109"/>
  <c r="BA23" i="109"/>
  <c r="AZ23" i="109"/>
  <c r="AY23" i="109"/>
  <c r="AX23" i="109"/>
  <c r="AW23" i="109"/>
  <c r="AV23" i="109"/>
  <c r="AU23" i="109"/>
  <c r="AT23" i="109"/>
  <c r="AS23" i="109"/>
  <c r="AR23" i="109"/>
  <c r="AQ23" i="109"/>
  <c r="AP23" i="109"/>
  <c r="AO23" i="109"/>
  <c r="AN23" i="109"/>
  <c r="AM23" i="109"/>
  <c r="AL23" i="109"/>
  <c r="AK23" i="109"/>
  <c r="AJ23" i="109"/>
  <c r="BG22" i="109"/>
  <c r="BF22" i="109"/>
  <c r="BE22" i="109"/>
  <c r="BD22" i="109"/>
  <c r="BC22" i="109"/>
  <c r="BB22" i="109"/>
  <c r="BA22" i="109"/>
  <c r="AZ22" i="109"/>
  <c r="AY22" i="109"/>
  <c r="AX22" i="109"/>
  <c r="AW22" i="109"/>
  <c r="AV22" i="109"/>
  <c r="AU22" i="109"/>
  <c r="AT22" i="109"/>
  <c r="AS22" i="109"/>
  <c r="AR22" i="109"/>
  <c r="AQ22" i="109"/>
  <c r="AP22" i="109"/>
  <c r="AO22" i="109"/>
  <c r="AN22" i="109"/>
  <c r="AM22" i="109"/>
  <c r="AL22" i="109"/>
  <c r="AK22" i="109"/>
  <c r="AJ22" i="109"/>
  <c r="BG21" i="109"/>
  <c r="BF21" i="109"/>
  <c r="BE21" i="109"/>
  <c r="BD21" i="109"/>
  <c r="BC21" i="109"/>
  <c r="BB21" i="109"/>
  <c r="BA21" i="109"/>
  <c r="AZ21" i="109"/>
  <c r="AY21" i="109"/>
  <c r="AX21" i="109"/>
  <c r="AW21" i="109"/>
  <c r="AV21" i="109"/>
  <c r="AU21" i="109"/>
  <c r="AT21" i="109"/>
  <c r="AS21" i="109"/>
  <c r="AR21" i="109"/>
  <c r="AQ21" i="109"/>
  <c r="AP21" i="109"/>
  <c r="AO21" i="109"/>
  <c r="AN21" i="109"/>
  <c r="AM21" i="109"/>
  <c r="AL21" i="109"/>
  <c r="AK21" i="109"/>
  <c r="AJ21" i="109"/>
  <c r="BG20" i="109"/>
  <c r="BF20" i="109"/>
  <c r="BE20" i="109"/>
  <c r="BD20" i="109"/>
  <c r="BC20" i="109"/>
  <c r="BB20" i="109"/>
  <c r="BA20" i="109"/>
  <c r="AZ20" i="109"/>
  <c r="AY20" i="109"/>
  <c r="AX20" i="109"/>
  <c r="AW20" i="109"/>
  <c r="AV20" i="109"/>
  <c r="AU20" i="109"/>
  <c r="AT20" i="109"/>
  <c r="AS20" i="109"/>
  <c r="AR20" i="109"/>
  <c r="AQ20" i="109"/>
  <c r="AP20" i="109"/>
  <c r="AO20" i="109"/>
  <c r="AN20" i="109"/>
  <c r="AM20" i="109"/>
  <c r="AL20" i="109"/>
  <c r="AK20" i="109"/>
  <c r="AJ20" i="109"/>
  <c r="BG19" i="109"/>
  <c r="BF19" i="109"/>
  <c r="BE19" i="109"/>
  <c r="BD19" i="109"/>
  <c r="BC19" i="109"/>
  <c r="BB19" i="109"/>
  <c r="BA19" i="109"/>
  <c r="AZ19" i="109"/>
  <c r="AY19" i="109"/>
  <c r="AX19" i="109"/>
  <c r="AW19" i="109"/>
  <c r="AV19" i="109"/>
  <c r="AU19" i="109"/>
  <c r="AT19" i="109"/>
  <c r="AS19" i="109"/>
  <c r="AR19" i="109"/>
  <c r="AQ19" i="109"/>
  <c r="AP19" i="109"/>
  <c r="AO19" i="109"/>
  <c r="AN19" i="109"/>
  <c r="AM19" i="109"/>
  <c r="AL19" i="109"/>
  <c r="AK19" i="109"/>
  <c r="AJ19" i="109"/>
  <c r="BG18" i="109"/>
  <c r="BF18" i="109"/>
  <c r="BE18" i="109"/>
  <c r="BD18" i="109"/>
  <c r="BC18" i="109"/>
  <c r="BB18" i="109"/>
  <c r="BA18" i="109"/>
  <c r="AZ18" i="109"/>
  <c r="AY18" i="109"/>
  <c r="AX18" i="109"/>
  <c r="AW18" i="109"/>
  <c r="AV18" i="109"/>
  <c r="AU18" i="109"/>
  <c r="AT18" i="109"/>
  <c r="AS18" i="109"/>
  <c r="AR18" i="109"/>
  <c r="AQ18" i="109"/>
  <c r="AP18" i="109"/>
  <c r="AO18" i="109"/>
  <c r="AN18" i="109"/>
  <c r="AM18" i="109"/>
  <c r="AL18" i="109"/>
  <c r="AK18" i="109"/>
  <c r="AJ18" i="109"/>
  <c r="BG17" i="109"/>
  <c r="BF17" i="109"/>
  <c r="BE17" i="109"/>
  <c r="BD17" i="109"/>
  <c r="BC17" i="109"/>
  <c r="BB17" i="109"/>
  <c r="BA17" i="109"/>
  <c r="AZ17" i="109"/>
  <c r="AY17" i="109"/>
  <c r="AX17" i="109"/>
  <c r="AW17" i="109"/>
  <c r="AV17" i="109"/>
  <c r="AU17" i="109"/>
  <c r="AT17" i="109"/>
  <c r="AS17" i="109"/>
  <c r="AR17" i="109"/>
  <c r="AQ17" i="109"/>
  <c r="AP17" i="109"/>
  <c r="AO17" i="109"/>
  <c r="AN17" i="109"/>
  <c r="AM17" i="109"/>
  <c r="AL17" i="109"/>
  <c r="AK17" i="109"/>
  <c r="AJ17" i="109"/>
  <c r="BG16" i="109"/>
  <c r="BF16" i="109"/>
  <c r="BE16" i="109"/>
  <c r="BD16" i="109"/>
  <c r="BC16" i="109"/>
  <c r="BB16" i="109"/>
  <c r="BA16" i="109"/>
  <c r="AZ16" i="109"/>
  <c r="AY16" i="109"/>
  <c r="AX16" i="109"/>
  <c r="AW16" i="109"/>
  <c r="AV16" i="109"/>
  <c r="AU16" i="109"/>
  <c r="AT16" i="109"/>
  <c r="AS16" i="109"/>
  <c r="AR16" i="109"/>
  <c r="AQ16" i="109"/>
  <c r="AP16" i="109"/>
  <c r="AO16" i="109"/>
  <c r="AN16" i="109"/>
  <c r="AM16" i="109"/>
  <c r="AL16" i="109"/>
  <c r="AK16" i="109"/>
  <c r="AJ16" i="109"/>
  <c r="BG15" i="109"/>
  <c r="BF15" i="109"/>
  <c r="BE15" i="109"/>
  <c r="BD15" i="109"/>
  <c r="BC15" i="109"/>
  <c r="BB15" i="109"/>
  <c r="BA15" i="109"/>
  <c r="AZ15" i="109"/>
  <c r="AY15" i="109"/>
  <c r="AX15" i="109"/>
  <c r="AW15" i="109"/>
  <c r="AV15" i="109"/>
  <c r="AU15" i="109"/>
  <c r="AT15" i="109"/>
  <c r="AS15" i="109"/>
  <c r="AR15" i="109"/>
  <c r="AQ15" i="109"/>
  <c r="AP15" i="109"/>
  <c r="AO15" i="109"/>
  <c r="AN15" i="109"/>
  <c r="AM15" i="109"/>
  <c r="AL15" i="109"/>
  <c r="AK15" i="109"/>
  <c r="AJ15" i="109"/>
  <c r="BL14" i="109"/>
  <c r="BK14" i="109"/>
  <c r="BJ14" i="109"/>
  <c r="BI14" i="109"/>
  <c r="BH14" i="109"/>
  <c r="BG14" i="109"/>
  <c r="BF14" i="109"/>
  <c r="BE14" i="109"/>
  <c r="BD14" i="109"/>
  <c r="BC14" i="109"/>
  <c r="BB14" i="109"/>
  <c r="BA14" i="109"/>
  <c r="AZ14" i="109"/>
  <c r="AY14" i="109"/>
  <c r="AX14" i="109"/>
  <c r="AW14" i="109"/>
  <c r="AV14" i="109"/>
  <c r="AU14" i="109"/>
  <c r="AT14" i="109"/>
  <c r="AS14" i="109"/>
  <c r="AR14" i="109"/>
  <c r="AQ14" i="109"/>
  <c r="AP14" i="109"/>
  <c r="AO14" i="109"/>
  <c r="AN14" i="109"/>
  <c r="AM14" i="109"/>
  <c r="AL14" i="109"/>
  <c r="BL13" i="109"/>
  <c r="BK13" i="109"/>
  <c r="BJ13" i="109"/>
  <c r="BI13" i="109"/>
  <c r="BH13" i="109"/>
  <c r="BG13" i="109"/>
  <c r="BF13" i="109"/>
  <c r="BE13" i="109"/>
  <c r="BD13" i="109"/>
  <c r="BA13" i="109"/>
  <c r="AZ13" i="109"/>
  <c r="AY13" i="109"/>
  <c r="AX13" i="109"/>
  <c r="AW13" i="109"/>
  <c r="AV13" i="109"/>
  <c r="AU13" i="109"/>
  <c r="AT13" i="109"/>
  <c r="AS13" i="109"/>
  <c r="AR13" i="109"/>
  <c r="AQ13" i="109"/>
  <c r="AP13" i="109"/>
  <c r="AO13" i="109"/>
  <c r="AN13" i="109"/>
  <c r="AM13" i="109"/>
  <c r="AL13" i="109"/>
  <c r="BG44" i="110"/>
  <c r="BF44" i="110"/>
  <c r="BE44" i="110"/>
  <c r="BD44" i="110"/>
  <c r="BC44" i="110"/>
  <c r="BB44" i="110"/>
  <c r="BA44" i="110"/>
  <c r="AZ44" i="110"/>
  <c r="AY44" i="110"/>
  <c r="AX44" i="110"/>
  <c r="AW44" i="110"/>
  <c r="AV44" i="110"/>
  <c r="AU44" i="110"/>
  <c r="AT44" i="110"/>
  <c r="AS44" i="110"/>
  <c r="AR44" i="110"/>
  <c r="AQ44" i="110"/>
  <c r="AP44" i="110"/>
  <c r="AO44" i="110"/>
  <c r="AN44" i="110"/>
  <c r="AM44" i="110"/>
  <c r="AL44" i="110"/>
  <c r="AK44" i="110"/>
  <c r="AJ44" i="110"/>
  <c r="BG43" i="110"/>
  <c r="BF43" i="110"/>
  <c r="BE43" i="110"/>
  <c r="BD43" i="110"/>
  <c r="BC43" i="110"/>
  <c r="BB43" i="110"/>
  <c r="BA43" i="110"/>
  <c r="AZ43" i="110"/>
  <c r="AY43" i="110"/>
  <c r="AX43" i="110"/>
  <c r="AW43" i="110"/>
  <c r="AV43" i="110"/>
  <c r="AU43" i="110"/>
  <c r="AT43" i="110"/>
  <c r="AS43" i="110"/>
  <c r="AR43" i="110"/>
  <c r="AQ43" i="110"/>
  <c r="AP43" i="110"/>
  <c r="AO43" i="110"/>
  <c r="AN43" i="110"/>
  <c r="AM43" i="110"/>
  <c r="AL43" i="110"/>
  <c r="AK43" i="110"/>
  <c r="AJ43" i="110"/>
  <c r="BG42" i="110"/>
  <c r="BF42" i="110"/>
  <c r="BE42" i="110"/>
  <c r="BD42" i="110"/>
  <c r="BC42" i="110"/>
  <c r="BB42" i="110"/>
  <c r="BA42" i="110"/>
  <c r="AZ42" i="110"/>
  <c r="AY42" i="110"/>
  <c r="AX42" i="110"/>
  <c r="AW42" i="110"/>
  <c r="AV42" i="110"/>
  <c r="AU42" i="110"/>
  <c r="AT42" i="110"/>
  <c r="AS42" i="110"/>
  <c r="AR42" i="110"/>
  <c r="AQ42" i="110"/>
  <c r="AP42" i="110"/>
  <c r="AO42" i="110"/>
  <c r="AN42" i="110"/>
  <c r="AM42" i="110"/>
  <c r="AL42" i="110"/>
  <c r="AK42" i="110"/>
  <c r="AJ42" i="110"/>
  <c r="BG41" i="110"/>
  <c r="BF41" i="110"/>
  <c r="BE41" i="110"/>
  <c r="BD41" i="110"/>
  <c r="BC41" i="110"/>
  <c r="BB41" i="110"/>
  <c r="BA41" i="110"/>
  <c r="AZ41" i="110"/>
  <c r="AY41" i="110"/>
  <c r="AX41" i="110"/>
  <c r="AW41" i="110"/>
  <c r="AV41" i="110"/>
  <c r="AU41" i="110"/>
  <c r="AT41" i="110"/>
  <c r="AS41" i="110"/>
  <c r="AR41" i="110"/>
  <c r="AQ41" i="110"/>
  <c r="AP41" i="110"/>
  <c r="AO41" i="110"/>
  <c r="AN41" i="110"/>
  <c r="AM41" i="110"/>
  <c r="AL41" i="110"/>
  <c r="AK41" i="110"/>
  <c r="AJ41" i="110"/>
  <c r="BG40" i="110"/>
  <c r="BF40" i="110"/>
  <c r="BE40" i="110"/>
  <c r="BD40" i="110"/>
  <c r="BC40" i="110"/>
  <c r="BB40" i="110"/>
  <c r="BA40" i="110"/>
  <c r="AZ40" i="110"/>
  <c r="AY40" i="110"/>
  <c r="AX40" i="110"/>
  <c r="AW40" i="110"/>
  <c r="AV40" i="110"/>
  <c r="AU40" i="110"/>
  <c r="AT40" i="110"/>
  <c r="AS40" i="110"/>
  <c r="AR40" i="110"/>
  <c r="AQ40" i="110"/>
  <c r="AP40" i="110"/>
  <c r="AO40" i="110"/>
  <c r="AN40" i="110"/>
  <c r="AM40" i="110"/>
  <c r="AL40" i="110"/>
  <c r="AK40" i="110"/>
  <c r="AJ40" i="110"/>
  <c r="BG39" i="110"/>
  <c r="BF39" i="110"/>
  <c r="BE39" i="110"/>
  <c r="BD39" i="110"/>
  <c r="BC39" i="110"/>
  <c r="BB39" i="110"/>
  <c r="BA39" i="110"/>
  <c r="AZ39" i="110"/>
  <c r="AY39" i="110"/>
  <c r="AX39" i="110"/>
  <c r="AW39" i="110"/>
  <c r="AV39" i="110"/>
  <c r="AU39" i="110"/>
  <c r="AT39" i="110"/>
  <c r="AS39" i="110"/>
  <c r="AR39" i="110"/>
  <c r="AQ39" i="110"/>
  <c r="AP39" i="110"/>
  <c r="AO39" i="110"/>
  <c r="AN39" i="110"/>
  <c r="AM39" i="110"/>
  <c r="AL39" i="110"/>
  <c r="AK39" i="110"/>
  <c r="AJ39" i="110"/>
  <c r="BG38" i="110"/>
  <c r="BF38" i="110"/>
  <c r="BE38" i="110"/>
  <c r="BD38" i="110"/>
  <c r="BC38" i="110"/>
  <c r="BB38" i="110"/>
  <c r="BA38" i="110"/>
  <c r="AZ38" i="110"/>
  <c r="AY38" i="110"/>
  <c r="AX38" i="110"/>
  <c r="AW38" i="110"/>
  <c r="AV38" i="110"/>
  <c r="AU38" i="110"/>
  <c r="AT38" i="110"/>
  <c r="AS38" i="110"/>
  <c r="AR38" i="110"/>
  <c r="AQ38" i="110"/>
  <c r="AP38" i="110"/>
  <c r="AO38" i="110"/>
  <c r="AN38" i="110"/>
  <c r="AM38" i="110"/>
  <c r="AL38" i="110"/>
  <c r="AK38" i="110"/>
  <c r="AJ38" i="110"/>
  <c r="BG37" i="110"/>
  <c r="BF37" i="110"/>
  <c r="BE37" i="110"/>
  <c r="BD37" i="110"/>
  <c r="BC37" i="110"/>
  <c r="BB37" i="110"/>
  <c r="BA37" i="110"/>
  <c r="AZ37" i="110"/>
  <c r="AY37" i="110"/>
  <c r="AX37" i="110"/>
  <c r="AW37" i="110"/>
  <c r="AV37" i="110"/>
  <c r="AU37" i="110"/>
  <c r="AT37" i="110"/>
  <c r="AS37" i="110"/>
  <c r="AR37" i="110"/>
  <c r="AQ37" i="110"/>
  <c r="AP37" i="110"/>
  <c r="AO37" i="110"/>
  <c r="AN37" i="110"/>
  <c r="AM37" i="110"/>
  <c r="AL37" i="110"/>
  <c r="AK37" i="110"/>
  <c r="AJ37" i="110"/>
  <c r="BG36" i="110"/>
  <c r="BF36" i="110"/>
  <c r="BE36" i="110"/>
  <c r="BD36" i="110"/>
  <c r="BC36" i="110"/>
  <c r="BB36" i="110"/>
  <c r="BA36" i="110"/>
  <c r="AZ36" i="110"/>
  <c r="AY36" i="110"/>
  <c r="AX36" i="110"/>
  <c r="AW36" i="110"/>
  <c r="AV36" i="110"/>
  <c r="AU36" i="110"/>
  <c r="AT36" i="110"/>
  <c r="AS36" i="110"/>
  <c r="AR36" i="110"/>
  <c r="AQ36" i="110"/>
  <c r="AP36" i="110"/>
  <c r="AO36" i="110"/>
  <c r="AN36" i="110"/>
  <c r="AM36" i="110"/>
  <c r="AL36" i="110"/>
  <c r="AK36" i="110"/>
  <c r="AJ36" i="110"/>
  <c r="BG35" i="110"/>
  <c r="BF35" i="110"/>
  <c r="BE35" i="110"/>
  <c r="BD35" i="110"/>
  <c r="BC35" i="110"/>
  <c r="BB35" i="110"/>
  <c r="BA35" i="110"/>
  <c r="AZ35" i="110"/>
  <c r="AY35" i="110"/>
  <c r="AX35" i="110"/>
  <c r="AW35" i="110"/>
  <c r="AV35" i="110"/>
  <c r="AU35" i="110"/>
  <c r="AT35" i="110"/>
  <c r="AS35" i="110"/>
  <c r="AR35" i="110"/>
  <c r="AQ35" i="110"/>
  <c r="AP35" i="110"/>
  <c r="AO35" i="110"/>
  <c r="AN35" i="110"/>
  <c r="AM35" i="110"/>
  <c r="AL35" i="110"/>
  <c r="AK35" i="110"/>
  <c r="AJ35" i="110"/>
  <c r="BG34" i="110"/>
  <c r="BF34" i="110"/>
  <c r="BE34" i="110"/>
  <c r="BD34" i="110"/>
  <c r="BC34" i="110"/>
  <c r="BB34" i="110"/>
  <c r="BA34" i="110"/>
  <c r="AZ34" i="110"/>
  <c r="AY34" i="110"/>
  <c r="AX34" i="110"/>
  <c r="AW34" i="110"/>
  <c r="AV34" i="110"/>
  <c r="AU34" i="110"/>
  <c r="AT34" i="110"/>
  <c r="AS34" i="110"/>
  <c r="AR34" i="110"/>
  <c r="AQ34" i="110"/>
  <c r="AP34" i="110"/>
  <c r="AO34" i="110"/>
  <c r="AN34" i="110"/>
  <c r="AM34" i="110"/>
  <c r="AL34" i="110"/>
  <c r="AK34" i="110"/>
  <c r="AJ34" i="110"/>
  <c r="BG33" i="110"/>
  <c r="BF33" i="110"/>
  <c r="BE33" i="110"/>
  <c r="BD33" i="110"/>
  <c r="BC33" i="110"/>
  <c r="BB33" i="110"/>
  <c r="BA33" i="110"/>
  <c r="AZ33" i="110"/>
  <c r="AY33" i="110"/>
  <c r="AX33" i="110"/>
  <c r="AW33" i="110"/>
  <c r="AV33" i="110"/>
  <c r="AU33" i="110"/>
  <c r="AT33" i="110"/>
  <c r="AS33" i="110"/>
  <c r="AR33" i="110"/>
  <c r="AQ33" i="110"/>
  <c r="AP33" i="110"/>
  <c r="AO33" i="110"/>
  <c r="AN33" i="110"/>
  <c r="AM33" i="110"/>
  <c r="AL33" i="110"/>
  <c r="AK33" i="110"/>
  <c r="AJ33" i="110"/>
  <c r="BG32" i="110"/>
  <c r="BF32" i="110"/>
  <c r="BE32" i="110"/>
  <c r="BD32" i="110"/>
  <c r="BC32" i="110"/>
  <c r="BB32" i="110"/>
  <c r="BA32" i="110"/>
  <c r="AZ32" i="110"/>
  <c r="AY32" i="110"/>
  <c r="AX32" i="110"/>
  <c r="AW32" i="110"/>
  <c r="AV32" i="110"/>
  <c r="AU32" i="110"/>
  <c r="AT32" i="110"/>
  <c r="AS32" i="110"/>
  <c r="AR32" i="110"/>
  <c r="AQ32" i="110"/>
  <c r="AP32" i="110"/>
  <c r="AO32" i="110"/>
  <c r="AN32" i="110"/>
  <c r="AM32" i="110"/>
  <c r="AL32" i="110"/>
  <c r="AK32" i="110"/>
  <c r="AJ32" i="110"/>
  <c r="BG31" i="110"/>
  <c r="BF31" i="110"/>
  <c r="BE31" i="110"/>
  <c r="BD31" i="110"/>
  <c r="BC31" i="110"/>
  <c r="BB31" i="110"/>
  <c r="BA31" i="110"/>
  <c r="AZ31" i="110"/>
  <c r="AY31" i="110"/>
  <c r="AX31" i="110"/>
  <c r="AW31" i="110"/>
  <c r="AV31" i="110"/>
  <c r="AU31" i="110"/>
  <c r="AT31" i="110"/>
  <c r="AS31" i="110"/>
  <c r="AR31" i="110"/>
  <c r="AQ31" i="110"/>
  <c r="AP31" i="110"/>
  <c r="AO31" i="110"/>
  <c r="AN31" i="110"/>
  <c r="AM31" i="110"/>
  <c r="AL31" i="110"/>
  <c r="AK31" i="110"/>
  <c r="AJ31" i="110"/>
  <c r="BG30" i="110"/>
  <c r="BF30" i="110"/>
  <c r="BE30" i="110"/>
  <c r="BD30" i="110"/>
  <c r="BC30" i="110"/>
  <c r="BB30" i="110"/>
  <c r="BA30" i="110"/>
  <c r="AZ30" i="110"/>
  <c r="AY30" i="110"/>
  <c r="AX30" i="110"/>
  <c r="AW30" i="110"/>
  <c r="AV30" i="110"/>
  <c r="AU30" i="110"/>
  <c r="AT30" i="110"/>
  <c r="AS30" i="110"/>
  <c r="AR30" i="110"/>
  <c r="AQ30" i="110"/>
  <c r="AP30" i="110"/>
  <c r="AO30" i="110"/>
  <c r="AN30" i="110"/>
  <c r="AM30" i="110"/>
  <c r="AL30" i="110"/>
  <c r="AK30" i="110"/>
  <c r="AJ30" i="110"/>
  <c r="BG29" i="110"/>
  <c r="BF29" i="110"/>
  <c r="BE29" i="110"/>
  <c r="BD29" i="110"/>
  <c r="BC29" i="110"/>
  <c r="BB29" i="110"/>
  <c r="BA29" i="110"/>
  <c r="AZ29" i="110"/>
  <c r="AY29" i="110"/>
  <c r="AX29" i="110"/>
  <c r="AW29" i="110"/>
  <c r="AV29" i="110"/>
  <c r="AU29" i="110"/>
  <c r="AT29" i="110"/>
  <c r="AS29" i="110"/>
  <c r="AR29" i="110"/>
  <c r="AQ29" i="110"/>
  <c r="AP29" i="110"/>
  <c r="AO29" i="110"/>
  <c r="AN29" i="110"/>
  <c r="AM29" i="110"/>
  <c r="AL29" i="110"/>
  <c r="AK29" i="110"/>
  <c r="AJ29" i="110"/>
  <c r="BG28" i="110"/>
  <c r="BF28" i="110"/>
  <c r="BE28" i="110"/>
  <c r="BD28" i="110"/>
  <c r="BC28" i="110"/>
  <c r="BB28" i="110"/>
  <c r="BA28" i="110"/>
  <c r="AZ28" i="110"/>
  <c r="AY28" i="110"/>
  <c r="AX28" i="110"/>
  <c r="AW28" i="110"/>
  <c r="AV28" i="110"/>
  <c r="AU28" i="110"/>
  <c r="AT28" i="110"/>
  <c r="AS28" i="110"/>
  <c r="AR28" i="110"/>
  <c r="AQ28" i="110"/>
  <c r="AP28" i="110"/>
  <c r="AO28" i="110"/>
  <c r="AN28" i="110"/>
  <c r="AM28" i="110"/>
  <c r="AL28" i="110"/>
  <c r="AK28" i="110"/>
  <c r="AJ28" i="110"/>
  <c r="BG27" i="110"/>
  <c r="BF27" i="110"/>
  <c r="BE27" i="110"/>
  <c r="BD27" i="110"/>
  <c r="BC27" i="110"/>
  <c r="BB27" i="110"/>
  <c r="BA27" i="110"/>
  <c r="AZ27" i="110"/>
  <c r="AY27" i="110"/>
  <c r="AX27" i="110"/>
  <c r="AW27" i="110"/>
  <c r="AV27" i="110"/>
  <c r="AU27" i="110"/>
  <c r="AT27" i="110"/>
  <c r="AS27" i="110"/>
  <c r="AR27" i="110"/>
  <c r="AQ27" i="110"/>
  <c r="AP27" i="110"/>
  <c r="AO27" i="110"/>
  <c r="AN27" i="110"/>
  <c r="AM27" i="110"/>
  <c r="AL27" i="110"/>
  <c r="AK27" i="110"/>
  <c r="AJ27" i="110"/>
  <c r="BG26" i="110"/>
  <c r="BF26" i="110"/>
  <c r="BE26" i="110"/>
  <c r="BD26" i="110"/>
  <c r="BC26" i="110"/>
  <c r="BB26" i="110"/>
  <c r="BA26" i="110"/>
  <c r="AZ26" i="110"/>
  <c r="AY26" i="110"/>
  <c r="AX26" i="110"/>
  <c r="AW26" i="110"/>
  <c r="AV26" i="110"/>
  <c r="AU26" i="110"/>
  <c r="AT26" i="110"/>
  <c r="AS26" i="110"/>
  <c r="AR26" i="110"/>
  <c r="AQ26" i="110"/>
  <c r="AP26" i="110"/>
  <c r="AO26" i="110"/>
  <c r="AN26" i="110"/>
  <c r="AM26" i="110"/>
  <c r="AL26" i="110"/>
  <c r="AK26" i="110"/>
  <c r="AJ26" i="110"/>
  <c r="BG25" i="110"/>
  <c r="BF25" i="110"/>
  <c r="BE25" i="110"/>
  <c r="BD25" i="110"/>
  <c r="BC25" i="110"/>
  <c r="BB25" i="110"/>
  <c r="BA25" i="110"/>
  <c r="AZ25" i="110"/>
  <c r="AY25" i="110"/>
  <c r="AX25" i="110"/>
  <c r="AW25" i="110"/>
  <c r="AV25" i="110"/>
  <c r="AU25" i="110"/>
  <c r="AT25" i="110"/>
  <c r="AS25" i="110"/>
  <c r="AR25" i="110"/>
  <c r="AQ25" i="110"/>
  <c r="AP25" i="110"/>
  <c r="AO25" i="110"/>
  <c r="AN25" i="110"/>
  <c r="AM25" i="110"/>
  <c r="AL25" i="110"/>
  <c r="AK25" i="110"/>
  <c r="AJ25" i="110"/>
  <c r="BG24" i="110"/>
  <c r="BF24" i="110"/>
  <c r="BE24" i="110"/>
  <c r="BD24" i="110"/>
  <c r="BC24" i="110"/>
  <c r="BB24" i="110"/>
  <c r="BA24" i="110"/>
  <c r="AZ24" i="110"/>
  <c r="AY24" i="110"/>
  <c r="AX24" i="110"/>
  <c r="AW24" i="110"/>
  <c r="AV24" i="110"/>
  <c r="AU24" i="110"/>
  <c r="AT24" i="110"/>
  <c r="AS24" i="110"/>
  <c r="AR24" i="110"/>
  <c r="AQ24" i="110"/>
  <c r="AP24" i="110"/>
  <c r="AO24" i="110"/>
  <c r="AN24" i="110"/>
  <c r="AM24" i="110"/>
  <c r="AL24" i="110"/>
  <c r="AK24" i="110"/>
  <c r="AJ24" i="110"/>
  <c r="BG23" i="110"/>
  <c r="BF23" i="110"/>
  <c r="BE23" i="110"/>
  <c r="BD23" i="110"/>
  <c r="BC23" i="110"/>
  <c r="BB23" i="110"/>
  <c r="BA23" i="110"/>
  <c r="AZ23" i="110"/>
  <c r="AY23" i="110"/>
  <c r="AX23" i="110"/>
  <c r="AW23" i="110"/>
  <c r="AV23" i="110"/>
  <c r="AU23" i="110"/>
  <c r="AT23" i="110"/>
  <c r="AS23" i="110"/>
  <c r="AR23" i="110"/>
  <c r="AQ23" i="110"/>
  <c r="AP23" i="110"/>
  <c r="AO23" i="110"/>
  <c r="AN23" i="110"/>
  <c r="AM23" i="110"/>
  <c r="AL23" i="110"/>
  <c r="AK23" i="110"/>
  <c r="AJ23" i="110"/>
  <c r="BG22" i="110"/>
  <c r="BF22" i="110"/>
  <c r="BE22" i="110"/>
  <c r="BD22" i="110"/>
  <c r="BC22" i="110"/>
  <c r="BB22" i="110"/>
  <c r="BA22" i="110"/>
  <c r="AZ22" i="110"/>
  <c r="AY22" i="110"/>
  <c r="AX22" i="110"/>
  <c r="AW22" i="110"/>
  <c r="AV22" i="110"/>
  <c r="AU22" i="110"/>
  <c r="AT22" i="110"/>
  <c r="AS22" i="110"/>
  <c r="AR22" i="110"/>
  <c r="AQ22" i="110"/>
  <c r="AP22" i="110"/>
  <c r="AO22" i="110"/>
  <c r="AN22" i="110"/>
  <c r="AM22" i="110"/>
  <c r="AL22" i="110"/>
  <c r="AK22" i="110"/>
  <c r="AJ22" i="110"/>
  <c r="BG21" i="110"/>
  <c r="BF21" i="110"/>
  <c r="BE21" i="110"/>
  <c r="BD21" i="110"/>
  <c r="BC21" i="110"/>
  <c r="BB21" i="110"/>
  <c r="BA21" i="110"/>
  <c r="AZ21" i="110"/>
  <c r="AY21" i="110"/>
  <c r="AX21" i="110"/>
  <c r="AW21" i="110"/>
  <c r="AV21" i="110"/>
  <c r="AU21" i="110"/>
  <c r="AT21" i="110"/>
  <c r="AS21" i="110"/>
  <c r="AR21" i="110"/>
  <c r="AQ21" i="110"/>
  <c r="AP21" i="110"/>
  <c r="AO21" i="110"/>
  <c r="AN21" i="110"/>
  <c r="AM21" i="110"/>
  <c r="AL21" i="110"/>
  <c r="AK21" i="110"/>
  <c r="AJ21" i="110"/>
  <c r="BG20" i="110"/>
  <c r="BF20" i="110"/>
  <c r="BE20" i="110"/>
  <c r="BD20" i="110"/>
  <c r="BC20" i="110"/>
  <c r="BB20" i="110"/>
  <c r="BA20" i="110"/>
  <c r="AZ20" i="110"/>
  <c r="AY20" i="110"/>
  <c r="AX20" i="110"/>
  <c r="AW20" i="110"/>
  <c r="AV20" i="110"/>
  <c r="AU20" i="110"/>
  <c r="AT20" i="110"/>
  <c r="AS20" i="110"/>
  <c r="AR20" i="110"/>
  <c r="AQ20" i="110"/>
  <c r="AP20" i="110"/>
  <c r="AO20" i="110"/>
  <c r="AN20" i="110"/>
  <c r="AM20" i="110"/>
  <c r="AL20" i="110"/>
  <c r="AK20" i="110"/>
  <c r="AJ20" i="110"/>
  <c r="BG19" i="110"/>
  <c r="BF19" i="110"/>
  <c r="BE19" i="110"/>
  <c r="BD19" i="110"/>
  <c r="BC19" i="110"/>
  <c r="BB19" i="110"/>
  <c r="BA19" i="110"/>
  <c r="AZ19" i="110"/>
  <c r="AY19" i="110"/>
  <c r="AX19" i="110"/>
  <c r="AW19" i="110"/>
  <c r="AV19" i="110"/>
  <c r="AU19" i="110"/>
  <c r="AT19" i="110"/>
  <c r="AS19" i="110"/>
  <c r="AR19" i="110"/>
  <c r="AQ19" i="110"/>
  <c r="AP19" i="110"/>
  <c r="AO19" i="110"/>
  <c r="AN19" i="110"/>
  <c r="AM19" i="110"/>
  <c r="AL19" i="110"/>
  <c r="AK19" i="110"/>
  <c r="AJ19" i="110"/>
  <c r="BG18" i="110"/>
  <c r="BF18" i="110"/>
  <c r="BE18" i="110"/>
  <c r="BD18" i="110"/>
  <c r="BC18" i="110"/>
  <c r="BB18" i="110"/>
  <c r="BA18" i="110"/>
  <c r="AZ18" i="110"/>
  <c r="AY18" i="110"/>
  <c r="AX18" i="110"/>
  <c r="AW18" i="110"/>
  <c r="AV18" i="110"/>
  <c r="AU18" i="110"/>
  <c r="AT18" i="110"/>
  <c r="AS18" i="110"/>
  <c r="AR18" i="110"/>
  <c r="AQ18" i="110"/>
  <c r="AP18" i="110"/>
  <c r="AO18" i="110"/>
  <c r="AN18" i="110"/>
  <c r="AM18" i="110"/>
  <c r="AL18" i="110"/>
  <c r="AK18" i="110"/>
  <c r="AJ18" i="110"/>
  <c r="BG17" i="110"/>
  <c r="BF17" i="110"/>
  <c r="BE17" i="110"/>
  <c r="BD17" i="110"/>
  <c r="BC17" i="110"/>
  <c r="BB17" i="110"/>
  <c r="BA17" i="110"/>
  <c r="AZ17" i="110"/>
  <c r="AY17" i="110"/>
  <c r="AX17" i="110"/>
  <c r="AW17" i="110"/>
  <c r="AV17" i="110"/>
  <c r="AU17" i="110"/>
  <c r="AT17" i="110"/>
  <c r="AS17" i="110"/>
  <c r="AR17" i="110"/>
  <c r="AQ17" i="110"/>
  <c r="AP17" i="110"/>
  <c r="AO17" i="110"/>
  <c r="AN17" i="110"/>
  <c r="AM17" i="110"/>
  <c r="AL17" i="110"/>
  <c r="AK17" i="110"/>
  <c r="AJ17" i="110"/>
  <c r="BG16" i="110"/>
  <c r="BF16" i="110"/>
  <c r="BE16" i="110"/>
  <c r="BD16" i="110"/>
  <c r="BC16" i="110"/>
  <c r="BB16" i="110"/>
  <c r="BA16" i="110"/>
  <c r="AZ16" i="110"/>
  <c r="AY16" i="110"/>
  <c r="AX16" i="110"/>
  <c r="AW16" i="110"/>
  <c r="AV16" i="110"/>
  <c r="AU16" i="110"/>
  <c r="AT16" i="110"/>
  <c r="AS16" i="110"/>
  <c r="AR16" i="110"/>
  <c r="AQ16" i="110"/>
  <c r="AP16" i="110"/>
  <c r="AO16" i="110"/>
  <c r="AN16" i="110"/>
  <c r="AM16" i="110"/>
  <c r="AL16" i="110"/>
  <c r="AK16" i="110"/>
  <c r="AJ16" i="110"/>
  <c r="BG15" i="110"/>
  <c r="BF15" i="110"/>
  <c r="BE15" i="110"/>
  <c r="BD15" i="110"/>
  <c r="BC15" i="110"/>
  <c r="BB15" i="110"/>
  <c r="BA15" i="110"/>
  <c r="AZ15" i="110"/>
  <c r="AY15" i="110"/>
  <c r="AX15" i="110"/>
  <c r="AW15" i="110"/>
  <c r="AV15" i="110"/>
  <c r="AU15" i="110"/>
  <c r="AT15" i="110"/>
  <c r="AS15" i="110"/>
  <c r="AR15" i="110"/>
  <c r="AQ15" i="110"/>
  <c r="AP15" i="110"/>
  <c r="AO15" i="110"/>
  <c r="AN15" i="110"/>
  <c r="AM15" i="110"/>
  <c r="AL15" i="110"/>
  <c r="AK15" i="110"/>
  <c r="AJ15" i="110"/>
  <c r="BL14" i="110"/>
  <c r="BK14" i="110"/>
  <c r="BJ14" i="110"/>
  <c r="BI14" i="110"/>
  <c r="BH14" i="110"/>
  <c r="BG14" i="110"/>
  <c r="BF14" i="110"/>
  <c r="BE14" i="110"/>
  <c r="BD14" i="110"/>
  <c r="BC14" i="110"/>
  <c r="BB14" i="110"/>
  <c r="BA14" i="110"/>
  <c r="AZ14" i="110"/>
  <c r="AY14" i="110"/>
  <c r="AX14" i="110"/>
  <c r="AW14" i="110"/>
  <c r="AV14" i="110"/>
  <c r="AU14" i="110"/>
  <c r="AT14" i="110"/>
  <c r="AS14" i="110"/>
  <c r="AR14" i="110"/>
  <c r="AQ14" i="110"/>
  <c r="AP14" i="110"/>
  <c r="AO14" i="110"/>
  <c r="AN14" i="110"/>
  <c r="AM14" i="110"/>
  <c r="AL14" i="110"/>
  <c r="BL13" i="110"/>
  <c r="BK13" i="110"/>
  <c r="BJ13" i="110"/>
  <c r="BI13" i="110"/>
  <c r="BH13" i="110"/>
  <c r="BG13" i="110"/>
  <c r="BF13" i="110"/>
  <c r="BE13" i="110"/>
  <c r="BD13" i="110"/>
  <c r="BA13" i="110"/>
  <c r="AZ13" i="110"/>
  <c r="AY13" i="110"/>
  <c r="AX13" i="110"/>
  <c r="AW13" i="110"/>
  <c r="AV13" i="110"/>
  <c r="AU13" i="110"/>
  <c r="AT13" i="110"/>
  <c r="AS13" i="110"/>
  <c r="AR13" i="110"/>
  <c r="AQ13" i="110"/>
  <c r="AP13" i="110"/>
  <c r="AO13" i="110"/>
  <c r="AN13" i="110"/>
  <c r="AM13" i="110"/>
  <c r="AL13" i="110"/>
  <c r="BG44" i="111"/>
  <c r="BF44" i="111"/>
  <c r="BE44" i="111"/>
  <c r="BD44" i="111"/>
  <c r="BC44" i="111"/>
  <c r="BB44" i="111"/>
  <c r="BA44" i="111"/>
  <c r="AZ44" i="111"/>
  <c r="AY44" i="111"/>
  <c r="AX44" i="111"/>
  <c r="AW44" i="111"/>
  <c r="AV44" i="111"/>
  <c r="AU44" i="111"/>
  <c r="AT44" i="111"/>
  <c r="AS44" i="111"/>
  <c r="AR44" i="111"/>
  <c r="AQ44" i="111"/>
  <c r="AP44" i="111"/>
  <c r="AO44" i="111"/>
  <c r="AN44" i="111"/>
  <c r="AM44" i="111"/>
  <c r="AL44" i="111"/>
  <c r="AK44" i="111"/>
  <c r="AJ44" i="111"/>
  <c r="BG43" i="111"/>
  <c r="BF43" i="111"/>
  <c r="BE43" i="111"/>
  <c r="BD43" i="111"/>
  <c r="BC43" i="111"/>
  <c r="BB43" i="111"/>
  <c r="BA43" i="111"/>
  <c r="AZ43" i="111"/>
  <c r="AY43" i="111"/>
  <c r="AX43" i="111"/>
  <c r="AW43" i="111"/>
  <c r="AV43" i="111"/>
  <c r="AU43" i="111"/>
  <c r="AT43" i="111"/>
  <c r="AS43" i="111"/>
  <c r="AR43" i="111"/>
  <c r="AQ43" i="111"/>
  <c r="AP43" i="111"/>
  <c r="AO43" i="111"/>
  <c r="AN43" i="111"/>
  <c r="AM43" i="111"/>
  <c r="AL43" i="111"/>
  <c r="AK43" i="111"/>
  <c r="AJ43" i="111"/>
  <c r="BG42" i="111"/>
  <c r="BF42" i="111"/>
  <c r="BE42" i="111"/>
  <c r="BD42" i="111"/>
  <c r="BC42" i="111"/>
  <c r="BB42" i="111"/>
  <c r="BA42" i="111"/>
  <c r="AZ42" i="111"/>
  <c r="AY42" i="111"/>
  <c r="AX42" i="111"/>
  <c r="AW42" i="111"/>
  <c r="AV42" i="111"/>
  <c r="AU42" i="111"/>
  <c r="AT42" i="111"/>
  <c r="AS42" i="111"/>
  <c r="AR42" i="111"/>
  <c r="AQ42" i="111"/>
  <c r="AP42" i="111"/>
  <c r="AO42" i="111"/>
  <c r="AN42" i="111"/>
  <c r="AM42" i="111"/>
  <c r="AL42" i="111"/>
  <c r="AK42" i="111"/>
  <c r="AJ42" i="111"/>
  <c r="BG41" i="111"/>
  <c r="BF41" i="111"/>
  <c r="BE41" i="111"/>
  <c r="BD41" i="111"/>
  <c r="BC41" i="111"/>
  <c r="BB41" i="111"/>
  <c r="BA41" i="111"/>
  <c r="AZ41" i="111"/>
  <c r="AY41" i="111"/>
  <c r="AX41" i="111"/>
  <c r="AW41" i="111"/>
  <c r="AV41" i="111"/>
  <c r="AU41" i="111"/>
  <c r="AT41" i="111"/>
  <c r="AS41" i="111"/>
  <c r="AR41" i="111"/>
  <c r="AQ41" i="111"/>
  <c r="AP41" i="111"/>
  <c r="AO41" i="111"/>
  <c r="AN41" i="111"/>
  <c r="AM41" i="111"/>
  <c r="AL41" i="111"/>
  <c r="AK41" i="111"/>
  <c r="AJ41" i="111"/>
  <c r="BG40" i="111"/>
  <c r="BF40" i="111"/>
  <c r="BE40" i="111"/>
  <c r="BD40" i="111"/>
  <c r="BC40" i="111"/>
  <c r="BB40" i="111"/>
  <c r="BA40" i="111"/>
  <c r="AZ40" i="111"/>
  <c r="AY40" i="111"/>
  <c r="AX40" i="111"/>
  <c r="AW40" i="111"/>
  <c r="AV40" i="111"/>
  <c r="AU40" i="111"/>
  <c r="AT40" i="111"/>
  <c r="AS40" i="111"/>
  <c r="AR40" i="111"/>
  <c r="AQ40" i="111"/>
  <c r="AP40" i="111"/>
  <c r="AO40" i="111"/>
  <c r="AN40" i="111"/>
  <c r="AM40" i="111"/>
  <c r="AL40" i="111"/>
  <c r="AK40" i="111"/>
  <c r="AJ40" i="111"/>
  <c r="BG39" i="111"/>
  <c r="BF39" i="111"/>
  <c r="BE39" i="111"/>
  <c r="BD39" i="111"/>
  <c r="BC39" i="111"/>
  <c r="BB39" i="111"/>
  <c r="BA39" i="111"/>
  <c r="AZ39" i="111"/>
  <c r="AY39" i="111"/>
  <c r="AX39" i="111"/>
  <c r="AW39" i="111"/>
  <c r="AV39" i="111"/>
  <c r="AU39" i="111"/>
  <c r="AT39" i="111"/>
  <c r="AS39" i="111"/>
  <c r="AR39" i="111"/>
  <c r="AQ39" i="111"/>
  <c r="AP39" i="111"/>
  <c r="AO39" i="111"/>
  <c r="AN39" i="111"/>
  <c r="AM39" i="111"/>
  <c r="AL39" i="111"/>
  <c r="AK39" i="111"/>
  <c r="AJ39" i="111"/>
  <c r="BG38" i="111"/>
  <c r="BF38" i="111"/>
  <c r="BE38" i="111"/>
  <c r="BD38" i="111"/>
  <c r="BC38" i="111"/>
  <c r="BB38" i="111"/>
  <c r="BA38" i="111"/>
  <c r="AZ38" i="111"/>
  <c r="AY38" i="111"/>
  <c r="AX38" i="111"/>
  <c r="AW38" i="111"/>
  <c r="AV38" i="111"/>
  <c r="AU38" i="111"/>
  <c r="AT38" i="111"/>
  <c r="AS38" i="111"/>
  <c r="AR38" i="111"/>
  <c r="AQ38" i="111"/>
  <c r="AP38" i="111"/>
  <c r="AO38" i="111"/>
  <c r="AN38" i="111"/>
  <c r="AM38" i="111"/>
  <c r="AL38" i="111"/>
  <c r="AK38" i="111"/>
  <c r="AJ38" i="111"/>
  <c r="BG37" i="111"/>
  <c r="BF37" i="111"/>
  <c r="BE37" i="111"/>
  <c r="BD37" i="111"/>
  <c r="BC37" i="111"/>
  <c r="BB37" i="111"/>
  <c r="BA37" i="111"/>
  <c r="AZ37" i="111"/>
  <c r="AY37" i="111"/>
  <c r="AX37" i="111"/>
  <c r="AW37" i="111"/>
  <c r="AV37" i="111"/>
  <c r="AU37" i="111"/>
  <c r="AT37" i="111"/>
  <c r="AS37" i="111"/>
  <c r="AR37" i="111"/>
  <c r="AQ37" i="111"/>
  <c r="AP37" i="111"/>
  <c r="AO37" i="111"/>
  <c r="AN37" i="111"/>
  <c r="AM37" i="111"/>
  <c r="AL37" i="111"/>
  <c r="AK37" i="111"/>
  <c r="AJ37" i="111"/>
  <c r="BG36" i="111"/>
  <c r="BF36" i="111"/>
  <c r="BE36" i="111"/>
  <c r="BD36" i="111"/>
  <c r="BC36" i="111"/>
  <c r="BB36" i="111"/>
  <c r="BA36" i="111"/>
  <c r="AZ36" i="111"/>
  <c r="AY36" i="111"/>
  <c r="AX36" i="111"/>
  <c r="AW36" i="111"/>
  <c r="AV36" i="111"/>
  <c r="AU36" i="111"/>
  <c r="AT36" i="111"/>
  <c r="AS36" i="111"/>
  <c r="AR36" i="111"/>
  <c r="AQ36" i="111"/>
  <c r="AP36" i="111"/>
  <c r="AO36" i="111"/>
  <c r="AN36" i="111"/>
  <c r="AM36" i="111"/>
  <c r="AL36" i="111"/>
  <c r="AK36" i="111"/>
  <c r="AJ36" i="111"/>
  <c r="BG35" i="111"/>
  <c r="BF35" i="111"/>
  <c r="BE35" i="111"/>
  <c r="BD35" i="111"/>
  <c r="BC35" i="111"/>
  <c r="BB35" i="111"/>
  <c r="BA35" i="111"/>
  <c r="AZ35" i="111"/>
  <c r="AY35" i="111"/>
  <c r="AX35" i="111"/>
  <c r="AW35" i="111"/>
  <c r="AV35" i="111"/>
  <c r="AU35" i="111"/>
  <c r="AT35" i="111"/>
  <c r="AS35" i="111"/>
  <c r="AR35" i="111"/>
  <c r="AQ35" i="111"/>
  <c r="AP35" i="111"/>
  <c r="AO35" i="111"/>
  <c r="AN35" i="111"/>
  <c r="AM35" i="111"/>
  <c r="AL35" i="111"/>
  <c r="AK35" i="111"/>
  <c r="AJ35" i="111"/>
  <c r="BG34" i="111"/>
  <c r="BF34" i="111"/>
  <c r="BE34" i="111"/>
  <c r="BD34" i="111"/>
  <c r="BC34" i="111"/>
  <c r="BB34" i="111"/>
  <c r="BA34" i="111"/>
  <c r="AZ34" i="111"/>
  <c r="AY34" i="111"/>
  <c r="AX34" i="111"/>
  <c r="AW34" i="111"/>
  <c r="AV34" i="111"/>
  <c r="AU34" i="111"/>
  <c r="AT34" i="111"/>
  <c r="AS34" i="111"/>
  <c r="AR34" i="111"/>
  <c r="AQ34" i="111"/>
  <c r="AP34" i="111"/>
  <c r="AO34" i="111"/>
  <c r="AN34" i="111"/>
  <c r="AM34" i="111"/>
  <c r="AL34" i="111"/>
  <c r="AK34" i="111"/>
  <c r="AJ34" i="111"/>
  <c r="BG33" i="111"/>
  <c r="BF33" i="111"/>
  <c r="BE33" i="111"/>
  <c r="BD33" i="111"/>
  <c r="BC33" i="111"/>
  <c r="BB33" i="111"/>
  <c r="BA33" i="111"/>
  <c r="AZ33" i="111"/>
  <c r="AY33" i="111"/>
  <c r="AX33" i="111"/>
  <c r="AW33" i="111"/>
  <c r="AV33" i="111"/>
  <c r="AU33" i="111"/>
  <c r="AT33" i="111"/>
  <c r="AS33" i="111"/>
  <c r="AR33" i="111"/>
  <c r="AQ33" i="111"/>
  <c r="AP33" i="111"/>
  <c r="AO33" i="111"/>
  <c r="AN33" i="111"/>
  <c r="AM33" i="111"/>
  <c r="AL33" i="111"/>
  <c r="AK33" i="111"/>
  <c r="AJ33" i="111"/>
  <c r="BG32" i="111"/>
  <c r="BF32" i="111"/>
  <c r="BE32" i="111"/>
  <c r="BD32" i="111"/>
  <c r="BC32" i="111"/>
  <c r="BB32" i="111"/>
  <c r="BA32" i="111"/>
  <c r="AZ32" i="111"/>
  <c r="AY32" i="111"/>
  <c r="AX32" i="111"/>
  <c r="AW32" i="111"/>
  <c r="AV32" i="111"/>
  <c r="AU32" i="111"/>
  <c r="AT32" i="111"/>
  <c r="AS32" i="111"/>
  <c r="AR32" i="111"/>
  <c r="AQ32" i="111"/>
  <c r="AP32" i="111"/>
  <c r="AO32" i="111"/>
  <c r="AN32" i="111"/>
  <c r="AM32" i="111"/>
  <c r="AL32" i="111"/>
  <c r="AK32" i="111"/>
  <c r="AJ32" i="111"/>
  <c r="BG31" i="111"/>
  <c r="BF31" i="111"/>
  <c r="BE31" i="111"/>
  <c r="BD31" i="111"/>
  <c r="BC31" i="111"/>
  <c r="BB31" i="111"/>
  <c r="BA31" i="111"/>
  <c r="AZ31" i="111"/>
  <c r="AY31" i="111"/>
  <c r="AX31" i="111"/>
  <c r="AW31" i="111"/>
  <c r="AV31" i="111"/>
  <c r="AU31" i="111"/>
  <c r="AT31" i="111"/>
  <c r="AS31" i="111"/>
  <c r="AR31" i="111"/>
  <c r="AQ31" i="111"/>
  <c r="AP31" i="111"/>
  <c r="AO31" i="111"/>
  <c r="AN31" i="111"/>
  <c r="AM31" i="111"/>
  <c r="AL31" i="111"/>
  <c r="AK31" i="111"/>
  <c r="AJ31" i="111"/>
  <c r="BG30" i="111"/>
  <c r="BF30" i="111"/>
  <c r="BE30" i="111"/>
  <c r="BD30" i="111"/>
  <c r="BC30" i="111"/>
  <c r="BB30" i="111"/>
  <c r="BA30" i="111"/>
  <c r="AZ30" i="111"/>
  <c r="AY30" i="111"/>
  <c r="AX30" i="111"/>
  <c r="AW30" i="111"/>
  <c r="AV30" i="111"/>
  <c r="AU30" i="111"/>
  <c r="AT30" i="111"/>
  <c r="AS30" i="111"/>
  <c r="AR30" i="111"/>
  <c r="AQ30" i="111"/>
  <c r="AP30" i="111"/>
  <c r="AO30" i="111"/>
  <c r="AN30" i="111"/>
  <c r="AM30" i="111"/>
  <c r="AL30" i="111"/>
  <c r="AK30" i="111"/>
  <c r="AJ30" i="111"/>
  <c r="BG29" i="111"/>
  <c r="BF29" i="111"/>
  <c r="BE29" i="111"/>
  <c r="BD29" i="111"/>
  <c r="BC29" i="111"/>
  <c r="BB29" i="111"/>
  <c r="BA29" i="111"/>
  <c r="AZ29" i="111"/>
  <c r="AY29" i="111"/>
  <c r="AX29" i="111"/>
  <c r="AW29" i="111"/>
  <c r="AV29" i="111"/>
  <c r="AU29" i="111"/>
  <c r="AT29" i="111"/>
  <c r="AS29" i="111"/>
  <c r="AR29" i="111"/>
  <c r="AQ29" i="111"/>
  <c r="AP29" i="111"/>
  <c r="AO29" i="111"/>
  <c r="AN29" i="111"/>
  <c r="AM29" i="111"/>
  <c r="AL29" i="111"/>
  <c r="AK29" i="111"/>
  <c r="AJ29" i="111"/>
  <c r="BG28" i="111"/>
  <c r="BF28" i="111"/>
  <c r="BE28" i="111"/>
  <c r="BD28" i="111"/>
  <c r="BC28" i="111"/>
  <c r="BB28" i="111"/>
  <c r="BA28" i="111"/>
  <c r="AZ28" i="111"/>
  <c r="AY28" i="111"/>
  <c r="AX28" i="111"/>
  <c r="AW28" i="111"/>
  <c r="AV28" i="111"/>
  <c r="AU28" i="111"/>
  <c r="AT28" i="111"/>
  <c r="AS28" i="111"/>
  <c r="AR28" i="111"/>
  <c r="AQ28" i="111"/>
  <c r="AP28" i="111"/>
  <c r="AO28" i="111"/>
  <c r="AN28" i="111"/>
  <c r="AM28" i="111"/>
  <c r="AL28" i="111"/>
  <c r="AK28" i="111"/>
  <c r="AJ28" i="111"/>
  <c r="BG27" i="111"/>
  <c r="BF27" i="111"/>
  <c r="BE27" i="111"/>
  <c r="BD27" i="111"/>
  <c r="BC27" i="111"/>
  <c r="BB27" i="111"/>
  <c r="BA27" i="111"/>
  <c r="AZ27" i="111"/>
  <c r="AY27" i="111"/>
  <c r="AX27" i="111"/>
  <c r="AW27" i="111"/>
  <c r="AV27" i="111"/>
  <c r="AU27" i="111"/>
  <c r="AT27" i="111"/>
  <c r="AS27" i="111"/>
  <c r="AR27" i="111"/>
  <c r="AQ27" i="111"/>
  <c r="AP27" i="111"/>
  <c r="AO27" i="111"/>
  <c r="AN27" i="111"/>
  <c r="AM27" i="111"/>
  <c r="AL27" i="111"/>
  <c r="AK27" i="111"/>
  <c r="AJ27" i="111"/>
  <c r="BG26" i="111"/>
  <c r="BF26" i="111"/>
  <c r="BE26" i="111"/>
  <c r="BD26" i="111"/>
  <c r="BC26" i="111"/>
  <c r="BB26" i="111"/>
  <c r="BA26" i="111"/>
  <c r="AZ26" i="111"/>
  <c r="AY26" i="111"/>
  <c r="AX26" i="111"/>
  <c r="AW26" i="111"/>
  <c r="AV26" i="111"/>
  <c r="AU26" i="111"/>
  <c r="AT26" i="111"/>
  <c r="AS26" i="111"/>
  <c r="AR26" i="111"/>
  <c r="AQ26" i="111"/>
  <c r="AP26" i="111"/>
  <c r="AO26" i="111"/>
  <c r="AN26" i="111"/>
  <c r="AM26" i="111"/>
  <c r="AL26" i="111"/>
  <c r="AK26" i="111"/>
  <c r="AJ26" i="111"/>
  <c r="BG25" i="111"/>
  <c r="BF25" i="111"/>
  <c r="BE25" i="111"/>
  <c r="BD25" i="111"/>
  <c r="BC25" i="111"/>
  <c r="BB25" i="111"/>
  <c r="BA25" i="111"/>
  <c r="AZ25" i="111"/>
  <c r="AY25" i="111"/>
  <c r="AX25" i="111"/>
  <c r="AW25" i="111"/>
  <c r="AV25" i="111"/>
  <c r="AU25" i="111"/>
  <c r="AT25" i="111"/>
  <c r="AS25" i="111"/>
  <c r="AR25" i="111"/>
  <c r="AQ25" i="111"/>
  <c r="AP25" i="111"/>
  <c r="AO25" i="111"/>
  <c r="AN25" i="111"/>
  <c r="AM25" i="111"/>
  <c r="AL25" i="111"/>
  <c r="AK25" i="111"/>
  <c r="AJ25" i="111"/>
  <c r="BG24" i="111"/>
  <c r="BF24" i="111"/>
  <c r="BE24" i="111"/>
  <c r="BD24" i="111"/>
  <c r="BC24" i="111"/>
  <c r="BB24" i="111"/>
  <c r="BA24" i="111"/>
  <c r="AZ24" i="111"/>
  <c r="AY24" i="111"/>
  <c r="AX24" i="111"/>
  <c r="AW24" i="111"/>
  <c r="AV24" i="111"/>
  <c r="AU24" i="111"/>
  <c r="AT24" i="111"/>
  <c r="AS24" i="111"/>
  <c r="AR24" i="111"/>
  <c r="AQ24" i="111"/>
  <c r="AP24" i="111"/>
  <c r="AO24" i="111"/>
  <c r="AN24" i="111"/>
  <c r="AM24" i="111"/>
  <c r="AL24" i="111"/>
  <c r="AK24" i="111"/>
  <c r="AJ24" i="111"/>
  <c r="BG23" i="111"/>
  <c r="BF23" i="111"/>
  <c r="BE23" i="111"/>
  <c r="BD23" i="111"/>
  <c r="BC23" i="111"/>
  <c r="BB23" i="111"/>
  <c r="BA23" i="111"/>
  <c r="AZ23" i="111"/>
  <c r="AY23" i="111"/>
  <c r="AX23" i="111"/>
  <c r="AW23" i="111"/>
  <c r="AV23" i="111"/>
  <c r="AU23" i="111"/>
  <c r="AT23" i="111"/>
  <c r="AS23" i="111"/>
  <c r="AR23" i="111"/>
  <c r="AQ23" i="111"/>
  <c r="AP23" i="111"/>
  <c r="AO23" i="111"/>
  <c r="AN23" i="111"/>
  <c r="AM23" i="111"/>
  <c r="AL23" i="111"/>
  <c r="AK23" i="111"/>
  <c r="AJ23" i="111"/>
  <c r="BG22" i="111"/>
  <c r="BF22" i="111"/>
  <c r="BE22" i="111"/>
  <c r="BD22" i="111"/>
  <c r="BC22" i="111"/>
  <c r="BB22" i="111"/>
  <c r="BA22" i="111"/>
  <c r="AZ22" i="111"/>
  <c r="AY22" i="111"/>
  <c r="AX22" i="111"/>
  <c r="AW22" i="111"/>
  <c r="AV22" i="111"/>
  <c r="AU22" i="111"/>
  <c r="AT22" i="111"/>
  <c r="AS22" i="111"/>
  <c r="AR22" i="111"/>
  <c r="AQ22" i="111"/>
  <c r="AP22" i="111"/>
  <c r="AO22" i="111"/>
  <c r="AN22" i="111"/>
  <c r="AM22" i="111"/>
  <c r="AL22" i="111"/>
  <c r="AK22" i="111"/>
  <c r="AJ22" i="111"/>
  <c r="BG21" i="111"/>
  <c r="BF21" i="111"/>
  <c r="BE21" i="111"/>
  <c r="BD21" i="111"/>
  <c r="BC21" i="111"/>
  <c r="BB21" i="111"/>
  <c r="BA21" i="111"/>
  <c r="AZ21" i="111"/>
  <c r="AY21" i="111"/>
  <c r="AX21" i="111"/>
  <c r="AW21" i="111"/>
  <c r="AV21" i="111"/>
  <c r="AU21" i="111"/>
  <c r="AT21" i="111"/>
  <c r="AS21" i="111"/>
  <c r="AR21" i="111"/>
  <c r="AQ21" i="111"/>
  <c r="AP21" i="111"/>
  <c r="AO21" i="111"/>
  <c r="AN21" i="111"/>
  <c r="AM21" i="111"/>
  <c r="AL21" i="111"/>
  <c r="AK21" i="111"/>
  <c r="AJ21" i="111"/>
  <c r="BG20" i="111"/>
  <c r="BF20" i="111"/>
  <c r="BE20" i="111"/>
  <c r="BD20" i="111"/>
  <c r="BC20" i="111"/>
  <c r="BB20" i="111"/>
  <c r="BA20" i="111"/>
  <c r="AZ20" i="111"/>
  <c r="AY20" i="111"/>
  <c r="AX20" i="111"/>
  <c r="AW20" i="111"/>
  <c r="AV20" i="111"/>
  <c r="AU20" i="111"/>
  <c r="AT20" i="111"/>
  <c r="AS20" i="111"/>
  <c r="AR20" i="111"/>
  <c r="AQ20" i="111"/>
  <c r="AP20" i="111"/>
  <c r="AO20" i="111"/>
  <c r="AN20" i="111"/>
  <c r="AM20" i="111"/>
  <c r="AL20" i="111"/>
  <c r="AK20" i="111"/>
  <c r="AJ20" i="111"/>
  <c r="BG19" i="111"/>
  <c r="BF19" i="111"/>
  <c r="BE19" i="111"/>
  <c r="BD19" i="111"/>
  <c r="BC19" i="111"/>
  <c r="BB19" i="111"/>
  <c r="BA19" i="111"/>
  <c r="AZ19" i="111"/>
  <c r="AY19" i="111"/>
  <c r="AX19" i="111"/>
  <c r="AW19" i="111"/>
  <c r="AV19" i="111"/>
  <c r="AU19" i="111"/>
  <c r="AT19" i="111"/>
  <c r="AS19" i="111"/>
  <c r="AR19" i="111"/>
  <c r="AQ19" i="111"/>
  <c r="AP19" i="111"/>
  <c r="AO19" i="111"/>
  <c r="AN19" i="111"/>
  <c r="AM19" i="111"/>
  <c r="AL19" i="111"/>
  <c r="AK19" i="111"/>
  <c r="AJ19" i="111"/>
  <c r="BG18" i="111"/>
  <c r="BF18" i="111"/>
  <c r="BE18" i="111"/>
  <c r="BD18" i="111"/>
  <c r="BC18" i="111"/>
  <c r="BB18" i="111"/>
  <c r="BA18" i="111"/>
  <c r="AZ18" i="111"/>
  <c r="AY18" i="111"/>
  <c r="AX18" i="111"/>
  <c r="AW18" i="111"/>
  <c r="AV18" i="111"/>
  <c r="AU18" i="111"/>
  <c r="AT18" i="111"/>
  <c r="AS18" i="111"/>
  <c r="AR18" i="111"/>
  <c r="AQ18" i="111"/>
  <c r="AP18" i="111"/>
  <c r="AO18" i="111"/>
  <c r="AN18" i="111"/>
  <c r="AM18" i="111"/>
  <c r="AL18" i="111"/>
  <c r="AK18" i="111"/>
  <c r="AJ18" i="111"/>
  <c r="BG17" i="111"/>
  <c r="BF17" i="111"/>
  <c r="BE17" i="111"/>
  <c r="BD17" i="111"/>
  <c r="BC17" i="111"/>
  <c r="BB17" i="111"/>
  <c r="BA17" i="111"/>
  <c r="AZ17" i="111"/>
  <c r="AY17" i="111"/>
  <c r="AX17" i="111"/>
  <c r="AW17" i="111"/>
  <c r="AV17" i="111"/>
  <c r="AU17" i="111"/>
  <c r="AT17" i="111"/>
  <c r="AS17" i="111"/>
  <c r="AR17" i="111"/>
  <c r="AQ17" i="111"/>
  <c r="AP17" i="111"/>
  <c r="AO17" i="111"/>
  <c r="AN17" i="111"/>
  <c r="AM17" i="111"/>
  <c r="AL17" i="111"/>
  <c r="AK17" i="111"/>
  <c r="AJ17" i="111"/>
  <c r="BG16" i="111"/>
  <c r="BF16" i="111"/>
  <c r="BE16" i="111"/>
  <c r="BD16" i="111"/>
  <c r="BC16" i="111"/>
  <c r="BB16" i="111"/>
  <c r="BA16" i="111"/>
  <c r="AZ16" i="111"/>
  <c r="AY16" i="111"/>
  <c r="AX16" i="111"/>
  <c r="AW16" i="111"/>
  <c r="AV16" i="111"/>
  <c r="AU16" i="111"/>
  <c r="AT16" i="111"/>
  <c r="AS16" i="111"/>
  <c r="AR16" i="111"/>
  <c r="AQ16" i="111"/>
  <c r="AP16" i="111"/>
  <c r="AO16" i="111"/>
  <c r="AN16" i="111"/>
  <c r="AM16" i="111"/>
  <c r="AL16" i="111"/>
  <c r="AK16" i="111"/>
  <c r="AJ16" i="111"/>
  <c r="BG15" i="111"/>
  <c r="BF15" i="111"/>
  <c r="BE15" i="111"/>
  <c r="BD15" i="111"/>
  <c r="BC15" i="111"/>
  <c r="BB15" i="111"/>
  <c r="BA15" i="111"/>
  <c r="AZ15" i="111"/>
  <c r="AY15" i="111"/>
  <c r="AX15" i="111"/>
  <c r="AW15" i="111"/>
  <c r="AV15" i="111"/>
  <c r="AU15" i="111"/>
  <c r="AT15" i="111"/>
  <c r="AS15" i="111"/>
  <c r="AR15" i="111"/>
  <c r="AQ15" i="111"/>
  <c r="AP15" i="111"/>
  <c r="AO15" i="111"/>
  <c r="AN15" i="111"/>
  <c r="AM15" i="111"/>
  <c r="AL15" i="111"/>
  <c r="AK15" i="111"/>
  <c r="AJ15" i="111"/>
  <c r="BL14" i="111"/>
  <c r="BK14" i="111"/>
  <c r="BJ14" i="111"/>
  <c r="BI14" i="111"/>
  <c r="BH14" i="111"/>
  <c r="BG14" i="111"/>
  <c r="BF14" i="111"/>
  <c r="BE14" i="111"/>
  <c r="BD14" i="111"/>
  <c r="BC14" i="111"/>
  <c r="BB14" i="111"/>
  <c r="BA14" i="111"/>
  <c r="AZ14" i="111"/>
  <c r="AY14" i="111"/>
  <c r="AX14" i="111"/>
  <c r="AW14" i="111"/>
  <c r="AV14" i="111"/>
  <c r="AU14" i="111"/>
  <c r="AT14" i="111"/>
  <c r="AS14" i="111"/>
  <c r="AR14" i="111"/>
  <c r="AQ14" i="111"/>
  <c r="AP14" i="111"/>
  <c r="AO14" i="111"/>
  <c r="AN14" i="111"/>
  <c r="AM14" i="111"/>
  <c r="AL14" i="111"/>
  <c r="BL13" i="111"/>
  <c r="BK13" i="111"/>
  <c r="BJ13" i="111"/>
  <c r="BI13" i="111"/>
  <c r="BH13" i="111"/>
  <c r="BG13" i="111"/>
  <c r="BF13" i="111"/>
  <c r="BE13" i="111"/>
  <c r="BD13" i="111"/>
  <c r="BA13" i="111"/>
  <c r="AZ13" i="111"/>
  <c r="AY13" i="111"/>
  <c r="AX13" i="111"/>
  <c r="AW13" i="111"/>
  <c r="AV13" i="111"/>
  <c r="AU13" i="111"/>
  <c r="AT13" i="111"/>
  <c r="AS13" i="111"/>
  <c r="AR13" i="111"/>
  <c r="AQ13" i="111"/>
  <c r="AP13" i="111"/>
  <c r="AO13" i="111"/>
  <c r="AN13" i="111"/>
  <c r="AM13" i="111"/>
  <c r="AL13" i="111"/>
  <c r="BG44" i="112"/>
  <c r="BF44" i="112"/>
  <c r="BE44" i="112"/>
  <c r="BD44" i="112"/>
  <c r="BC44" i="112"/>
  <c r="BB44" i="112"/>
  <c r="BA44" i="112"/>
  <c r="AZ44" i="112"/>
  <c r="AY44" i="112"/>
  <c r="AX44" i="112"/>
  <c r="AW44" i="112"/>
  <c r="AV44" i="112"/>
  <c r="AU44" i="112"/>
  <c r="AT44" i="112"/>
  <c r="AS44" i="112"/>
  <c r="AR44" i="112"/>
  <c r="AQ44" i="112"/>
  <c r="AP44" i="112"/>
  <c r="AO44" i="112"/>
  <c r="AN44" i="112"/>
  <c r="AM44" i="112"/>
  <c r="AL44" i="112"/>
  <c r="AK44" i="112"/>
  <c r="AJ44" i="112"/>
  <c r="BG43" i="112"/>
  <c r="BF43" i="112"/>
  <c r="BE43" i="112"/>
  <c r="BD43" i="112"/>
  <c r="BC43" i="112"/>
  <c r="BB43" i="112"/>
  <c r="BA43" i="112"/>
  <c r="AZ43" i="112"/>
  <c r="AY43" i="112"/>
  <c r="AX43" i="112"/>
  <c r="AW43" i="112"/>
  <c r="AV43" i="112"/>
  <c r="AU43" i="112"/>
  <c r="AT43" i="112"/>
  <c r="AS43" i="112"/>
  <c r="AR43" i="112"/>
  <c r="AQ43" i="112"/>
  <c r="AP43" i="112"/>
  <c r="AO43" i="112"/>
  <c r="AN43" i="112"/>
  <c r="AM43" i="112"/>
  <c r="AL43" i="112"/>
  <c r="AK43" i="112"/>
  <c r="AJ43" i="112"/>
  <c r="BG42" i="112"/>
  <c r="BF42" i="112"/>
  <c r="BE42" i="112"/>
  <c r="BD42" i="112"/>
  <c r="BC42" i="112"/>
  <c r="BB42" i="112"/>
  <c r="BA42" i="112"/>
  <c r="AZ42" i="112"/>
  <c r="AY42" i="112"/>
  <c r="AX42" i="112"/>
  <c r="AW42" i="112"/>
  <c r="AV42" i="112"/>
  <c r="AU42" i="112"/>
  <c r="AT42" i="112"/>
  <c r="AS42" i="112"/>
  <c r="AR42" i="112"/>
  <c r="AQ42" i="112"/>
  <c r="AP42" i="112"/>
  <c r="AO42" i="112"/>
  <c r="AN42" i="112"/>
  <c r="AM42" i="112"/>
  <c r="AL42" i="112"/>
  <c r="AK42" i="112"/>
  <c r="AJ42" i="112"/>
  <c r="BG41" i="112"/>
  <c r="BF41" i="112"/>
  <c r="BE41" i="112"/>
  <c r="BD41" i="112"/>
  <c r="BC41" i="112"/>
  <c r="BB41" i="112"/>
  <c r="BA41" i="112"/>
  <c r="AZ41" i="112"/>
  <c r="AY41" i="112"/>
  <c r="AX41" i="112"/>
  <c r="AW41" i="112"/>
  <c r="AV41" i="112"/>
  <c r="AU41" i="112"/>
  <c r="AT41" i="112"/>
  <c r="AS41" i="112"/>
  <c r="AR41" i="112"/>
  <c r="AQ41" i="112"/>
  <c r="AP41" i="112"/>
  <c r="AO41" i="112"/>
  <c r="AN41" i="112"/>
  <c r="AM41" i="112"/>
  <c r="AL41" i="112"/>
  <c r="AK41" i="112"/>
  <c r="AJ41" i="112"/>
  <c r="BG40" i="112"/>
  <c r="BF40" i="112"/>
  <c r="BE40" i="112"/>
  <c r="BD40" i="112"/>
  <c r="BC40" i="112"/>
  <c r="BB40" i="112"/>
  <c r="BA40" i="112"/>
  <c r="AZ40" i="112"/>
  <c r="AY40" i="112"/>
  <c r="AX40" i="112"/>
  <c r="AW40" i="112"/>
  <c r="AV40" i="112"/>
  <c r="AU40" i="112"/>
  <c r="AT40" i="112"/>
  <c r="AS40" i="112"/>
  <c r="AR40" i="112"/>
  <c r="AQ40" i="112"/>
  <c r="AP40" i="112"/>
  <c r="AO40" i="112"/>
  <c r="AN40" i="112"/>
  <c r="AM40" i="112"/>
  <c r="AL40" i="112"/>
  <c r="AK40" i="112"/>
  <c r="AJ40" i="112"/>
  <c r="BG39" i="112"/>
  <c r="BF39" i="112"/>
  <c r="BE39" i="112"/>
  <c r="BD39" i="112"/>
  <c r="BC39" i="112"/>
  <c r="BB39" i="112"/>
  <c r="BA39" i="112"/>
  <c r="AZ39" i="112"/>
  <c r="AY39" i="112"/>
  <c r="AX39" i="112"/>
  <c r="AW39" i="112"/>
  <c r="AV39" i="112"/>
  <c r="AU39" i="112"/>
  <c r="AT39" i="112"/>
  <c r="AS39" i="112"/>
  <c r="AR39" i="112"/>
  <c r="AQ39" i="112"/>
  <c r="AP39" i="112"/>
  <c r="AO39" i="112"/>
  <c r="AN39" i="112"/>
  <c r="AM39" i="112"/>
  <c r="AL39" i="112"/>
  <c r="AK39" i="112"/>
  <c r="AJ39" i="112"/>
  <c r="BG38" i="112"/>
  <c r="BF38" i="112"/>
  <c r="BE38" i="112"/>
  <c r="BD38" i="112"/>
  <c r="BC38" i="112"/>
  <c r="BB38" i="112"/>
  <c r="BA38" i="112"/>
  <c r="AZ38" i="112"/>
  <c r="AY38" i="112"/>
  <c r="AX38" i="112"/>
  <c r="AW38" i="112"/>
  <c r="AV38" i="112"/>
  <c r="AU38" i="112"/>
  <c r="AT38" i="112"/>
  <c r="AS38" i="112"/>
  <c r="AR38" i="112"/>
  <c r="AQ38" i="112"/>
  <c r="AP38" i="112"/>
  <c r="AO38" i="112"/>
  <c r="AN38" i="112"/>
  <c r="AM38" i="112"/>
  <c r="AL38" i="112"/>
  <c r="AK38" i="112"/>
  <c r="AJ38" i="112"/>
  <c r="BG37" i="112"/>
  <c r="BF37" i="112"/>
  <c r="BE37" i="112"/>
  <c r="BD37" i="112"/>
  <c r="BC37" i="112"/>
  <c r="BB37" i="112"/>
  <c r="BA37" i="112"/>
  <c r="AZ37" i="112"/>
  <c r="AY37" i="112"/>
  <c r="AX37" i="112"/>
  <c r="AW37" i="112"/>
  <c r="AV37" i="112"/>
  <c r="AU37" i="112"/>
  <c r="AT37" i="112"/>
  <c r="AS37" i="112"/>
  <c r="AR37" i="112"/>
  <c r="AQ37" i="112"/>
  <c r="AP37" i="112"/>
  <c r="AO37" i="112"/>
  <c r="AN37" i="112"/>
  <c r="AM37" i="112"/>
  <c r="AL37" i="112"/>
  <c r="AK37" i="112"/>
  <c r="AJ37" i="112"/>
  <c r="BG36" i="112"/>
  <c r="BF36" i="112"/>
  <c r="BE36" i="112"/>
  <c r="BD36" i="112"/>
  <c r="BC36" i="112"/>
  <c r="BB36" i="112"/>
  <c r="BA36" i="112"/>
  <c r="AZ36" i="112"/>
  <c r="AY36" i="112"/>
  <c r="AX36" i="112"/>
  <c r="AW36" i="112"/>
  <c r="AV36" i="112"/>
  <c r="AU36" i="112"/>
  <c r="AT36" i="112"/>
  <c r="AS36" i="112"/>
  <c r="AR36" i="112"/>
  <c r="AQ36" i="112"/>
  <c r="AP36" i="112"/>
  <c r="AO36" i="112"/>
  <c r="AN36" i="112"/>
  <c r="AM36" i="112"/>
  <c r="AL36" i="112"/>
  <c r="AK36" i="112"/>
  <c r="AJ36" i="112"/>
  <c r="BG35" i="112"/>
  <c r="BF35" i="112"/>
  <c r="BE35" i="112"/>
  <c r="BD35" i="112"/>
  <c r="BC35" i="112"/>
  <c r="BB35" i="112"/>
  <c r="BA35" i="112"/>
  <c r="AZ35" i="112"/>
  <c r="AY35" i="112"/>
  <c r="AX35" i="112"/>
  <c r="AW35" i="112"/>
  <c r="AV35" i="112"/>
  <c r="AU35" i="112"/>
  <c r="AT35" i="112"/>
  <c r="AS35" i="112"/>
  <c r="AR35" i="112"/>
  <c r="AQ35" i="112"/>
  <c r="AP35" i="112"/>
  <c r="AO35" i="112"/>
  <c r="AN35" i="112"/>
  <c r="AM35" i="112"/>
  <c r="AL35" i="112"/>
  <c r="AK35" i="112"/>
  <c r="AJ35" i="112"/>
  <c r="BG34" i="112"/>
  <c r="BF34" i="112"/>
  <c r="BE34" i="112"/>
  <c r="BD34" i="112"/>
  <c r="BC34" i="112"/>
  <c r="BB34" i="112"/>
  <c r="BA34" i="112"/>
  <c r="AZ34" i="112"/>
  <c r="AY34" i="112"/>
  <c r="AX34" i="112"/>
  <c r="AW34" i="112"/>
  <c r="AV34" i="112"/>
  <c r="AU34" i="112"/>
  <c r="AT34" i="112"/>
  <c r="AS34" i="112"/>
  <c r="AR34" i="112"/>
  <c r="AQ34" i="112"/>
  <c r="AP34" i="112"/>
  <c r="AO34" i="112"/>
  <c r="AN34" i="112"/>
  <c r="AM34" i="112"/>
  <c r="AL34" i="112"/>
  <c r="AK34" i="112"/>
  <c r="AJ34" i="112"/>
  <c r="BG33" i="112"/>
  <c r="BF33" i="112"/>
  <c r="BE33" i="112"/>
  <c r="BD33" i="112"/>
  <c r="BC33" i="112"/>
  <c r="BB33" i="112"/>
  <c r="BA33" i="112"/>
  <c r="AZ33" i="112"/>
  <c r="AY33" i="112"/>
  <c r="AX33" i="112"/>
  <c r="AW33" i="112"/>
  <c r="AV33" i="112"/>
  <c r="AU33" i="112"/>
  <c r="AT33" i="112"/>
  <c r="AS33" i="112"/>
  <c r="AR33" i="112"/>
  <c r="AQ33" i="112"/>
  <c r="AP33" i="112"/>
  <c r="AO33" i="112"/>
  <c r="AN33" i="112"/>
  <c r="AM33" i="112"/>
  <c r="AL33" i="112"/>
  <c r="AK33" i="112"/>
  <c r="AJ33" i="112"/>
  <c r="BG32" i="112"/>
  <c r="BF32" i="112"/>
  <c r="BE32" i="112"/>
  <c r="BD32" i="112"/>
  <c r="BC32" i="112"/>
  <c r="BB32" i="112"/>
  <c r="BA32" i="112"/>
  <c r="AZ32" i="112"/>
  <c r="AY32" i="112"/>
  <c r="AX32" i="112"/>
  <c r="AW32" i="112"/>
  <c r="AV32" i="112"/>
  <c r="AU32" i="112"/>
  <c r="AT32" i="112"/>
  <c r="AS32" i="112"/>
  <c r="AR32" i="112"/>
  <c r="AQ32" i="112"/>
  <c r="AP32" i="112"/>
  <c r="AO32" i="112"/>
  <c r="AN32" i="112"/>
  <c r="AM32" i="112"/>
  <c r="AL32" i="112"/>
  <c r="AK32" i="112"/>
  <c r="AJ32" i="112"/>
  <c r="BG31" i="112"/>
  <c r="BF31" i="112"/>
  <c r="BE31" i="112"/>
  <c r="BD31" i="112"/>
  <c r="BC31" i="112"/>
  <c r="BB31" i="112"/>
  <c r="BA31" i="112"/>
  <c r="AZ31" i="112"/>
  <c r="AY31" i="112"/>
  <c r="AX31" i="112"/>
  <c r="AW31" i="112"/>
  <c r="AV31" i="112"/>
  <c r="AU31" i="112"/>
  <c r="AT31" i="112"/>
  <c r="AS31" i="112"/>
  <c r="AR31" i="112"/>
  <c r="AQ31" i="112"/>
  <c r="AP31" i="112"/>
  <c r="AO31" i="112"/>
  <c r="AN31" i="112"/>
  <c r="AM31" i="112"/>
  <c r="AL31" i="112"/>
  <c r="AK31" i="112"/>
  <c r="AJ31" i="112"/>
  <c r="BG30" i="112"/>
  <c r="BF30" i="112"/>
  <c r="BE30" i="112"/>
  <c r="BD30" i="112"/>
  <c r="BC30" i="112"/>
  <c r="BB30" i="112"/>
  <c r="BA30" i="112"/>
  <c r="AZ30" i="112"/>
  <c r="AY30" i="112"/>
  <c r="AX30" i="112"/>
  <c r="AW30" i="112"/>
  <c r="AV30" i="112"/>
  <c r="AU30" i="112"/>
  <c r="AT30" i="112"/>
  <c r="AS30" i="112"/>
  <c r="AR30" i="112"/>
  <c r="AQ30" i="112"/>
  <c r="AP30" i="112"/>
  <c r="AO30" i="112"/>
  <c r="AN30" i="112"/>
  <c r="AM30" i="112"/>
  <c r="AL30" i="112"/>
  <c r="AK30" i="112"/>
  <c r="AJ30" i="112"/>
  <c r="BG29" i="112"/>
  <c r="BF29" i="112"/>
  <c r="BE29" i="112"/>
  <c r="BD29" i="112"/>
  <c r="BC29" i="112"/>
  <c r="BB29" i="112"/>
  <c r="BA29" i="112"/>
  <c r="AZ29" i="112"/>
  <c r="AY29" i="112"/>
  <c r="AX29" i="112"/>
  <c r="AW29" i="112"/>
  <c r="AV29" i="112"/>
  <c r="AU29" i="112"/>
  <c r="AT29" i="112"/>
  <c r="AS29" i="112"/>
  <c r="AR29" i="112"/>
  <c r="AQ29" i="112"/>
  <c r="AP29" i="112"/>
  <c r="AO29" i="112"/>
  <c r="AN29" i="112"/>
  <c r="AM29" i="112"/>
  <c r="AL29" i="112"/>
  <c r="AK29" i="112"/>
  <c r="AJ29" i="112"/>
  <c r="BG28" i="112"/>
  <c r="BF28" i="112"/>
  <c r="BE28" i="112"/>
  <c r="BD28" i="112"/>
  <c r="BC28" i="112"/>
  <c r="BB28" i="112"/>
  <c r="BA28" i="112"/>
  <c r="AZ28" i="112"/>
  <c r="AY28" i="112"/>
  <c r="AX28" i="112"/>
  <c r="AW28" i="112"/>
  <c r="AV28" i="112"/>
  <c r="AU28" i="112"/>
  <c r="AT28" i="112"/>
  <c r="AS28" i="112"/>
  <c r="AR28" i="112"/>
  <c r="AQ28" i="112"/>
  <c r="AP28" i="112"/>
  <c r="AO28" i="112"/>
  <c r="AN28" i="112"/>
  <c r="AM28" i="112"/>
  <c r="AL28" i="112"/>
  <c r="AK28" i="112"/>
  <c r="AJ28" i="112"/>
  <c r="BG27" i="112"/>
  <c r="BF27" i="112"/>
  <c r="BE27" i="112"/>
  <c r="BD27" i="112"/>
  <c r="BC27" i="112"/>
  <c r="BB27" i="112"/>
  <c r="BA27" i="112"/>
  <c r="AZ27" i="112"/>
  <c r="AY27" i="112"/>
  <c r="AX27" i="112"/>
  <c r="AW27" i="112"/>
  <c r="AV27" i="112"/>
  <c r="AU27" i="112"/>
  <c r="AT27" i="112"/>
  <c r="AS27" i="112"/>
  <c r="AR27" i="112"/>
  <c r="AQ27" i="112"/>
  <c r="AP27" i="112"/>
  <c r="AO27" i="112"/>
  <c r="AN27" i="112"/>
  <c r="AM27" i="112"/>
  <c r="AL27" i="112"/>
  <c r="AK27" i="112"/>
  <c r="AJ27" i="112"/>
  <c r="BG26" i="112"/>
  <c r="BF26" i="112"/>
  <c r="BE26" i="112"/>
  <c r="BD26" i="112"/>
  <c r="BC26" i="112"/>
  <c r="BB26" i="112"/>
  <c r="BA26" i="112"/>
  <c r="AZ26" i="112"/>
  <c r="AY26" i="112"/>
  <c r="AX26" i="112"/>
  <c r="AW26" i="112"/>
  <c r="AV26" i="112"/>
  <c r="AU26" i="112"/>
  <c r="AT26" i="112"/>
  <c r="AS26" i="112"/>
  <c r="AR26" i="112"/>
  <c r="AQ26" i="112"/>
  <c r="AP26" i="112"/>
  <c r="AO26" i="112"/>
  <c r="AN26" i="112"/>
  <c r="AM26" i="112"/>
  <c r="AL26" i="112"/>
  <c r="AK26" i="112"/>
  <c r="AJ26" i="112"/>
  <c r="BG25" i="112"/>
  <c r="BF25" i="112"/>
  <c r="BE25" i="112"/>
  <c r="BD25" i="112"/>
  <c r="BC25" i="112"/>
  <c r="BB25" i="112"/>
  <c r="BA25" i="112"/>
  <c r="AZ25" i="112"/>
  <c r="AY25" i="112"/>
  <c r="AX25" i="112"/>
  <c r="AW25" i="112"/>
  <c r="AV25" i="112"/>
  <c r="AU25" i="112"/>
  <c r="AT25" i="112"/>
  <c r="AS25" i="112"/>
  <c r="AR25" i="112"/>
  <c r="AQ25" i="112"/>
  <c r="AP25" i="112"/>
  <c r="AO25" i="112"/>
  <c r="AN25" i="112"/>
  <c r="AM25" i="112"/>
  <c r="AL25" i="112"/>
  <c r="AK25" i="112"/>
  <c r="AJ25" i="112"/>
  <c r="BG24" i="112"/>
  <c r="BF24" i="112"/>
  <c r="BE24" i="112"/>
  <c r="BD24" i="112"/>
  <c r="BC24" i="112"/>
  <c r="BB24" i="112"/>
  <c r="BA24" i="112"/>
  <c r="AZ24" i="112"/>
  <c r="AY24" i="112"/>
  <c r="AX24" i="112"/>
  <c r="AW24" i="112"/>
  <c r="AV24" i="112"/>
  <c r="AU24" i="112"/>
  <c r="AT24" i="112"/>
  <c r="AS24" i="112"/>
  <c r="AR24" i="112"/>
  <c r="AQ24" i="112"/>
  <c r="AP24" i="112"/>
  <c r="AO24" i="112"/>
  <c r="AN24" i="112"/>
  <c r="AM24" i="112"/>
  <c r="AL24" i="112"/>
  <c r="AK24" i="112"/>
  <c r="AJ24" i="112"/>
  <c r="BG23" i="112"/>
  <c r="BF23" i="112"/>
  <c r="BE23" i="112"/>
  <c r="BD23" i="112"/>
  <c r="BC23" i="112"/>
  <c r="BB23" i="112"/>
  <c r="BA23" i="112"/>
  <c r="AZ23" i="112"/>
  <c r="AY23" i="112"/>
  <c r="AX23" i="112"/>
  <c r="AW23" i="112"/>
  <c r="AV23" i="112"/>
  <c r="AU23" i="112"/>
  <c r="AT23" i="112"/>
  <c r="AS23" i="112"/>
  <c r="AR23" i="112"/>
  <c r="AQ23" i="112"/>
  <c r="AP23" i="112"/>
  <c r="AO23" i="112"/>
  <c r="AN23" i="112"/>
  <c r="AM23" i="112"/>
  <c r="AL23" i="112"/>
  <c r="AK23" i="112"/>
  <c r="AJ23" i="112"/>
  <c r="BG22" i="112"/>
  <c r="BF22" i="112"/>
  <c r="BE22" i="112"/>
  <c r="BD22" i="112"/>
  <c r="BC22" i="112"/>
  <c r="BB22" i="112"/>
  <c r="BA22" i="112"/>
  <c r="AZ22" i="112"/>
  <c r="AY22" i="112"/>
  <c r="AX22" i="112"/>
  <c r="AW22" i="112"/>
  <c r="AV22" i="112"/>
  <c r="AU22" i="112"/>
  <c r="AT22" i="112"/>
  <c r="AS22" i="112"/>
  <c r="AR22" i="112"/>
  <c r="AQ22" i="112"/>
  <c r="AP22" i="112"/>
  <c r="AO22" i="112"/>
  <c r="AN22" i="112"/>
  <c r="AM22" i="112"/>
  <c r="AL22" i="112"/>
  <c r="AK22" i="112"/>
  <c r="AJ22" i="112"/>
  <c r="BG21" i="112"/>
  <c r="BF21" i="112"/>
  <c r="BE21" i="112"/>
  <c r="BD21" i="112"/>
  <c r="BC21" i="112"/>
  <c r="BB21" i="112"/>
  <c r="BA21" i="112"/>
  <c r="AZ21" i="112"/>
  <c r="AY21" i="112"/>
  <c r="AX21" i="112"/>
  <c r="AW21" i="112"/>
  <c r="AV21" i="112"/>
  <c r="AU21" i="112"/>
  <c r="AT21" i="112"/>
  <c r="AS21" i="112"/>
  <c r="AR21" i="112"/>
  <c r="AQ21" i="112"/>
  <c r="AP21" i="112"/>
  <c r="AO21" i="112"/>
  <c r="AN21" i="112"/>
  <c r="AM21" i="112"/>
  <c r="AL21" i="112"/>
  <c r="AK21" i="112"/>
  <c r="AJ21" i="112"/>
  <c r="BG20" i="112"/>
  <c r="BF20" i="112"/>
  <c r="BE20" i="112"/>
  <c r="BD20" i="112"/>
  <c r="BC20" i="112"/>
  <c r="BB20" i="112"/>
  <c r="BA20" i="112"/>
  <c r="AZ20" i="112"/>
  <c r="AY20" i="112"/>
  <c r="AX20" i="112"/>
  <c r="AW20" i="112"/>
  <c r="AV20" i="112"/>
  <c r="AU20" i="112"/>
  <c r="AT20" i="112"/>
  <c r="AS20" i="112"/>
  <c r="AR20" i="112"/>
  <c r="AQ20" i="112"/>
  <c r="AP20" i="112"/>
  <c r="AO20" i="112"/>
  <c r="AN20" i="112"/>
  <c r="AM20" i="112"/>
  <c r="AL20" i="112"/>
  <c r="AK20" i="112"/>
  <c r="AJ20" i="112"/>
  <c r="BG19" i="112"/>
  <c r="BF19" i="112"/>
  <c r="BE19" i="112"/>
  <c r="BD19" i="112"/>
  <c r="BC19" i="112"/>
  <c r="BB19" i="112"/>
  <c r="BA19" i="112"/>
  <c r="AZ19" i="112"/>
  <c r="AY19" i="112"/>
  <c r="AX19" i="112"/>
  <c r="AW19" i="112"/>
  <c r="AV19" i="112"/>
  <c r="AU19" i="112"/>
  <c r="AT19" i="112"/>
  <c r="AS19" i="112"/>
  <c r="AR19" i="112"/>
  <c r="AQ19" i="112"/>
  <c r="AP19" i="112"/>
  <c r="AO19" i="112"/>
  <c r="AN19" i="112"/>
  <c r="AM19" i="112"/>
  <c r="AL19" i="112"/>
  <c r="AK19" i="112"/>
  <c r="AJ19" i="112"/>
  <c r="BG18" i="112"/>
  <c r="BF18" i="112"/>
  <c r="BE18" i="112"/>
  <c r="BD18" i="112"/>
  <c r="BC18" i="112"/>
  <c r="BB18" i="112"/>
  <c r="BA18" i="112"/>
  <c r="AZ18" i="112"/>
  <c r="AY18" i="112"/>
  <c r="AX18" i="112"/>
  <c r="AW18" i="112"/>
  <c r="AV18" i="112"/>
  <c r="AU18" i="112"/>
  <c r="AT18" i="112"/>
  <c r="AS18" i="112"/>
  <c r="AR18" i="112"/>
  <c r="AQ18" i="112"/>
  <c r="AP18" i="112"/>
  <c r="AO18" i="112"/>
  <c r="AN18" i="112"/>
  <c r="AM18" i="112"/>
  <c r="AL18" i="112"/>
  <c r="AK18" i="112"/>
  <c r="AJ18" i="112"/>
  <c r="BG17" i="112"/>
  <c r="BF17" i="112"/>
  <c r="BE17" i="112"/>
  <c r="BD17" i="112"/>
  <c r="BC17" i="112"/>
  <c r="BB17" i="112"/>
  <c r="BA17" i="112"/>
  <c r="AZ17" i="112"/>
  <c r="AY17" i="112"/>
  <c r="AX17" i="112"/>
  <c r="AW17" i="112"/>
  <c r="AV17" i="112"/>
  <c r="AU17" i="112"/>
  <c r="AT17" i="112"/>
  <c r="AS17" i="112"/>
  <c r="AR17" i="112"/>
  <c r="AQ17" i="112"/>
  <c r="AP17" i="112"/>
  <c r="AO17" i="112"/>
  <c r="AN17" i="112"/>
  <c r="AM17" i="112"/>
  <c r="AL17" i="112"/>
  <c r="AK17" i="112"/>
  <c r="AJ17" i="112"/>
  <c r="BG16" i="112"/>
  <c r="BF16" i="112"/>
  <c r="BE16" i="112"/>
  <c r="BD16" i="112"/>
  <c r="BC16" i="112"/>
  <c r="BB16" i="112"/>
  <c r="BA16" i="112"/>
  <c r="AZ16" i="112"/>
  <c r="AY16" i="112"/>
  <c r="AX16" i="112"/>
  <c r="AW16" i="112"/>
  <c r="AV16" i="112"/>
  <c r="AU16" i="112"/>
  <c r="AT16" i="112"/>
  <c r="AS16" i="112"/>
  <c r="AR16" i="112"/>
  <c r="AQ16" i="112"/>
  <c r="AP16" i="112"/>
  <c r="AO16" i="112"/>
  <c r="AN16" i="112"/>
  <c r="AM16" i="112"/>
  <c r="AL16" i="112"/>
  <c r="AK16" i="112"/>
  <c r="AJ16" i="112"/>
  <c r="BG15" i="112"/>
  <c r="BF15" i="112"/>
  <c r="BE15" i="112"/>
  <c r="BD15" i="112"/>
  <c r="BC15" i="112"/>
  <c r="BB15" i="112"/>
  <c r="BA15" i="112"/>
  <c r="AZ15" i="112"/>
  <c r="AY15" i="112"/>
  <c r="AX15" i="112"/>
  <c r="AW15" i="112"/>
  <c r="AV15" i="112"/>
  <c r="AU15" i="112"/>
  <c r="AT15" i="112"/>
  <c r="AS15" i="112"/>
  <c r="AR15" i="112"/>
  <c r="AQ15" i="112"/>
  <c r="AP15" i="112"/>
  <c r="AO15" i="112"/>
  <c r="AN15" i="112"/>
  <c r="AM15" i="112"/>
  <c r="AL15" i="112"/>
  <c r="AK15" i="112"/>
  <c r="AJ15" i="112"/>
  <c r="BL14" i="112"/>
  <c r="BK14" i="112"/>
  <c r="BJ14" i="112"/>
  <c r="BI14" i="112"/>
  <c r="BH14" i="112"/>
  <c r="BG14" i="112"/>
  <c r="BF14" i="112"/>
  <c r="BE14" i="112"/>
  <c r="BD14" i="112"/>
  <c r="BC14" i="112"/>
  <c r="BB14" i="112"/>
  <c r="BA14" i="112"/>
  <c r="AZ14" i="112"/>
  <c r="AY14" i="112"/>
  <c r="AX14" i="112"/>
  <c r="AW14" i="112"/>
  <c r="AV14" i="112"/>
  <c r="AU14" i="112"/>
  <c r="AT14" i="112"/>
  <c r="AS14" i="112"/>
  <c r="AR14" i="112"/>
  <c r="AQ14" i="112"/>
  <c r="AP14" i="112"/>
  <c r="AO14" i="112"/>
  <c r="AN14" i="112"/>
  <c r="AM14" i="112"/>
  <c r="AL14" i="112"/>
  <c r="BL13" i="112"/>
  <c r="BK13" i="112"/>
  <c r="BJ13" i="112"/>
  <c r="BI13" i="112"/>
  <c r="BH13" i="112"/>
  <c r="BG13" i="112"/>
  <c r="BF13" i="112"/>
  <c r="BE13" i="112"/>
  <c r="BD13" i="112"/>
  <c r="BA13" i="112"/>
  <c r="AZ13" i="112"/>
  <c r="AY13" i="112"/>
  <c r="AX13" i="112"/>
  <c r="AW13" i="112"/>
  <c r="AV13" i="112"/>
  <c r="AU13" i="112"/>
  <c r="AT13" i="112"/>
  <c r="AS13" i="112"/>
  <c r="AR13" i="112"/>
  <c r="AQ13" i="112"/>
  <c r="AP13" i="112"/>
  <c r="AO13" i="112"/>
  <c r="AN13" i="112"/>
  <c r="AM13" i="112"/>
  <c r="AL13" i="112"/>
  <c r="BG44" i="113"/>
  <c r="BF44" i="113"/>
  <c r="BE44" i="113"/>
  <c r="BD44" i="113"/>
  <c r="BC44" i="113"/>
  <c r="BB44" i="113"/>
  <c r="BA44" i="113"/>
  <c r="AZ44" i="113"/>
  <c r="AY44" i="113"/>
  <c r="AX44" i="113"/>
  <c r="AW44" i="113"/>
  <c r="AV44" i="113"/>
  <c r="AU44" i="113"/>
  <c r="AT44" i="113"/>
  <c r="AS44" i="113"/>
  <c r="AR44" i="113"/>
  <c r="AQ44" i="113"/>
  <c r="AP44" i="113"/>
  <c r="AO44" i="113"/>
  <c r="AN44" i="113"/>
  <c r="AM44" i="113"/>
  <c r="AL44" i="113"/>
  <c r="AK44" i="113"/>
  <c r="AJ44" i="113"/>
  <c r="BG43" i="113"/>
  <c r="BF43" i="113"/>
  <c r="BE43" i="113"/>
  <c r="BD43" i="113"/>
  <c r="BC43" i="113"/>
  <c r="BB43" i="113"/>
  <c r="BA43" i="113"/>
  <c r="AZ43" i="113"/>
  <c r="AY43" i="113"/>
  <c r="AX43" i="113"/>
  <c r="AW43" i="113"/>
  <c r="AV43" i="113"/>
  <c r="AU43" i="113"/>
  <c r="AT43" i="113"/>
  <c r="AS43" i="113"/>
  <c r="AR43" i="113"/>
  <c r="AQ43" i="113"/>
  <c r="AP43" i="113"/>
  <c r="AO43" i="113"/>
  <c r="AN43" i="113"/>
  <c r="AM43" i="113"/>
  <c r="AL43" i="113"/>
  <c r="AK43" i="113"/>
  <c r="AJ43" i="113"/>
  <c r="BG42" i="113"/>
  <c r="BF42" i="113"/>
  <c r="BE42" i="113"/>
  <c r="BD42" i="113"/>
  <c r="BC42" i="113"/>
  <c r="BB42" i="113"/>
  <c r="BA42" i="113"/>
  <c r="AZ42" i="113"/>
  <c r="AY42" i="113"/>
  <c r="AX42" i="113"/>
  <c r="AW42" i="113"/>
  <c r="AV42" i="113"/>
  <c r="AU42" i="113"/>
  <c r="AT42" i="113"/>
  <c r="AS42" i="113"/>
  <c r="AR42" i="113"/>
  <c r="AQ42" i="113"/>
  <c r="AP42" i="113"/>
  <c r="AO42" i="113"/>
  <c r="AN42" i="113"/>
  <c r="AM42" i="113"/>
  <c r="AL42" i="113"/>
  <c r="AK42" i="113"/>
  <c r="AJ42" i="113"/>
  <c r="BG41" i="113"/>
  <c r="BF41" i="113"/>
  <c r="BE41" i="113"/>
  <c r="BD41" i="113"/>
  <c r="BC41" i="113"/>
  <c r="BB41" i="113"/>
  <c r="BA41" i="113"/>
  <c r="AZ41" i="113"/>
  <c r="AY41" i="113"/>
  <c r="AX41" i="113"/>
  <c r="AW41" i="113"/>
  <c r="AV41" i="113"/>
  <c r="AU41" i="113"/>
  <c r="AT41" i="113"/>
  <c r="AS41" i="113"/>
  <c r="AR41" i="113"/>
  <c r="AQ41" i="113"/>
  <c r="AP41" i="113"/>
  <c r="AO41" i="113"/>
  <c r="AN41" i="113"/>
  <c r="AM41" i="113"/>
  <c r="AL41" i="113"/>
  <c r="AK41" i="113"/>
  <c r="AJ41" i="113"/>
  <c r="BG40" i="113"/>
  <c r="BF40" i="113"/>
  <c r="BE40" i="113"/>
  <c r="BD40" i="113"/>
  <c r="BC40" i="113"/>
  <c r="BB40" i="113"/>
  <c r="BA40" i="113"/>
  <c r="AZ40" i="113"/>
  <c r="AY40" i="113"/>
  <c r="AX40" i="113"/>
  <c r="AW40" i="113"/>
  <c r="AV40" i="113"/>
  <c r="AU40" i="113"/>
  <c r="AT40" i="113"/>
  <c r="AS40" i="113"/>
  <c r="AR40" i="113"/>
  <c r="AQ40" i="113"/>
  <c r="AP40" i="113"/>
  <c r="AO40" i="113"/>
  <c r="AN40" i="113"/>
  <c r="AM40" i="113"/>
  <c r="AL40" i="113"/>
  <c r="AK40" i="113"/>
  <c r="AJ40" i="113"/>
  <c r="BG39" i="113"/>
  <c r="BF39" i="113"/>
  <c r="BE39" i="113"/>
  <c r="BD39" i="113"/>
  <c r="BC39" i="113"/>
  <c r="BB39" i="113"/>
  <c r="BA39" i="113"/>
  <c r="AZ39" i="113"/>
  <c r="AY39" i="113"/>
  <c r="AX39" i="113"/>
  <c r="AW39" i="113"/>
  <c r="AV39" i="113"/>
  <c r="AU39" i="113"/>
  <c r="AT39" i="113"/>
  <c r="AS39" i="113"/>
  <c r="AR39" i="113"/>
  <c r="AQ39" i="113"/>
  <c r="AP39" i="113"/>
  <c r="AO39" i="113"/>
  <c r="AN39" i="113"/>
  <c r="AM39" i="113"/>
  <c r="AL39" i="113"/>
  <c r="AK39" i="113"/>
  <c r="AJ39" i="113"/>
  <c r="BG38" i="113"/>
  <c r="BF38" i="113"/>
  <c r="BE38" i="113"/>
  <c r="BD38" i="113"/>
  <c r="BC38" i="113"/>
  <c r="BB38" i="113"/>
  <c r="BA38" i="113"/>
  <c r="AZ38" i="113"/>
  <c r="AY38" i="113"/>
  <c r="AX38" i="113"/>
  <c r="AW38" i="113"/>
  <c r="AV38" i="113"/>
  <c r="AU38" i="113"/>
  <c r="AT38" i="113"/>
  <c r="AS38" i="113"/>
  <c r="AR38" i="113"/>
  <c r="AQ38" i="113"/>
  <c r="AP38" i="113"/>
  <c r="AO38" i="113"/>
  <c r="AN38" i="113"/>
  <c r="AM38" i="113"/>
  <c r="AL38" i="113"/>
  <c r="AK38" i="113"/>
  <c r="AJ38" i="113"/>
  <c r="BG37" i="113"/>
  <c r="BF37" i="113"/>
  <c r="BE37" i="113"/>
  <c r="BD37" i="113"/>
  <c r="BC37" i="113"/>
  <c r="BB37" i="113"/>
  <c r="BA37" i="113"/>
  <c r="AZ37" i="113"/>
  <c r="AY37" i="113"/>
  <c r="AX37" i="113"/>
  <c r="AW37" i="113"/>
  <c r="AV37" i="113"/>
  <c r="AU37" i="113"/>
  <c r="AT37" i="113"/>
  <c r="AS37" i="113"/>
  <c r="AR37" i="113"/>
  <c r="AQ37" i="113"/>
  <c r="AP37" i="113"/>
  <c r="AO37" i="113"/>
  <c r="AN37" i="113"/>
  <c r="AM37" i="113"/>
  <c r="AL37" i="113"/>
  <c r="AK37" i="113"/>
  <c r="AJ37" i="113"/>
  <c r="BG36" i="113"/>
  <c r="BF36" i="113"/>
  <c r="BE36" i="113"/>
  <c r="BD36" i="113"/>
  <c r="BC36" i="113"/>
  <c r="BB36" i="113"/>
  <c r="BA36" i="113"/>
  <c r="AZ36" i="113"/>
  <c r="AY36" i="113"/>
  <c r="AX36" i="113"/>
  <c r="AW36" i="113"/>
  <c r="AV36" i="113"/>
  <c r="AU36" i="113"/>
  <c r="AT36" i="113"/>
  <c r="AS36" i="113"/>
  <c r="AR36" i="113"/>
  <c r="AQ36" i="113"/>
  <c r="AP36" i="113"/>
  <c r="AO36" i="113"/>
  <c r="AN36" i="113"/>
  <c r="AM36" i="113"/>
  <c r="AL36" i="113"/>
  <c r="AK36" i="113"/>
  <c r="AJ36" i="113"/>
  <c r="BG35" i="113"/>
  <c r="BF35" i="113"/>
  <c r="BE35" i="113"/>
  <c r="BD35" i="113"/>
  <c r="BC35" i="113"/>
  <c r="BB35" i="113"/>
  <c r="BA35" i="113"/>
  <c r="AZ35" i="113"/>
  <c r="AY35" i="113"/>
  <c r="AX35" i="113"/>
  <c r="AW35" i="113"/>
  <c r="AV35" i="113"/>
  <c r="AU35" i="113"/>
  <c r="AT35" i="113"/>
  <c r="AS35" i="113"/>
  <c r="AR35" i="113"/>
  <c r="AQ35" i="113"/>
  <c r="AP35" i="113"/>
  <c r="AO35" i="113"/>
  <c r="AN35" i="113"/>
  <c r="AM35" i="113"/>
  <c r="AL35" i="113"/>
  <c r="AK35" i="113"/>
  <c r="AJ35" i="113"/>
  <c r="BG34" i="113"/>
  <c r="BF34" i="113"/>
  <c r="BE34" i="113"/>
  <c r="BD34" i="113"/>
  <c r="BC34" i="113"/>
  <c r="BB34" i="113"/>
  <c r="BA34" i="113"/>
  <c r="AZ34" i="113"/>
  <c r="AY34" i="113"/>
  <c r="AX34" i="113"/>
  <c r="AW34" i="113"/>
  <c r="AV34" i="113"/>
  <c r="AU34" i="113"/>
  <c r="AT34" i="113"/>
  <c r="AS34" i="113"/>
  <c r="AR34" i="113"/>
  <c r="AQ34" i="113"/>
  <c r="AP34" i="113"/>
  <c r="AO34" i="113"/>
  <c r="AN34" i="113"/>
  <c r="AM34" i="113"/>
  <c r="AL34" i="113"/>
  <c r="AK34" i="113"/>
  <c r="AJ34" i="113"/>
  <c r="BG33" i="113"/>
  <c r="BF33" i="113"/>
  <c r="BE33" i="113"/>
  <c r="BD33" i="113"/>
  <c r="BC33" i="113"/>
  <c r="BB33" i="113"/>
  <c r="BA33" i="113"/>
  <c r="AZ33" i="113"/>
  <c r="AY33" i="113"/>
  <c r="AX33" i="113"/>
  <c r="AW33" i="113"/>
  <c r="AV33" i="113"/>
  <c r="AU33" i="113"/>
  <c r="AT33" i="113"/>
  <c r="AS33" i="113"/>
  <c r="AR33" i="113"/>
  <c r="AQ33" i="113"/>
  <c r="AP33" i="113"/>
  <c r="AO33" i="113"/>
  <c r="AN33" i="113"/>
  <c r="AM33" i="113"/>
  <c r="AL33" i="113"/>
  <c r="AK33" i="113"/>
  <c r="AJ33" i="113"/>
  <c r="BG32" i="113"/>
  <c r="BF32" i="113"/>
  <c r="BE32" i="113"/>
  <c r="BD32" i="113"/>
  <c r="BC32" i="113"/>
  <c r="BB32" i="113"/>
  <c r="BA32" i="113"/>
  <c r="AZ32" i="113"/>
  <c r="AY32" i="113"/>
  <c r="AX32" i="113"/>
  <c r="AW32" i="113"/>
  <c r="AV32" i="113"/>
  <c r="AU32" i="113"/>
  <c r="AT32" i="113"/>
  <c r="AS32" i="113"/>
  <c r="AR32" i="113"/>
  <c r="AQ32" i="113"/>
  <c r="AP32" i="113"/>
  <c r="AO32" i="113"/>
  <c r="AN32" i="113"/>
  <c r="AM32" i="113"/>
  <c r="AL32" i="113"/>
  <c r="AK32" i="113"/>
  <c r="AJ32" i="113"/>
  <c r="BG31" i="113"/>
  <c r="BF31" i="113"/>
  <c r="BE31" i="113"/>
  <c r="BD31" i="113"/>
  <c r="BC31" i="113"/>
  <c r="BB31" i="113"/>
  <c r="BA31" i="113"/>
  <c r="AZ31" i="113"/>
  <c r="AY31" i="113"/>
  <c r="AX31" i="113"/>
  <c r="AW31" i="113"/>
  <c r="AV31" i="113"/>
  <c r="AU31" i="113"/>
  <c r="AT31" i="113"/>
  <c r="AS31" i="113"/>
  <c r="AR31" i="113"/>
  <c r="AQ31" i="113"/>
  <c r="AP31" i="113"/>
  <c r="AO31" i="113"/>
  <c r="AN31" i="113"/>
  <c r="AM31" i="113"/>
  <c r="AL31" i="113"/>
  <c r="AK31" i="113"/>
  <c r="AJ31" i="113"/>
  <c r="BG30" i="113"/>
  <c r="BF30" i="113"/>
  <c r="BE30" i="113"/>
  <c r="BD30" i="113"/>
  <c r="BC30" i="113"/>
  <c r="BB30" i="113"/>
  <c r="BA30" i="113"/>
  <c r="AZ30" i="113"/>
  <c r="AY30" i="113"/>
  <c r="AX30" i="113"/>
  <c r="AW30" i="113"/>
  <c r="AV30" i="113"/>
  <c r="AU30" i="113"/>
  <c r="AT30" i="113"/>
  <c r="AS30" i="113"/>
  <c r="AR30" i="113"/>
  <c r="AQ30" i="113"/>
  <c r="AP30" i="113"/>
  <c r="AO30" i="113"/>
  <c r="AN30" i="113"/>
  <c r="AM30" i="113"/>
  <c r="AL30" i="113"/>
  <c r="AK30" i="113"/>
  <c r="AJ30" i="113"/>
  <c r="BG29" i="113"/>
  <c r="BF29" i="113"/>
  <c r="BE29" i="113"/>
  <c r="BD29" i="113"/>
  <c r="BC29" i="113"/>
  <c r="BB29" i="113"/>
  <c r="BA29" i="113"/>
  <c r="AZ29" i="113"/>
  <c r="AY29" i="113"/>
  <c r="AX29" i="113"/>
  <c r="AW29" i="113"/>
  <c r="AV29" i="113"/>
  <c r="AU29" i="113"/>
  <c r="AT29" i="113"/>
  <c r="AS29" i="113"/>
  <c r="AR29" i="113"/>
  <c r="AQ29" i="113"/>
  <c r="AP29" i="113"/>
  <c r="AO29" i="113"/>
  <c r="AN29" i="113"/>
  <c r="AM29" i="113"/>
  <c r="AL29" i="113"/>
  <c r="AK29" i="113"/>
  <c r="AJ29" i="113"/>
  <c r="BG28" i="113"/>
  <c r="BF28" i="113"/>
  <c r="BE28" i="113"/>
  <c r="BD28" i="113"/>
  <c r="BC28" i="113"/>
  <c r="BB28" i="113"/>
  <c r="BA28" i="113"/>
  <c r="AZ28" i="113"/>
  <c r="AY28" i="113"/>
  <c r="AX28" i="113"/>
  <c r="AW28" i="113"/>
  <c r="AV28" i="113"/>
  <c r="AU28" i="113"/>
  <c r="AT28" i="113"/>
  <c r="AS28" i="113"/>
  <c r="AR28" i="113"/>
  <c r="AQ28" i="113"/>
  <c r="AP28" i="113"/>
  <c r="AO28" i="113"/>
  <c r="AN28" i="113"/>
  <c r="AM28" i="113"/>
  <c r="AL28" i="113"/>
  <c r="AK28" i="113"/>
  <c r="AJ28" i="113"/>
  <c r="BG27" i="113"/>
  <c r="BF27" i="113"/>
  <c r="BE27" i="113"/>
  <c r="BD27" i="113"/>
  <c r="BC27" i="113"/>
  <c r="BB27" i="113"/>
  <c r="BA27" i="113"/>
  <c r="AZ27" i="113"/>
  <c r="AY27" i="113"/>
  <c r="AX27" i="113"/>
  <c r="AW27" i="113"/>
  <c r="AV27" i="113"/>
  <c r="AU27" i="113"/>
  <c r="AT27" i="113"/>
  <c r="AS27" i="113"/>
  <c r="AR27" i="113"/>
  <c r="AQ27" i="113"/>
  <c r="AP27" i="113"/>
  <c r="AO27" i="113"/>
  <c r="AN27" i="113"/>
  <c r="AM27" i="113"/>
  <c r="AL27" i="113"/>
  <c r="AK27" i="113"/>
  <c r="AJ27" i="113"/>
  <c r="BG26" i="113"/>
  <c r="BF26" i="113"/>
  <c r="BE26" i="113"/>
  <c r="BD26" i="113"/>
  <c r="BC26" i="113"/>
  <c r="BB26" i="113"/>
  <c r="BA26" i="113"/>
  <c r="AZ26" i="113"/>
  <c r="AY26" i="113"/>
  <c r="AX26" i="113"/>
  <c r="AW26" i="113"/>
  <c r="AV26" i="113"/>
  <c r="AU26" i="113"/>
  <c r="AT26" i="113"/>
  <c r="AS26" i="113"/>
  <c r="AR26" i="113"/>
  <c r="AQ26" i="113"/>
  <c r="AP26" i="113"/>
  <c r="AO26" i="113"/>
  <c r="AN26" i="113"/>
  <c r="AM26" i="113"/>
  <c r="AL26" i="113"/>
  <c r="AK26" i="113"/>
  <c r="AJ26" i="113"/>
  <c r="BG25" i="113"/>
  <c r="BF25" i="113"/>
  <c r="BE25" i="113"/>
  <c r="BD25" i="113"/>
  <c r="BC25" i="113"/>
  <c r="BB25" i="113"/>
  <c r="BA25" i="113"/>
  <c r="AZ25" i="113"/>
  <c r="AY25" i="113"/>
  <c r="AX25" i="113"/>
  <c r="AW25" i="113"/>
  <c r="AV25" i="113"/>
  <c r="AU25" i="113"/>
  <c r="AT25" i="113"/>
  <c r="AS25" i="113"/>
  <c r="AR25" i="113"/>
  <c r="AQ25" i="113"/>
  <c r="AP25" i="113"/>
  <c r="AO25" i="113"/>
  <c r="AN25" i="113"/>
  <c r="AM25" i="113"/>
  <c r="AL25" i="113"/>
  <c r="AK25" i="113"/>
  <c r="AJ25" i="113"/>
  <c r="BG24" i="113"/>
  <c r="BF24" i="113"/>
  <c r="BE24" i="113"/>
  <c r="BD24" i="113"/>
  <c r="BC24" i="113"/>
  <c r="BB24" i="113"/>
  <c r="BA24" i="113"/>
  <c r="AZ24" i="113"/>
  <c r="AY24" i="113"/>
  <c r="AX24" i="113"/>
  <c r="AW24" i="113"/>
  <c r="AV24" i="113"/>
  <c r="AU24" i="113"/>
  <c r="AT24" i="113"/>
  <c r="AS24" i="113"/>
  <c r="AR24" i="113"/>
  <c r="AQ24" i="113"/>
  <c r="AP24" i="113"/>
  <c r="AO24" i="113"/>
  <c r="AN24" i="113"/>
  <c r="AM24" i="113"/>
  <c r="AL24" i="113"/>
  <c r="AK24" i="113"/>
  <c r="AJ24" i="113"/>
  <c r="BG23" i="113"/>
  <c r="BF23" i="113"/>
  <c r="BE23" i="113"/>
  <c r="BD23" i="113"/>
  <c r="BC23" i="113"/>
  <c r="BB23" i="113"/>
  <c r="BA23" i="113"/>
  <c r="AZ23" i="113"/>
  <c r="AY23" i="113"/>
  <c r="AX23" i="113"/>
  <c r="AW23" i="113"/>
  <c r="AV23" i="113"/>
  <c r="AU23" i="113"/>
  <c r="AT23" i="113"/>
  <c r="AS23" i="113"/>
  <c r="AR23" i="113"/>
  <c r="AQ23" i="113"/>
  <c r="AP23" i="113"/>
  <c r="AO23" i="113"/>
  <c r="AN23" i="113"/>
  <c r="AM23" i="113"/>
  <c r="AL23" i="113"/>
  <c r="AK23" i="113"/>
  <c r="AJ23" i="113"/>
  <c r="BG22" i="113"/>
  <c r="BF22" i="113"/>
  <c r="BE22" i="113"/>
  <c r="BD22" i="113"/>
  <c r="BC22" i="113"/>
  <c r="BB22" i="113"/>
  <c r="BA22" i="113"/>
  <c r="AZ22" i="113"/>
  <c r="AY22" i="113"/>
  <c r="AX22" i="113"/>
  <c r="AW22" i="113"/>
  <c r="AV22" i="113"/>
  <c r="AU22" i="113"/>
  <c r="AT22" i="113"/>
  <c r="AS22" i="113"/>
  <c r="AR22" i="113"/>
  <c r="AQ22" i="113"/>
  <c r="AP22" i="113"/>
  <c r="AO22" i="113"/>
  <c r="AN22" i="113"/>
  <c r="AM22" i="113"/>
  <c r="AL22" i="113"/>
  <c r="AK22" i="113"/>
  <c r="AJ22" i="113"/>
  <c r="BG21" i="113"/>
  <c r="BF21" i="113"/>
  <c r="BE21" i="113"/>
  <c r="BD21" i="113"/>
  <c r="BC21" i="113"/>
  <c r="BB21" i="113"/>
  <c r="BA21" i="113"/>
  <c r="AZ21" i="113"/>
  <c r="AY21" i="113"/>
  <c r="AX21" i="113"/>
  <c r="AW21" i="113"/>
  <c r="AV21" i="113"/>
  <c r="AU21" i="113"/>
  <c r="AT21" i="113"/>
  <c r="AS21" i="113"/>
  <c r="AR21" i="113"/>
  <c r="AQ21" i="113"/>
  <c r="AP21" i="113"/>
  <c r="AO21" i="113"/>
  <c r="AN21" i="113"/>
  <c r="AM21" i="113"/>
  <c r="AL21" i="113"/>
  <c r="AK21" i="113"/>
  <c r="AJ21" i="113"/>
  <c r="BG20" i="113"/>
  <c r="BF20" i="113"/>
  <c r="BE20" i="113"/>
  <c r="BD20" i="113"/>
  <c r="BC20" i="113"/>
  <c r="BB20" i="113"/>
  <c r="BA20" i="113"/>
  <c r="AZ20" i="113"/>
  <c r="AY20" i="113"/>
  <c r="AX20" i="113"/>
  <c r="AW20" i="113"/>
  <c r="AV20" i="113"/>
  <c r="AU20" i="113"/>
  <c r="AT20" i="113"/>
  <c r="AS20" i="113"/>
  <c r="AR20" i="113"/>
  <c r="AQ20" i="113"/>
  <c r="AP20" i="113"/>
  <c r="AO20" i="113"/>
  <c r="AN20" i="113"/>
  <c r="AM20" i="113"/>
  <c r="AL20" i="113"/>
  <c r="AK20" i="113"/>
  <c r="AJ20" i="113"/>
  <c r="BG19" i="113"/>
  <c r="BF19" i="113"/>
  <c r="BE19" i="113"/>
  <c r="BD19" i="113"/>
  <c r="BC19" i="113"/>
  <c r="BB19" i="113"/>
  <c r="BA19" i="113"/>
  <c r="AZ19" i="113"/>
  <c r="AY19" i="113"/>
  <c r="AX19" i="113"/>
  <c r="AW19" i="113"/>
  <c r="AV19" i="113"/>
  <c r="AU19" i="113"/>
  <c r="AT19" i="113"/>
  <c r="AS19" i="113"/>
  <c r="AR19" i="113"/>
  <c r="AQ19" i="113"/>
  <c r="AP19" i="113"/>
  <c r="AO19" i="113"/>
  <c r="AN19" i="113"/>
  <c r="AM19" i="113"/>
  <c r="AL19" i="113"/>
  <c r="AK19" i="113"/>
  <c r="AJ19" i="113"/>
  <c r="BG18" i="113"/>
  <c r="BF18" i="113"/>
  <c r="BE18" i="113"/>
  <c r="BD18" i="113"/>
  <c r="BC18" i="113"/>
  <c r="BB18" i="113"/>
  <c r="BA18" i="113"/>
  <c r="AZ18" i="113"/>
  <c r="AY18" i="113"/>
  <c r="AX18" i="113"/>
  <c r="AW18" i="113"/>
  <c r="AV18" i="113"/>
  <c r="AU18" i="113"/>
  <c r="AT18" i="113"/>
  <c r="AS18" i="113"/>
  <c r="AR18" i="113"/>
  <c r="AQ18" i="113"/>
  <c r="AP18" i="113"/>
  <c r="AO18" i="113"/>
  <c r="AN18" i="113"/>
  <c r="AM18" i="113"/>
  <c r="AL18" i="113"/>
  <c r="AK18" i="113"/>
  <c r="AJ18" i="113"/>
  <c r="BG17" i="113"/>
  <c r="BF17" i="113"/>
  <c r="BE17" i="113"/>
  <c r="BD17" i="113"/>
  <c r="BC17" i="113"/>
  <c r="BB17" i="113"/>
  <c r="BA17" i="113"/>
  <c r="AZ17" i="113"/>
  <c r="AY17" i="113"/>
  <c r="AX17" i="113"/>
  <c r="AW17" i="113"/>
  <c r="AV17" i="113"/>
  <c r="AU17" i="113"/>
  <c r="AT17" i="113"/>
  <c r="AS17" i="113"/>
  <c r="AR17" i="113"/>
  <c r="AQ17" i="113"/>
  <c r="AP17" i="113"/>
  <c r="AO17" i="113"/>
  <c r="AN17" i="113"/>
  <c r="AM17" i="113"/>
  <c r="AL17" i="113"/>
  <c r="AK17" i="113"/>
  <c r="AJ17" i="113"/>
  <c r="BG16" i="113"/>
  <c r="BF16" i="113"/>
  <c r="BE16" i="113"/>
  <c r="BD16" i="113"/>
  <c r="BC16" i="113"/>
  <c r="BB16" i="113"/>
  <c r="BA16" i="113"/>
  <c r="AZ16" i="113"/>
  <c r="AY16" i="113"/>
  <c r="AX16" i="113"/>
  <c r="AW16" i="113"/>
  <c r="AV16" i="113"/>
  <c r="AU16" i="113"/>
  <c r="AT16" i="113"/>
  <c r="AS16" i="113"/>
  <c r="AR16" i="113"/>
  <c r="AQ16" i="113"/>
  <c r="AP16" i="113"/>
  <c r="AO16" i="113"/>
  <c r="AN16" i="113"/>
  <c r="AM16" i="113"/>
  <c r="AL16" i="113"/>
  <c r="AK16" i="113"/>
  <c r="AJ16" i="113"/>
  <c r="BG15" i="113"/>
  <c r="BF15" i="113"/>
  <c r="BE15" i="113"/>
  <c r="BD15" i="113"/>
  <c r="BC15" i="113"/>
  <c r="BB15" i="113"/>
  <c r="BA15" i="113"/>
  <c r="AZ15" i="113"/>
  <c r="AY15" i="113"/>
  <c r="AX15" i="113"/>
  <c r="AW15" i="113"/>
  <c r="AV15" i="113"/>
  <c r="AU15" i="113"/>
  <c r="AT15" i="113"/>
  <c r="AS15" i="113"/>
  <c r="AR15" i="113"/>
  <c r="AQ15" i="113"/>
  <c r="AP15" i="113"/>
  <c r="AO15" i="113"/>
  <c r="AN15" i="113"/>
  <c r="AM15" i="113"/>
  <c r="AL15" i="113"/>
  <c r="AK15" i="113"/>
  <c r="AJ15" i="113"/>
  <c r="BL14" i="113"/>
  <c r="BK14" i="113"/>
  <c r="BJ14" i="113"/>
  <c r="BI14" i="113"/>
  <c r="BH14" i="113"/>
  <c r="BG14" i="113"/>
  <c r="BF14" i="113"/>
  <c r="BE14" i="113"/>
  <c r="BD14" i="113"/>
  <c r="BC14" i="113"/>
  <c r="BB14" i="113"/>
  <c r="BA14" i="113"/>
  <c r="AZ14" i="113"/>
  <c r="AY14" i="113"/>
  <c r="AX14" i="113"/>
  <c r="AW14" i="113"/>
  <c r="AV14" i="113"/>
  <c r="AU14" i="113"/>
  <c r="AT14" i="113"/>
  <c r="AS14" i="113"/>
  <c r="AR14" i="113"/>
  <c r="AQ14" i="113"/>
  <c r="AP14" i="113"/>
  <c r="AO14" i="113"/>
  <c r="AN14" i="113"/>
  <c r="AM14" i="113"/>
  <c r="AL14" i="113"/>
  <c r="BL13" i="113"/>
  <c r="BK13" i="113"/>
  <c r="BJ13" i="113"/>
  <c r="BI13" i="113"/>
  <c r="BH13" i="113"/>
  <c r="BG13" i="113"/>
  <c r="BF13" i="113"/>
  <c r="BE13" i="113"/>
  <c r="BD13" i="113"/>
  <c r="BA13" i="113"/>
  <c r="AZ13" i="113"/>
  <c r="AY13" i="113"/>
  <c r="AX13" i="113"/>
  <c r="AW13" i="113"/>
  <c r="AV13" i="113"/>
  <c r="AU13" i="113"/>
  <c r="AT13" i="113"/>
  <c r="AS13" i="113"/>
  <c r="AR13" i="113"/>
  <c r="AQ13" i="113"/>
  <c r="AP13" i="113"/>
  <c r="AO13" i="113"/>
  <c r="AN13" i="113"/>
  <c r="AM13" i="113"/>
  <c r="AL13" i="113"/>
  <c r="BG44" i="114"/>
  <c r="BF44" i="114"/>
  <c r="BE44" i="114"/>
  <c r="BD44" i="114"/>
  <c r="BC44" i="114"/>
  <c r="BB44" i="114"/>
  <c r="BA44" i="114"/>
  <c r="AZ44" i="114"/>
  <c r="AY44" i="114"/>
  <c r="AX44" i="114"/>
  <c r="AW44" i="114"/>
  <c r="AV44" i="114"/>
  <c r="AU44" i="114"/>
  <c r="AT44" i="114"/>
  <c r="AS44" i="114"/>
  <c r="AR44" i="114"/>
  <c r="AQ44" i="114"/>
  <c r="AP44" i="114"/>
  <c r="AO44" i="114"/>
  <c r="AN44" i="114"/>
  <c r="AM44" i="114"/>
  <c r="AL44" i="114"/>
  <c r="AK44" i="114"/>
  <c r="AJ44" i="114"/>
  <c r="BG43" i="114"/>
  <c r="BF43" i="114"/>
  <c r="BE43" i="114"/>
  <c r="BD43" i="114"/>
  <c r="BC43" i="114"/>
  <c r="BB43" i="114"/>
  <c r="BA43" i="114"/>
  <c r="AZ43" i="114"/>
  <c r="AY43" i="114"/>
  <c r="AX43" i="114"/>
  <c r="AW43" i="114"/>
  <c r="AV43" i="114"/>
  <c r="AU43" i="114"/>
  <c r="AT43" i="114"/>
  <c r="AS43" i="114"/>
  <c r="AR43" i="114"/>
  <c r="AQ43" i="114"/>
  <c r="AP43" i="114"/>
  <c r="AO43" i="114"/>
  <c r="AN43" i="114"/>
  <c r="AM43" i="114"/>
  <c r="AL43" i="114"/>
  <c r="AK43" i="114"/>
  <c r="AJ43" i="114"/>
  <c r="BG42" i="114"/>
  <c r="BF42" i="114"/>
  <c r="BE42" i="114"/>
  <c r="BD42" i="114"/>
  <c r="BC42" i="114"/>
  <c r="BB42" i="114"/>
  <c r="BA42" i="114"/>
  <c r="AZ42" i="114"/>
  <c r="AY42" i="114"/>
  <c r="AX42" i="114"/>
  <c r="AW42" i="114"/>
  <c r="AV42" i="114"/>
  <c r="AU42" i="114"/>
  <c r="AT42" i="114"/>
  <c r="AS42" i="114"/>
  <c r="AR42" i="114"/>
  <c r="AQ42" i="114"/>
  <c r="AP42" i="114"/>
  <c r="AO42" i="114"/>
  <c r="AN42" i="114"/>
  <c r="AM42" i="114"/>
  <c r="AL42" i="114"/>
  <c r="AK42" i="114"/>
  <c r="AJ42" i="114"/>
  <c r="BG41" i="114"/>
  <c r="BF41" i="114"/>
  <c r="BE41" i="114"/>
  <c r="BD41" i="114"/>
  <c r="BC41" i="114"/>
  <c r="BB41" i="114"/>
  <c r="BA41" i="114"/>
  <c r="AZ41" i="114"/>
  <c r="AY41" i="114"/>
  <c r="AX41" i="114"/>
  <c r="AW41" i="114"/>
  <c r="AV41" i="114"/>
  <c r="AU41" i="114"/>
  <c r="AT41" i="114"/>
  <c r="AS41" i="114"/>
  <c r="AR41" i="114"/>
  <c r="AQ41" i="114"/>
  <c r="AP41" i="114"/>
  <c r="AO41" i="114"/>
  <c r="AN41" i="114"/>
  <c r="AM41" i="114"/>
  <c r="AL41" i="114"/>
  <c r="AK41" i="114"/>
  <c r="AJ41" i="114"/>
  <c r="BG40" i="114"/>
  <c r="BF40" i="114"/>
  <c r="BE40" i="114"/>
  <c r="BD40" i="114"/>
  <c r="BC40" i="114"/>
  <c r="BB40" i="114"/>
  <c r="BA40" i="114"/>
  <c r="AZ40" i="114"/>
  <c r="AY40" i="114"/>
  <c r="AX40" i="114"/>
  <c r="AW40" i="114"/>
  <c r="AV40" i="114"/>
  <c r="AU40" i="114"/>
  <c r="AT40" i="114"/>
  <c r="AS40" i="114"/>
  <c r="AR40" i="114"/>
  <c r="AQ40" i="114"/>
  <c r="AP40" i="114"/>
  <c r="AO40" i="114"/>
  <c r="AN40" i="114"/>
  <c r="AM40" i="114"/>
  <c r="AL40" i="114"/>
  <c r="AK40" i="114"/>
  <c r="AJ40" i="114"/>
  <c r="BG39" i="114"/>
  <c r="BF39" i="114"/>
  <c r="BE39" i="114"/>
  <c r="BD39" i="114"/>
  <c r="BC39" i="114"/>
  <c r="BB39" i="114"/>
  <c r="BA39" i="114"/>
  <c r="AZ39" i="114"/>
  <c r="AY39" i="114"/>
  <c r="AX39" i="114"/>
  <c r="AW39" i="114"/>
  <c r="AV39" i="114"/>
  <c r="AU39" i="114"/>
  <c r="AT39" i="114"/>
  <c r="AS39" i="114"/>
  <c r="AR39" i="114"/>
  <c r="AQ39" i="114"/>
  <c r="AP39" i="114"/>
  <c r="AO39" i="114"/>
  <c r="AN39" i="114"/>
  <c r="AM39" i="114"/>
  <c r="AL39" i="114"/>
  <c r="AK39" i="114"/>
  <c r="AJ39" i="114"/>
  <c r="BG38" i="114"/>
  <c r="BF38" i="114"/>
  <c r="BE38" i="114"/>
  <c r="BD38" i="114"/>
  <c r="BC38" i="114"/>
  <c r="BB38" i="114"/>
  <c r="BA38" i="114"/>
  <c r="AZ38" i="114"/>
  <c r="AY38" i="114"/>
  <c r="AX38" i="114"/>
  <c r="AW38" i="114"/>
  <c r="AV38" i="114"/>
  <c r="AU38" i="114"/>
  <c r="AT38" i="114"/>
  <c r="AS38" i="114"/>
  <c r="AR38" i="114"/>
  <c r="AQ38" i="114"/>
  <c r="AP38" i="114"/>
  <c r="AO38" i="114"/>
  <c r="AN38" i="114"/>
  <c r="AM38" i="114"/>
  <c r="AL38" i="114"/>
  <c r="AK38" i="114"/>
  <c r="AJ38" i="114"/>
  <c r="BG37" i="114"/>
  <c r="BF37" i="114"/>
  <c r="BE37" i="114"/>
  <c r="BD37" i="114"/>
  <c r="BC37" i="114"/>
  <c r="BB37" i="114"/>
  <c r="BA37" i="114"/>
  <c r="AZ37" i="114"/>
  <c r="AY37" i="114"/>
  <c r="AX37" i="114"/>
  <c r="AW37" i="114"/>
  <c r="AV37" i="114"/>
  <c r="AU37" i="114"/>
  <c r="AT37" i="114"/>
  <c r="AS37" i="114"/>
  <c r="AR37" i="114"/>
  <c r="AQ37" i="114"/>
  <c r="AP37" i="114"/>
  <c r="AO37" i="114"/>
  <c r="AN37" i="114"/>
  <c r="AM37" i="114"/>
  <c r="AL37" i="114"/>
  <c r="AK37" i="114"/>
  <c r="AJ37" i="114"/>
  <c r="BG36" i="114"/>
  <c r="BF36" i="114"/>
  <c r="BE36" i="114"/>
  <c r="BD36" i="114"/>
  <c r="BC36" i="114"/>
  <c r="BB36" i="114"/>
  <c r="BA36" i="114"/>
  <c r="AZ36" i="114"/>
  <c r="AY36" i="114"/>
  <c r="AX36" i="114"/>
  <c r="AW36" i="114"/>
  <c r="AV36" i="114"/>
  <c r="AU36" i="114"/>
  <c r="AT36" i="114"/>
  <c r="AS36" i="114"/>
  <c r="AR36" i="114"/>
  <c r="AQ36" i="114"/>
  <c r="AP36" i="114"/>
  <c r="AO36" i="114"/>
  <c r="AN36" i="114"/>
  <c r="AM36" i="114"/>
  <c r="AL36" i="114"/>
  <c r="AK36" i="114"/>
  <c r="AJ36" i="114"/>
  <c r="BG35" i="114"/>
  <c r="BF35" i="114"/>
  <c r="BE35" i="114"/>
  <c r="BD35" i="114"/>
  <c r="BC35" i="114"/>
  <c r="BB35" i="114"/>
  <c r="BA35" i="114"/>
  <c r="AZ35" i="114"/>
  <c r="AY35" i="114"/>
  <c r="AX35" i="114"/>
  <c r="AW35" i="114"/>
  <c r="AV35" i="114"/>
  <c r="AU35" i="114"/>
  <c r="AT35" i="114"/>
  <c r="AS35" i="114"/>
  <c r="AR35" i="114"/>
  <c r="AQ35" i="114"/>
  <c r="AP35" i="114"/>
  <c r="AO35" i="114"/>
  <c r="AN35" i="114"/>
  <c r="AM35" i="114"/>
  <c r="AL35" i="114"/>
  <c r="AK35" i="114"/>
  <c r="AJ35" i="114"/>
  <c r="BG34" i="114"/>
  <c r="BF34" i="114"/>
  <c r="BE34" i="114"/>
  <c r="BD34" i="114"/>
  <c r="BC34" i="114"/>
  <c r="BB34" i="114"/>
  <c r="BA34" i="114"/>
  <c r="AZ34" i="114"/>
  <c r="AY34" i="114"/>
  <c r="AX34" i="114"/>
  <c r="AW34" i="114"/>
  <c r="AV34" i="114"/>
  <c r="AU34" i="114"/>
  <c r="AT34" i="114"/>
  <c r="AS34" i="114"/>
  <c r="AR34" i="114"/>
  <c r="AQ34" i="114"/>
  <c r="AP34" i="114"/>
  <c r="AO34" i="114"/>
  <c r="AN34" i="114"/>
  <c r="AM34" i="114"/>
  <c r="AL34" i="114"/>
  <c r="AK34" i="114"/>
  <c r="AJ34" i="114"/>
  <c r="BG33" i="114"/>
  <c r="BF33" i="114"/>
  <c r="BE33" i="114"/>
  <c r="BD33" i="114"/>
  <c r="BC33" i="114"/>
  <c r="BB33" i="114"/>
  <c r="BA33" i="114"/>
  <c r="AZ33" i="114"/>
  <c r="AY33" i="114"/>
  <c r="AX33" i="114"/>
  <c r="AW33" i="114"/>
  <c r="AV33" i="114"/>
  <c r="AU33" i="114"/>
  <c r="AT33" i="114"/>
  <c r="AS33" i="114"/>
  <c r="AR33" i="114"/>
  <c r="AQ33" i="114"/>
  <c r="AP33" i="114"/>
  <c r="AO33" i="114"/>
  <c r="AN33" i="114"/>
  <c r="AM33" i="114"/>
  <c r="AL33" i="114"/>
  <c r="AK33" i="114"/>
  <c r="AJ33" i="114"/>
  <c r="BG32" i="114"/>
  <c r="BF32" i="114"/>
  <c r="BE32" i="114"/>
  <c r="BD32" i="114"/>
  <c r="BC32" i="114"/>
  <c r="BB32" i="114"/>
  <c r="BA32" i="114"/>
  <c r="AZ32" i="114"/>
  <c r="AY32" i="114"/>
  <c r="AX32" i="114"/>
  <c r="AW32" i="114"/>
  <c r="AV32" i="114"/>
  <c r="AU32" i="114"/>
  <c r="AT32" i="114"/>
  <c r="AS32" i="114"/>
  <c r="AR32" i="114"/>
  <c r="AQ32" i="114"/>
  <c r="AP32" i="114"/>
  <c r="AO32" i="114"/>
  <c r="AN32" i="114"/>
  <c r="AM32" i="114"/>
  <c r="AL32" i="114"/>
  <c r="AK32" i="114"/>
  <c r="AJ32" i="114"/>
  <c r="BG31" i="114"/>
  <c r="BF31" i="114"/>
  <c r="BE31" i="114"/>
  <c r="BD31" i="114"/>
  <c r="BC31" i="114"/>
  <c r="BB31" i="114"/>
  <c r="BA31" i="114"/>
  <c r="AZ31" i="114"/>
  <c r="AY31" i="114"/>
  <c r="AX31" i="114"/>
  <c r="AW31" i="114"/>
  <c r="AV31" i="114"/>
  <c r="AU31" i="114"/>
  <c r="AT31" i="114"/>
  <c r="AS31" i="114"/>
  <c r="AR31" i="114"/>
  <c r="AQ31" i="114"/>
  <c r="AP31" i="114"/>
  <c r="AO31" i="114"/>
  <c r="AN31" i="114"/>
  <c r="AM31" i="114"/>
  <c r="AL31" i="114"/>
  <c r="AK31" i="114"/>
  <c r="AJ31" i="114"/>
  <c r="BG30" i="114"/>
  <c r="BF30" i="114"/>
  <c r="BE30" i="114"/>
  <c r="BD30" i="114"/>
  <c r="BC30" i="114"/>
  <c r="BB30" i="114"/>
  <c r="BA30" i="114"/>
  <c r="AZ30" i="114"/>
  <c r="AY30" i="114"/>
  <c r="AX30" i="114"/>
  <c r="AW30" i="114"/>
  <c r="AV30" i="114"/>
  <c r="AU30" i="114"/>
  <c r="AT30" i="114"/>
  <c r="AS30" i="114"/>
  <c r="AR30" i="114"/>
  <c r="AQ30" i="114"/>
  <c r="AP30" i="114"/>
  <c r="AO30" i="114"/>
  <c r="AN30" i="114"/>
  <c r="AM30" i="114"/>
  <c r="AL30" i="114"/>
  <c r="AK30" i="114"/>
  <c r="AJ30" i="114"/>
  <c r="BG29" i="114"/>
  <c r="BF29" i="114"/>
  <c r="BE29" i="114"/>
  <c r="BD29" i="114"/>
  <c r="BC29" i="114"/>
  <c r="BB29" i="114"/>
  <c r="BA29" i="114"/>
  <c r="AZ29" i="114"/>
  <c r="AY29" i="114"/>
  <c r="AX29" i="114"/>
  <c r="AW29" i="114"/>
  <c r="AV29" i="114"/>
  <c r="AU29" i="114"/>
  <c r="AT29" i="114"/>
  <c r="AS29" i="114"/>
  <c r="AR29" i="114"/>
  <c r="AQ29" i="114"/>
  <c r="AP29" i="114"/>
  <c r="AO29" i="114"/>
  <c r="AN29" i="114"/>
  <c r="AM29" i="114"/>
  <c r="AL29" i="114"/>
  <c r="AK29" i="114"/>
  <c r="AJ29" i="114"/>
  <c r="BG28" i="114"/>
  <c r="BF28" i="114"/>
  <c r="BE28" i="114"/>
  <c r="BD28" i="114"/>
  <c r="BC28" i="114"/>
  <c r="BB28" i="114"/>
  <c r="BA28" i="114"/>
  <c r="AZ28" i="114"/>
  <c r="AY28" i="114"/>
  <c r="AX28" i="114"/>
  <c r="AW28" i="114"/>
  <c r="AV28" i="114"/>
  <c r="AU28" i="114"/>
  <c r="AT28" i="114"/>
  <c r="AS28" i="114"/>
  <c r="AR28" i="114"/>
  <c r="AQ28" i="114"/>
  <c r="AP28" i="114"/>
  <c r="AO28" i="114"/>
  <c r="AN28" i="114"/>
  <c r="AM28" i="114"/>
  <c r="AL28" i="114"/>
  <c r="AK28" i="114"/>
  <c r="AJ28" i="114"/>
  <c r="BG27" i="114"/>
  <c r="BF27" i="114"/>
  <c r="BE27" i="114"/>
  <c r="BD27" i="114"/>
  <c r="BC27" i="114"/>
  <c r="BB27" i="114"/>
  <c r="BA27" i="114"/>
  <c r="AZ27" i="114"/>
  <c r="AY27" i="114"/>
  <c r="AX27" i="114"/>
  <c r="AW27" i="114"/>
  <c r="AV27" i="114"/>
  <c r="AU27" i="114"/>
  <c r="AT27" i="114"/>
  <c r="AS27" i="114"/>
  <c r="AR27" i="114"/>
  <c r="AQ27" i="114"/>
  <c r="AP27" i="114"/>
  <c r="AO27" i="114"/>
  <c r="AN27" i="114"/>
  <c r="AM27" i="114"/>
  <c r="AL27" i="114"/>
  <c r="AK27" i="114"/>
  <c r="AJ27" i="114"/>
  <c r="BG26" i="114"/>
  <c r="BF26" i="114"/>
  <c r="BE26" i="114"/>
  <c r="BD26" i="114"/>
  <c r="BC26" i="114"/>
  <c r="BB26" i="114"/>
  <c r="BA26" i="114"/>
  <c r="AZ26" i="114"/>
  <c r="AY26" i="114"/>
  <c r="AX26" i="114"/>
  <c r="AW26" i="114"/>
  <c r="AV26" i="114"/>
  <c r="AU26" i="114"/>
  <c r="AT26" i="114"/>
  <c r="AS26" i="114"/>
  <c r="AR26" i="114"/>
  <c r="AQ26" i="114"/>
  <c r="AP26" i="114"/>
  <c r="AO26" i="114"/>
  <c r="AN26" i="114"/>
  <c r="AM26" i="114"/>
  <c r="AL26" i="114"/>
  <c r="AK26" i="114"/>
  <c r="AJ26" i="114"/>
  <c r="BG25" i="114"/>
  <c r="BF25" i="114"/>
  <c r="BE25" i="114"/>
  <c r="BD25" i="114"/>
  <c r="BC25" i="114"/>
  <c r="BB25" i="114"/>
  <c r="BA25" i="114"/>
  <c r="AZ25" i="114"/>
  <c r="AY25" i="114"/>
  <c r="AX25" i="114"/>
  <c r="AW25" i="114"/>
  <c r="AV25" i="114"/>
  <c r="AU25" i="114"/>
  <c r="AT25" i="114"/>
  <c r="AS25" i="114"/>
  <c r="AR25" i="114"/>
  <c r="AQ25" i="114"/>
  <c r="AP25" i="114"/>
  <c r="AO25" i="114"/>
  <c r="AN25" i="114"/>
  <c r="AM25" i="114"/>
  <c r="AL25" i="114"/>
  <c r="AK25" i="114"/>
  <c r="AJ25" i="114"/>
  <c r="BG24" i="114"/>
  <c r="BF24" i="114"/>
  <c r="BE24" i="114"/>
  <c r="BD24" i="114"/>
  <c r="BC24" i="114"/>
  <c r="BB24" i="114"/>
  <c r="BA24" i="114"/>
  <c r="AZ24" i="114"/>
  <c r="AY24" i="114"/>
  <c r="AX24" i="114"/>
  <c r="AW24" i="114"/>
  <c r="AV24" i="114"/>
  <c r="AU24" i="114"/>
  <c r="AT24" i="114"/>
  <c r="AS24" i="114"/>
  <c r="AR24" i="114"/>
  <c r="AQ24" i="114"/>
  <c r="AP24" i="114"/>
  <c r="AO24" i="114"/>
  <c r="AN24" i="114"/>
  <c r="AM24" i="114"/>
  <c r="AL24" i="114"/>
  <c r="AK24" i="114"/>
  <c r="AJ24" i="114"/>
  <c r="BG23" i="114"/>
  <c r="BF23" i="114"/>
  <c r="BE23" i="114"/>
  <c r="BD23" i="114"/>
  <c r="BC23" i="114"/>
  <c r="BB23" i="114"/>
  <c r="BA23" i="114"/>
  <c r="AZ23" i="114"/>
  <c r="AY23" i="114"/>
  <c r="AX23" i="114"/>
  <c r="AW23" i="114"/>
  <c r="AV23" i="114"/>
  <c r="AU23" i="114"/>
  <c r="AT23" i="114"/>
  <c r="AS23" i="114"/>
  <c r="AR23" i="114"/>
  <c r="AQ23" i="114"/>
  <c r="AP23" i="114"/>
  <c r="AO23" i="114"/>
  <c r="AN23" i="114"/>
  <c r="AM23" i="114"/>
  <c r="AL23" i="114"/>
  <c r="AK23" i="114"/>
  <c r="AJ23" i="114"/>
  <c r="BG22" i="114"/>
  <c r="BF22" i="114"/>
  <c r="BE22" i="114"/>
  <c r="BD22" i="114"/>
  <c r="BC22" i="114"/>
  <c r="BB22" i="114"/>
  <c r="BA22" i="114"/>
  <c r="AZ22" i="114"/>
  <c r="AY22" i="114"/>
  <c r="AX22" i="114"/>
  <c r="AW22" i="114"/>
  <c r="AV22" i="114"/>
  <c r="AU22" i="114"/>
  <c r="AT22" i="114"/>
  <c r="AS22" i="114"/>
  <c r="AR22" i="114"/>
  <c r="AQ22" i="114"/>
  <c r="AP22" i="114"/>
  <c r="AO22" i="114"/>
  <c r="AN22" i="114"/>
  <c r="AM22" i="114"/>
  <c r="AL22" i="114"/>
  <c r="AK22" i="114"/>
  <c r="AJ22" i="114"/>
  <c r="BG21" i="114"/>
  <c r="BF21" i="114"/>
  <c r="BE21" i="114"/>
  <c r="BD21" i="114"/>
  <c r="BC21" i="114"/>
  <c r="BB21" i="114"/>
  <c r="BA21" i="114"/>
  <c r="AZ21" i="114"/>
  <c r="AY21" i="114"/>
  <c r="AX21" i="114"/>
  <c r="AW21" i="114"/>
  <c r="AV21" i="114"/>
  <c r="AU21" i="114"/>
  <c r="AT21" i="114"/>
  <c r="AS21" i="114"/>
  <c r="AR21" i="114"/>
  <c r="AQ21" i="114"/>
  <c r="AP21" i="114"/>
  <c r="AO21" i="114"/>
  <c r="AN21" i="114"/>
  <c r="AM21" i="114"/>
  <c r="AL21" i="114"/>
  <c r="AK21" i="114"/>
  <c r="AJ21" i="114"/>
  <c r="BG20" i="114"/>
  <c r="BF20" i="114"/>
  <c r="BE20" i="114"/>
  <c r="BD20" i="114"/>
  <c r="BC20" i="114"/>
  <c r="BB20" i="114"/>
  <c r="BA20" i="114"/>
  <c r="AZ20" i="114"/>
  <c r="AY20" i="114"/>
  <c r="AX20" i="114"/>
  <c r="AW20" i="114"/>
  <c r="AV20" i="114"/>
  <c r="AU20" i="114"/>
  <c r="AT20" i="114"/>
  <c r="AS20" i="114"/>
  <c r="AR20" i="114"/>
  <c r="AQ20" i="114"/>
  <c r="AP20" i="114"/>
  <c r="AO20" i="114"/>
  <c r="AN20" i="114"/>
  <c r="AM20" i="114"/>
  <c r="AL20" i="114"/>
  <c r="AK20" i="114"/>
  <c r="AJ20" i="114"/>
  <c r="BG19" i="114"/>
  <c r="BF19" i="114"/>
  <c r="BE19" i="114"/>
  <c r="BD19" i="114"/>
  <c r="BC19" i="114"/>
  <c r="BB19" i="114"/>
  <c r="BA19" i="114"/>
  <c r="AZ19" i="114"/>
  <c r="AY19" i="114"/>
  <c r="AX19" i="114"/>
  <c r="AW19" i="114"/>
  <c r="AV19" i="114"/>
  <c r="AU19" i="114"/>
  <c r="AT19" i="114"/>
  <c r="AS19" i="114"/>
  <c r="AR19" i="114"/>
  <c r="AQ19" i="114"/>
  <c r="AP19" i="114"/>
  <c r="AO19" i="114"/>
  <c r="AN19" i="114"/>
  <c r="AM19" i="114"/>
  <c r="AL19" i="114"/>
  <c r="AK19" i="114"/>
  <c r="AJ19" i="114"/>
  <c r="BG18" i="114"/>
  <c r="BF18" i="114"/>
  <c r="BE18" i="114"/>
  <c r="BD18" i="114"/>
  <c r="BC18" i="114"/>
  <c r="BB18" i="114"/>
  <c r="BA18" i="114"/>
  <c r="AZ18" i="114"/>
  <c r="AY18" i="114"/>
  <c r="AX18" i="114"/>
  <c r="AW18" i="114"/>
  <c r="AV18" i="114"/>
  <c r="AU18" i="114"/>
  <c r="AT18" i="114"/>
  <c r="AS18" i="114"/>
  <c r="AR18" i="114"/>
  <c r="AQ18" i="114"/>
  <c r="AP18" i="114"/>
  <c r="AO18" i="114"/>
  <c r="AN18" i="114"/>
  <c r="AM18" i="114"/>
  <c r="AL18" i="114"/>
  <c r="AK18" i="114"/>
  <c r="AJ18" i="114"/>
  <c r="BG17" i="114"/>
  <c r="BF17" i="114"/>
  <c r="BE17" i="114"/>
  <c r="BD17" i="114"/>
  <c r="BC17" i="114"/>
  <c r="BB17" i="114"/>
  <c r="BA17" i="114"/>
  <c r="AZ17" i="114"/>
  <c r="AY17" i="114"/>
  <c r="AX17" i="114"/>
  <c r="AW17" i="114"/>
  <c r="AV17" i="114"/>
  <c r="AU17" i="114"/>
  <c r="AT17" i="114"/>
  <c r="AS17" i="114"/>
  <c r="AR17" i="114"/>
  <c r="AQ17" i="114"/>
  <c r="AP17" i="114"/>
  <c r="AO17" i="114"/>
  <c r="AN17" i="114"/>
  <c r="AM17" i="114"/>
  <c r="AL17" i="114"/>
  <c r="AK17" i="114"/>
  <c r="AJ17" i="114"/>
  <c r="BG16" i="114"/>
  <c r="BF16" i="114"/>
  <c r="BE16" i="114"/>
  <c r="BD16" i="114"/>
  <c r="BC16" i="114"/>
  <c r="BB16" i="114"/>
  <c r="BA16" i="114"/>
  <c r="AZ16" i="114"/>
  <c r="AY16" i="114"/>
  <c r="AX16" i="114"/>
  <c r="AW16" i="114"/>
  <c r="AV16" i="114"/>
  <c r="AU16" i="114"/>
  <c r="AT16" i="114"/>
  <c r="AS16" i="114"/>
  <c r="AR16" i="114"/>
  <c r="AQ16" i="114"/>
  <c r="AP16" i="114"/>
  <c r="AO16" i="114"/>
  <c r="AN16" i="114"/>
  <c r="AM16" i="114"/>
  <c r="AL16" i="114"/>
  <c r="AK16" i="114"/>
  <c r="AJ16" i="114"/>
  <c r="BG15" i="114"/>
  <c r="BF15" i="114"/>
  <c r="BE15" i="114"/>
  <c r="BD15" i="114"/>
  <c r="BC15" i="114"/>
  <c r="BB15" i="114"/>
  <c r="BA15" i="114"/>
  <c r="AZ15" i="114"/>
  <c r="AY15" i="114"/>
  <c r="AX15" i="114"/>
  <c r="AW15" i="114"/>
  <c r="AV15" i="114"/>
  <c r="AU15" i="114"/>
  <c r="AT15" i="114"/>
  <c r="AS15" i="114"/>
  <c r="AR15" i="114"/>
  <c r="AQ15" i="114"/>
  <c r="AP15" i="114"/>
  <c r="AO15" i="114"/>
  <c r="AN15" i="114"/>
  <c r="AM15" i="114"/>
  <c r="AL15" i="114"/>
  <c r="AK15" i="114"/>
  <c r="AJ15" i="114"/>
  <c r="BL14" i="114"/>
  <c r="BK14" i="114"/>
  <c r="BJ14" i="114"/>
  <c r="BI14" i="114"/>
  <c r="BH14" i="114"/>
  <c r="BG14" i="114"/>
  <c r="BF14" i="114"/>
  <c r="BE14" i="114"/>
  <c r="BD14" i="114"/>
  <c r="BC14" i="114"/>
  <c r="BB14" i="114"/>
  <c r="BA14" i="114"/>
  <c r="AZ14" i="114"/>
  <c r="AY14" i="114"/>
  <c r="AX14" i="114"/>
  <c r="AW14" i="114"/>
  <c r="AV14" i="114"/>
  <c r="AU14" i="114"/>
  <c r="AT14" i="114"/>
  <c r="AS14" i="114"/>
  <c r="AR14" i="114"/>
  <c r="AQ14" i="114"/>
  <c r="AP14" i="114"/>
  <c r="AO14" i="114"/>
  <c r="AN14" i="114"/>
  <c r="AM14" i="114"/>
  <c r="AL14" i="114"/>
  <c r="BL13" i="114"/>
  <c r="BK13" i="114"/>
  <c r="BJ13" i="114"/>
  <c r="BI13" i="114"/>
  <c r="BH13" i="114"/>
  <c r="BG13" i="114"/>
  <c r="BF13" i="114"/>
  <c r="BE13" i="114"/>
  <c r="BD13" i="114"/>
  <c r="BA13" i="114"/>
  <c r="AZ13" i="114"/>
  <c r="AY13" i="114"/>
  <c r="AX13" i="114"/>
  <c r="AW13" i="114"/>
  <c r="AV13" i="114"/>
  <c r="AU13" i="114"/>
  <c r="AT13" i="114"/>
  <c r="AS13" i="114"/>
  <c r="AR13" i="114"/>
  <c r="AQ13" i="114"/>
  <c r="AP13" i="114"/>
  <c r="AO13" i="114"/>
  <c r="AN13" i="114"/>
  <c r="AM13" i="114"/>
  <c r="AL13" i="114"/>
  <c r="BG44" i="115"/>
  <c r="BF44" i="115"/>
  <c r="BE44" i="115"/>
  <c r="BD44" i="115"/>
  <c r="BC44" i="115"/>
  <c r="BB44" i="115"/>
  <c r="BA44" i="115"/>
  <c r="AZ44" i="115"/>
  <c r="AY44" i="115"/>
  <c r="AX44" i="115"/>
  <c r="AW44" i="115"/>
  <c r="AV44" i="115"/>
  <c r="AU44" i="115"/>
  <c r="AT44" i="115"/>
  <c r="AS44" i="115"/>
  <c r="AR44" i="115"/>
  <c r="AQ44" i="115"/>
  <c r="AP44" i="115"/>
  <c r="AO44" i="115"/>
  <c r="AN44" i="115"/>
  <c r="AM44" i="115"/>
  <c r="AL44" i="115"/>
  <c r="AK44" i="115"/>
  <c r="AJ44" i="115"/>
  <c r="BG43" i="115"/>
  <c r="BF43" i="115"/>
  <c r="BE43" i="115"/>
  <c r="BD43" i="115"/>
  <c r="BC43" i="115"/>
  <c r="BB43" i="115"/>
  <c r="BA43" i="115"/>
  <c r="AZ43" i="115"/>
  <c r="AY43" i="115"/>
  <c r="AX43" i="115"/>
  <c r="AW43" i="115"/>
  <c r="AV43" i="115"/>
  <c r="AU43" i="115"/>
  <c r="AT43" i="115"/>
  <c r="AS43" i="115"/>
  <c r="AR43" i="115"/>
  <c r="AQ43" i="115"/>
  <c r="AP43" i="115"/>
  <c r="AO43" i="115"/>
  <c r="AN43" i="115"/>
  <c r="AM43" i="115"/>
  <c r="AL43" i="115"/>
  <c r="AK43" i="115"/>
  <c r="AJ43" i="115"/>
  <c r="BG42" i="115"/>
  <c r="BF42" i="115"/>
  <c r="BE42" i="115"/>
  <c r="BD42" i="115"/>
  <c r="BC42" i="115"/>
  <c r="BB42" i="115"/>
  <c r="BA42" i="115"/>
  <c r="AZ42" i="115"/>
  <c r="AY42" i="115"/>
  <c r="AX42" i="115"/>
  <c r="AW42" i="115"/>
  <c r="AV42" i="115"/>
  <c r="AU42" i="115"/>
  <c r="AT42" i="115"/>
  <c r="AS42" i="115"/>
  <c r="AR42" i="115"/>
  <c r="AQ42" i="115"/>
  <c r="AP42" i="115"/>
  <c r="AO42" i="115"/>
  <c r="AN42" i="115"/>
  <c r="AM42" i="115"/>
  <c r="AL42" i="115"/>
  <c r="AK42" i="115"/>
  <c r="AJ42" i="115"/>
  <c r="BG41" i="115"/>
  <c r="BF41" i="115"/>
  <c r="BE41" i="115"/>
  <c r="BD41" i="115"/>
  <c r="BC41" i="115"/>
  <c r="BB41" i="115"/>
  <c r="BA41" i="115"/>
  <c r="AZ41" i="115"/>
  <c r="AY41" i="115"/>
  <c r="AX41" i="115"/>
  <c r="AW41" i="115"/>
  <c r="AV41" i="115"/>
  <c r="AU41" i="115"/>
  <c r="AT41" i="115"/>
  <c r="AS41" i="115"/>
  <c r="AR41" i="115"/>
  <c r="AQ41" i="115"/>
  <c r="AP41" i="115"/>
  <c r="AO41" i="115"/>
  <c r="AN41" i="115"/>
  <c r="AM41" i="115"/>
  <c r="AL41" i="115"/>
  <c r="AK41" i="115"/>
  <c r="AJ41" i="115"/>
  <c r="BG40" i="115"/>
  <c r="BF40" i="115"/>
  <c r="BE40" i="115"/>
  <c r="BD40" i="115"/>
  <c r="BC40" i="115"/>
  <c r="BB40" i="115"/>
  <c r="BA40" i="115"/>
  <c r="AZ40" i="115"/>
  <c r="AY40" i="115"/>
  <c r="AX40" i="115"/>
  <c r="AW40" i="115"/>
  <c r="AV40" i="115"/>
  <c r="AU40" i="115"/>
  <c r="AT40" i="115"/>
  <c r="AS40" i="115"/>
  <c r="AR40" i="115"/>
  <c r="AQ40" i="115"/>
  <c r="AP40" i="115"/>
  <c r="AO40" i="115"/>
  <c r="AN40" i="115"/>
  <c r="AM40" i="115"/>
  <c r="AL40" i="115"/>
  <c r="AK40" i="115"/>
  <c r="AJ40" i="115"/>
  <c r="BG39" i="115"/>
  <c r="BF39" i="115"/>
  <c r="BE39" i="115"/>
  <c r="BD39" i="115"/>
  <c r="BC39" i="115"/>
  <c r="BB39" i="115"/>
  <c r="BA39" i="115"/>
  <c r="AZ39" i="115"/>
  <c r="AY39" i="115"/>
  <c r="AX39" i="115"/>
  <c r="AW39" i="115"/>
  <c r="AV39" i="115"/>
  <c r="AU39" i="115"/>
  <c r="AT39" i="115"/>
  <c r="AS39" i="115"/>
  <c r="AR39" i="115"/>
  <c r="AQ39" i="115"/>
  <c r="AP39" i="115"/>
  <c r="AO39" i="115"/>
  <c r="AN39" i="115"/>
  <c r="AM39" i="115"/>
  <c r="AL39" i="115"/>
  <c r="AK39" i="115"/>
  <c r="AJ39" i="115"/>
  <c r="BG38" i="115"/>
  <c r="BF38" i="115"/>
  <c r="BE38" i="115"/>
  <c r="BD38" i="115"/>
  <c r="BC38" i="115"/>
  <c r="BB38" i="115"/>
  <c r="BA38" i="115"/>
  <c r="AZ38" i="115"/>
  <c r="AY38" i="115"/>
  <c r="AX38" i="115"/>
  <c r="AW38" i="115"/>
  <c r="AV38" i="115"/>
  <c r="AU38" i="115"/>
  <c r="AT38" i="115"/>
  <c r="AS38" i="115"/>
  <c r="AR38" i="115"/>
  <c r="AQ38" i="115"/>
  <c r="AP38" i="115"/>
  <c r="AO38" i="115"/>
  <c r="AN38" i="115"/>
  <c r="AM38" i="115"/>
  <c r="AL38" i="115"/>
  <c r="AK38" i="115"/>
  <c r="AJ38" i="115"/>
  <c r="BG37" i="115"/>
  <c r="BF37" i="115"/>
  <c r="BE37" i="115"/>
  <c r="BD37" i="115"/>
  <c r="BC37" i="115"/>
  <c r="BB37" i="115"/>
  <c r="BA37" i="115"/>
  <c r="AZ37" i="115"/>
  <c r="AY37" i="115"/>
  <c r="AX37" i="115"/>
  <c r="AW37" i="115"/>
  <c r="AV37" i="115"/>
  <c r="AU37" i="115"/>
  <c r="AT37" i="115"/>
  <c r="AS37" i="115"/>
  <c r="AR37" i="115"/>
  <c r="AQ37" i="115"/>
  <c r="AP37" i="115"/>
  <c r="AO37" i="115"/>
  <c r="AN37" i="115"/>
  <c r="AM37" i="115"/>
  <c r="AL37" i="115"/>
  <c r="AK37" i="115"/>
  <c r="AJ37" i="115"/>
  <c r="BG36" i="115"/>
  <c r="BF36" i="115"/>
  <c r="BE36" i="115"/>
  <c r="BD36" i="115"/>
  <c r="BC36" i="115"/>
  <c r="BB36" i="115"/>
  <c r="BA36" i="115"/>
  <c r="AZ36" i="115"/>
  <c r="AY36" i="115"/>
  <c r="AX36" i="115"/>
  <c r="AW36" i="115"/>
  <c r="AV36" i="115"/>
  <c r="AU36" i="115"/>
  <c r="AT36" i="115"/>
  <c r="AS36" i="115"/>
  <c r="AR36" i="115"/>
  <c r="AQ36" i="115"/>
  <c r="AP36" i="115"/>
  <c r="AO36" i="115"/>
  <c r="AN36" i="115"/>
  <c r="AM36" i="115"/>
  <c r="AL36" i="115"/>
  <c r="AK36" i="115"/>
  <c r="AJ36" i="115"/>
  <c r="BG35" i="115"/>
  <c r="BF35" i="115"/>
  <c r="BE35" i="115"/>
  <c r="BD35" i="115"/>
  <c r="BC35" i="115"/>
  <c r="BB35" i="115"/>
  <c r="BA35" i="115"/>
  <c r="AZ35" i="115"/>
  <c r="AY35" i="115"/>
  <c r="AX35" i="115"/>
  <c r="AW35" i="115"/>
  <c r="AV35" i="115"/>
  <c r="AU35" i="115"/>
  <c r="AT35" i="115"/>
  <c r="AS35" i="115"/>
  <c r="AR35" i="115"/>
  <c r="AQ35" i="115"/>
  <c r="AP35" i="115"/>
  <c r="AO35" i="115"/>
  <c r="AN35" i="115"/>
  <c r="AM35" i="115"/>
  <c r="AL35" i="115"/>
  <c r="AK35" i="115"/>
  <c r="AJ35" i="115"/>
  <c r="BG34" i="115"/>
  <c r="BF34" i="115"/>
  <c r="BE34" i="115"/>
  <c r="BD34" i="115"/>
  <c r="BC34" i="115"/>
  <c r="BB34" i="115"/>
  <c r="BA34" i="115"/>
  <c r="AZ34" i="115"/>
  <c r="AY34" i="115"/>
  <c r="AX34" i="115"/>
  <c r="AW34" i="115"/>
  <c r="AV34" i="115"/>
  <c r="AU34" i="115"/>
  <c r="AT34" i="115"/>
  <c r="AS34" i="115"/>
  <c r="AR34" i="115"/>
  <c r="AQ34" i="115"/>
  <c r="AP34" i="115"/>
  <c r="AO34" i="115"/>
  <c r="AN34" i="115"/>
  <c r="AM34" i="115"/>
  <c r="AL34" i="115"/>
  <c r="AK34" i="115"/>
  <c r="AJ34" i="115"/>
  <c r="BG33" i="115"/>
  <c r="BF33" i="115"/>
  <c r="BE33" i="115"/>
  <c r="BD33" i="115"/>
  <c r="BC33" i="115"/>
  <c r="BB33" i="115"/>
  <c r="BA33" i="115"/>
  <c r="AZ33" i="115"/>
  <c r="AY33" i="115"/>
  <c r="AX33" i="115"/>
  <c r="AW33" i="115"/>
  <c r="AV33" i="115"/>
  <c r="AU33" i="115"/>
  <c r="AT33" i="115"/>
  <c r="AS33" i="115"/>
  <c r="AR33" i="115"/>
  <c r="AQ33" i="115"/>
  <c r="AP33" i="115"/>
  <c r="AO33" i="115"/>
  <c r="AN33" i="115"/>
  <c r="AM33" i="115"/>
  <c r="AL33" i="115"/>
  <c r="AK33" i="115"/>
  <c r="AJ33" i="115"/>
  <c r="BG32" i="115"/>
  <c r="BF32" i="115"/>
  <c r="BE32" i="115"/>
  <c r="BD32" i="115"/>
  <c r="BC32" i="115"/>
  <c r="BB32" i="115"/>
  <c r="BA32" i="115"/>
  <c r="AZ32" i="115"/>
  <c r="AY32" i="115"/>
  <c r="AX32" i="115"/>
  <c r="AW32" i="115"/>
  <c r="AV32" i="115"/>
  <c r="AU32" i="115"/>
  <c r="AT32" i="115"/>
  <c r="AS32" i="115"/>
  <c r="AR32" i="115"/>
  <c r="AQ32" i="115"/>
  <c r="AP32" i="115"/>
  <c r="AO32" i="115"/>
  <c r="AN32" i="115"/>
  <c r="AM32" i="115"/>
  <c r="AL32" i="115"/>
  <c r="AK32" i="115"/>
  <c r="AJ32" i="115"/>
  <c r="BG31" i="115"/>
  <c r="BF31" i="115"/>
  <c r="BE31" i="115"/>
  <c r="BD31" i="115"/>
  <c r="BC31" i="115"/>
  <c r="BB31" i="115"/>
  <c r="BA31" i="115"/>
  <c r="AZ31" i="115"/>
  <c r="AY31" i="115"/>
  <c r="AX31" i="115"/>
  <c r="AW31" i="115"/>
  <c r="AV31" i="115"/>
  <c r="AU31" i="115"/>
  <c r="AT31" i="115"/>
  <c r="AS31" i="115"/>
  <c r="AR31" i="115"/>
  <c r="AQ31" i="115"/>
  <c r="AP31" i="115"/>
  <c r="AO31" i="115"/>
  <c r="AN31" i="115"/>
  <c r="AM31" i="115"/>
  <c r="AL31" i="115"/>
  <c r="AK31" i="115"/>
  <c r="AJ31" i="115"/>
  <c r="BG30" i="115"/>
  <c r="BF30" i="115"/>
  <c r="BE30" i="115"/>
  <c r="BD30" i="115"/>
  <c r="BC30" i="115"/>
  <c r="BB30" i="115"/>
  <c r="BA30" i="115"/>
  <c r="AZ30" i="115"/>
  <c r="AY30" i="115"/>
  <c r="AX30" i="115"/>
  <c r="AW30" i="115"/>
  <c r="AV30" i="115"/>
  <c r="AU30" i="115"/>
  <c r="AT30" i="115"/>
  <c r="AS30" i="115"/>
  <c r="AR30" i="115"/>
  <c r="AQ30" i="115"/>
  <c r="AP30" i="115"/>
  <c r="AO30" i="115"/>
  <c r="AN30" i="115"/>
  <c r="AM30" i="115"/>
  <c r="AL30" i="115"/>
  <c r="AK30" i="115"/>
  <c r="AJ30" i="115"/>
  <c r="BG29" i="115"/>
  <c r="BF29" i="115"/>
  <c r="BE29" i="115"/>
  <c r="BD29" i="115"/>
  <c r="BC29" i="115"/>
  <c r="BB29" i="115"/>
  <c r="BA29" i="115"/>
  <c r="AZ29" i="115"/>
  <c r="AY29" i="115"/>
  <c r="AX29" i="115"/>
  <c r="AW29" i="115"/>
  <c r="AV29" i="115"/>
  <c r="AU29" i="115"/>
  <c r="AT29" i="115"/>
  <c r="AS29" i="115"/>
  <c r="AR29" i="115"/>
  <c r="AQ29" i="115"/>
  <c r="AP29" i="115"/>
  <c r="AO29" i="115"/>
  <c r="AN29" i="115"/>
  <c r="AM29" i="115"/>
  <c r="AL29" i="115"/>
  <c r="AK29" i="115"/>
  <c r="AJ29" i="115"/>
  <c r="BG28" i="115"/>
  <c r="BF28" i="115"/>
  <c r="BE28" i="115"/>
  <c r="BD28" i="115"/>
  <c r="BC28" i="115"/>
  <c r="BB28" i="115"/>
  <c r="BA28" i="115"/>
  <c r="AZ28" i="115"/>
  <c r="AY28" i="115"/>
  <c r="AX28" i="115"/>
  <c r="AW28" i="115"/>
  <c r="AV28" i="115"/>
  <c r="AU28" i="115"/>
  <c r="AT28" i="115"/>
  <c r="AS28" i="115"/>
  <c r="AR28" i="115"/>
  <c r="AQ28" i="115"/>
  <c r="AP28" i="115"/>
  <c r="AO28" i="115"/>
  <c r="AN28" i="115"/>
  <c r="AM28" i="115"/>
  <c r="AL28" i="115"/>
  <c r="AK28" i="115"/>
  <c r="AJ28" i="115"/>
  <c r="BG27" i="115"/>
  <c r="BF27" i="115"/>
  <c r="BE27" i="115"/>
  <c r="BD27" i="115"/>
  <c r="BC27" i="115"/>
  <c r="BB27" i="115"/>
  <c r="BA27" i="115"/>
  <c r="AZ27" i="115"/>
  <c r="AY27" i="115"/>
  <c r="AX27" i="115"/>
  <c r="AW27" i="115"/>
  <c r="AV27" i="115"/>
  <c r="AU27" i="115"/>
  <c r="AT27" i="115"/>
  <c r="AS27" i="115"/>
  <c r="AR27" i="115"/>
  <c r="AQ27" i="115"/>
  <c r="AP27" i="115"/>
  <c r="AO27" i="115"/>
  <c r="AN27" i="115"/>
  <c r="AM27" i="115"/>
  <c r="AL27" i="115"/>
  <c r="AK27" i="115"/>
  <c r="AJ27" i="115"/>
  <c r="BG26" i="115"/>
  <c r="BF26" i="115"/>
  <c r="BE26" i="115"/>
  <c r="BD26" i="115"/>
  <c r="BC26" i="115"/>
  <c r="BB26" i="115"/>
  <c r="BA26" i="115"/>
  <c r="AZ26" i="115"/>
  <c r="AY26" i="115"/>
  <c r="AX26" i="115"/>
  <c r="AW26" i="115"/>
  <c r="AV26" i="115"/>
  <c r="AU26" i="115"/>
  <c r="AT26" i="115"/>
  <c r="AS26" i="115"/>
  <c r="AR26" i="115"/>
  <c r="AQ26" i="115"/>
  <c r="AP26" i="115"/>
  <c r="AO26" i="115"/>
  <c r="AN26" i="115"/>
  <c r="AM26" i="115"/>
  <c r="AL26" i="115"/>
  <c r="AK26" i="115"/>
  <c r="AJ26" i="115"/>
  <c r="BG25" i="115"/>
  <c r="BF25" i="115"/>
  <c r="BE25" i="115"/>
  <c r="BD25" i="115"/>
  <c r="BC25" i="115"/>
  <c r="BB25" i="115"/>
  <c r="BA25" i="115"/>
  <c r="AZ25" i="115"/>
  <c r="AY25" i="115"/>
  <c r="AX25" i="115"/>
  <c r="AW25" i="115"/>
  <c r="AV25" i="115"/>
  <c r="AU25" i="115"/>
  <c r="AT25" i="115"/>
  <c r="AS25" i="115"/>
  <c r="AR25" i="115"/>
  <c r="AQ25" i="115"/>
  <c r="AP25" i="115"/>
  <c r="AO25" i="115"/>
  <c r="AN25" i="115"/>
  <c r="AM25" i="115"/>
  <c r="AL25" i="115"/>
  <c r="AK25" i="115"/>
  <c r="AJ25" i="115"/>
  <c r="BG24" i="115"/>
  <c r="BF24" i="115"/>
  <c r="BE24" i="115"/>
  <c r="BD24" i="115"/>
  <c r="BC24" i="115"/>
  <c r="BB24" i="115"/>
  <c r="BA24" i="115"/>
  <c r="AZ24" i="115"/>
  <c r="AY24" i="115"/>
  <c r="AX24" i="115"/>
  <c r="AW24" i="115"/>
  <c r="AV24" i="115"/>
  <c r="AU24" i="115"/>
  <c r="AT24" i="115"/>
  <c r="AS24" i="115"/>
  <c r="AR24" i="115"/>
  <c r="AQ24" i="115"/>
  <c r="AP24" i="115"/>
  <c r="AO24" i="115"/>
  <c r="AN24" i="115"/>
  <c r="AM24" i="115"/>
  <c r="AL24" i="115"/>
  <c r="AK24" i="115"/>
  <c r="AJ24" i="115"/>
  <c r="BG23" i="115"/>
  <c r="BF23" i="115"/>
  <c r="BE23" i="115"/>
  <c r="BD23" i="115"/>
  <c r="BC23" i="115"/>
  <c r="BB23" i="115"/>
  <c r="BA23" i="115"/>
  <c r="AZ23" i="115"/>
  <c r="AY23" i="115"/>
  <c r="AX23" i="115"/>
  <c r="AW23" i="115"/>
  <c r="AV23" i="115"/>
  <c r="AU23" i="115"/>
  <c r="AT23" i="115"/>
  <c r="AS23" i="115"/>
  <c r="AR23" i="115"/>
  <c r="AQ23" i="115"/>
  <c r="AP23" i="115"/>
  <c r="AO23" i="115"/>
  <c r="AN23" i="115"/>
  <c r="AM23" i="115"/>
  <c r="AL23" i="115"/>
  <c r="AK23" i="115"/>
  <c r="AJ23" i="115"/>
  <c r="BG22" i="115"/>
  <c r="BF22" i="115"/>
  <c r="BE22" i="115"/>
  <c r="BD22" i="115"/>
  <c r="BC22" i="115"/>
  <c r="BB22" i="115"/>
  <c r="BA22" i="115"/>
  <c r="AZ22" i="115"/>
  <c r="AY22" i="115"/>
  <c r="AX22" i="115"/>
  <c r="AW22" i="115"/>
  <c r="AV22" i="115"/>
  <c r="AU22" i="115"/>
  <c r="AT22" i="115"/>
  <c r="AS22" i="115"/>
  <c r="AR22" i="115"/>
  <c r="AQ22" i="115"/>
  <c r="AP22" i="115"/>
  <c r="AO22" i="115"/>
  <c r="AN22" i="115"/>
  <c r="AM22" i="115"/>
  <c r="AL22" i="115"/>
  <c r="AK22" i="115"/>
  <c r="AJ22" i="115"/>
  <c r="BG21" i="115"/>
  <c r="BF21" i="115"/>
  <c r="BE21" i="115"/>
  <c r="BD21" i="115"/>
  <c r="BC21" i="115"/>
  <c r="BB21" i="115"/>
  <c r="BA21" i="115"/>
  <c r="AZ21" i="115"/>
  <c r="AY21" i="115"/>
  <c r="AX21" i="115"/>
  <c r="AW21" i="115"/>
  <c r="AV21" i="115"/>
  <c r="AU21" i="115"/>
  <c r="AT21" i="115"/>
  <c r="AS21" i="115"/>
  <c r="AR21" i="115"/>
  <c r="AQ21" i="115"/>
  <c r="AP21" i="115"/>
  <c r="AO21" i="115"/>
  <c r="AN21" i="115"/>
  <c r="AM21" i="115"/>
  <c r="AL21" i="115"/>
  <c r="AK21" i="115"/>
  <c r="AJ21" i="115"/>
  <c r="BG20" i="115"/>
  <c r="BF20" i="115"/>
  <c r="BE20" i="115"/>
  <c r="BD20" i="115"/>
  <c r="BC20" i="115"/>
  <c r="BB20" i="115"/>
  <c r="BA20" i="115"/>
  <c r="AZ20" i="115"/>
  <c r="AY20" i="115"/>
  <c r="AX20" i="115"/>
  <c r="AW20" i="115"/>
  <c r="AV20" i="115"/>
  <c r="AU20" i="115"/>
  <c r="AT20" i="115"/>
  <c r="AS20" i="115"/>
  <c r="AR20" i="115"/>
  <c r="AQ20" i="115"/>
  <c r="AP20" i="115"/>
  <c r="AO20" i="115"/>
  <c r="AN20" i="115"/>
  <c r="AM20" i="115"/>
  <c r="AL20" i="115"/>
  <c r="AK20" i="115"/>
  <c r="AJ20" i="115"/>
  <c r="BG19" i="115"/>
  <c r="BF19" i="115"/>
  <c r="BE19" i="115"/>
  <c r="BD19" i="115"/>
  <c r="BC19" i="115"/>
  <c r="BB19" i="115"/>
  <c r="BA19" i="115"/>
  <c r="AZ19" i="115"/>
  <c r="AY19" i="115"/>
  <c r="AX19" i="115"/>
  <c r="AW19" i="115"/>
  <c r="AV19" i="115"/>
  <c r="AU19" i="115"/>
  <c r="AT19" i="115"/>
  <c r="AS19" i="115"/>
  <c r="AR19" i="115"/>
  <c r="AQ19" i="115"/>
  <c r="AP19" i="115"/>
  <c r="AO19" i="115"/>
  <c r="AN19" i="115"/>
  <c r="AM19" i="115"/>
  <c r="AL19" i="115"/>
  <c r="AK19" i="115"/>
  <c r="AJ19" i="115"/>
  <c r="BG18" i="115"/>
  <c r="BF18" i="115"/>
  <c r="BE18" i="115"/>
  <c r="BD18" i="115"/>
  <c r="BC18" i="115"/>
  <c r="BB18" i="115"/>
  <c r="BA18" i="115"/>
  <c r="AZ18" i="115"/>
  <c r="AY18" i="115"/>
  <c r="AX18" i="115"/>
  <c r="AW18" i="115"/>
  <c r="AV18" i="115"/>
  <c r="AU18" i="115"/>
  <c r="AT18" i="115"/>
  <c r="AS18" i="115"/>
  <c r="AR18" i="115"/>
  <c r="AQ18" i="115"/>
  <c r="AP18" i="115"/>
  <c r="AO18" i="115"/>
  <c r="AN18" i="115"/>
  <c r="AM18" i="115"/>
  <c r="AL18" i="115"/>
  <c r="AK18" i="115"/>
  <c r="AJ18" i="115"/>
  <c r="BG17" i="115"/>
  <c r="BF17" i="115"/>
  <c r="BE17" i="115"/>
  <c r="BD17" i="115"/>
  <c r="BC17" i="115"/>
  <c r="BB17" i="115"/>
  <c r="BA17" i="115"/>
  <c r="AZ17" i="115"/>
  <c r="AY17" i="115"/>
  <c r="AX17" i="115"/>
  <c r="AW17" i="115"/>
  <c r="AV17" i="115"/>
  <c r="AU17" i="115"/>
  <c r="AT17" i="115"/>
  <c r="AS17" i="115"/>
  <c r="AR17" i="115"/>
  <c r="AQ17" i="115"/>
  <c r="AP17" i="115"/>
  <c r="AO17" i="115"/>
  <c r="AN17" i="115"/>
  <c r="AM17" i="115"/>
  <c r="AL17" i="115"/>
  <c r="AK17" i="115"/>
  <c r="AJ17" i="115"/>
  <c r="BG16" i="115"/>
  <c r="BF16" i="115"/>
  <c r="BE16" i="115"/>
  <c r="BD16" i="115"/>
  <c r="BC16" i="115"/>
  <c r="BB16" i="115"/>
  <c r="BA16" i="115"/>
  <c r="AZ16" i="115"/>
  <c r="AY16" i="115"/>
  <c r="AX16" i="115"/>
  <c r="AW16" i="115"/>
  <c r="AV16" i="115"/>
  <c r="AU16" i="115"/>
  <c r="AT16" i="115"/>
  <c r="AS16" i="115"/>
  <c r="AR16" i="115"/>
  <c r="AQ16" i="115"/>
  <c r="AP16" i="115"/>
  <c r="AO16" i="115"/>
  <c r="AN16" i="115"/>
  <c r="AM16" i="115"/>
  <c r="AL16" i="115"/>
  <c r="AK16" i="115"/>
  <c r="AJ16" i="115"/>
  <c r="BG15" i="115"/>
  <c r="BF15" i="115"/>
  <c r="BE15" i="115"/>
  <c r="BD15" i="115"/>
  <c r="BC15" i="115"/>
  <c r="BB15" i="115"/>
  <c r="BA15" i="115"/>
  <c r="AZ15" i="115"/>
  <c r="AY15" i="115"/>
  <c r="AX15" i="115"/>
  <c r="AW15" i="115"/>
  <c r="AV15" i="115"/>
  <c r="AU15" i="115"/>
  <c r="AT15" i="115"/>
  <c r="AS15" i="115"/>
  <c r="AR15" i="115"/>
  <c r="AQ15" i="115"/>
  <c r="AP15" i="115"/>
  <c r="AO15" i="115"/>
  <c r="AN15" i="115"/>
  <c r="AM15" i="115"/>
  <c r="AL15" i="115"/>
  <c r="AK15" i="115"/>
  <c r="AJ15" i="115"/>
  <c r="BL14" i="115"/>
  <c r="BK14" i="115"/>
  <c r="BJ14" i="115"/>
  <c r="BI14" i="115"/>
  <c r="BH14" i="115"/>
  <c r="BG14" i="115"/>
  <c r="BF14" i="115"/>
  <c r="BE14" i="115"/>
  <c r="BD14" i="115"/>
  <c r="BC14" i="115"/>
  <c r="BB14" i="115"/>
  <c r="BA14" i="115"/>
  <c r="AZ14" i="115"/>
  <c r="AY14" i="115"/>
  <c r="AX14" i="115"/>
  <c r="AW14" i="115"/>
  <c r="AV14" i="115"/>
  <c r="AU14" i="115"/>
  <c r="AT14" i="115"/>
  <c r="AS14" i="115"/>
  <c r="AR14" i="115"/>
  <c r="AQ14" i="115"/>
  <c r="AP14" i="115"/>
  <c r="AO14" i="115"/>
  <c r="AN14" i="115"/>
  <c r="AM14" i="115"/>
  <c r="AL14" i="115"/>
  <c r="BL13" i="115"/>
  <c r="BK13" i="115"/>
  <c r="BJ13" i="115"/>
  <c r="BI13" i="115"/>
  <c r="BH13" i="115"/>
  <c r="BG13" i="115"/>
  <c r="BF13" i="115"/>
  <c r="BE13" i="115"/>
  <c r="BD13" i="115"/>
  <c r="BA13" i="115"/>
  <c r="AZ13" i="115"/>
  <c r="AY13" i="115"/>
  <c r="AX13" i="115"/>
  <c r="AW13" i="115"/>
  <c r="AV13" i="115"/>
  <c r="AU13" i="115"/>
  <c r="AT13" i="115"/>
  <c r="AS13" i="115"/>
  <c r="AR13" i="115"/>
  <c r="AQ13" i="115"/>
  <c r="AP13" i="115"/>
  <c r="AO13" i="115"/>
  <c r="AN13" i="115"/>
  <c r="AM13" i="115"/>
  <c r="AL13" i="115"/>
  <c r="BG44" i="116"/>
  <c r="BF44" i="116"/>
  <c r="BE44" i="116"/>
  <c r="BD44" i="116"/>
  <c r="BC44" i="116"/>
  <c r="BB44" i="116"/>
  <c r="BA44" i="116"/>
  <c r="AZ44" i="116"/>
  <c r="AY44" i="116"/>
  <c r="AX44" i="116"/>
  <c r="AW44" i="116"/>
  <c r="AV44" i="116"/>
  <c r="AU44" i="116"/>
  <c r="AT44" i="116"/>
  <c r="AS44" i="116"/>
  <c r="AR44" i="116"/>
  <c r="AQ44" i="116"/>
  <c r="AP44" i="116"/>
  <c r="AO44" i="116"/>
  <c r="AN44" i="116"/>
  <c r="AM44" i="116"/>
  <c r="AL44" i="116"/>
  <c r="AK44" i="116"/>
  <c r="AJ44" i="116"/>
  <c r="BG43" i="116"/>
  <c r="BF43" i="116"/>
  <c r="BE43" i="116"/>
  <c r="BD43" i="116"/>
  <c r="BC43" i="116"/>
  <c r="BB43" i="116"/>
  <c r="BA43" i="116"/>
  <c r="AZ43" i="116"/>
  <c r="AY43" i="116"/>
  <c r="AX43" i="116"/>
  <c r="AW43" i="116"/>
  <c r="AV43" i="116"/>
  <c r="AU43" i="116"/>
  <c r="AT43" i="116"/>
  <c r="AS43" i="116"/>
  <c r="AR43" i="116"/>
  <c r="AQ43" i="116"/>
  <c r="AP43" i="116"/>
  <c r="AO43" i="116"/>
  <c r="AN43" i="116"/>
  <c r="AM43" i="116"/>
  <c r="AL43" i="116"/>
  <c r="AK43" i="116"/>
  <c r="AJ43" i="116"/>
  <c r="BG42" i="116"/>
  <c r="BF42" i="116"/>
  <c r="BE42" i="116"/>
  <c r="BD42" i="116"/>
  <c r="BC42" i="116"/>
  <c r="BB42" i="116"/>
  <c r="BA42" i="116"/>
  <c r="AZ42" i="116"/>
  <c r="AY42" i="116"/>
  <c r="AX42" i="116"/>
  <c r="AW42" i="116"/>
  <c r="AV42" i="116"/>
  <c r="AU42" i="116"/>
  <c r="AT42" i="116"/>
  <c r="AS42" i="116"/>
  <c r="AR42" i="116"/>
  <c r="AQ42" i="116"/>
  <c r="AP42" i="116"/>
  <c r="AO42" i="116"/>
  <c r="AN42" i="116"/>
  <c r="AM42" i="116"/>
  <c r="AL42" i="116"/>
  <c r="AK42" i="116"/>
  <c r="AJ42" i="116"/>
  <c r="BG41" i="116"/>
  <c r="BF41" i="116"/>
  <c r="BE41" i="116"/>
  <c r="BD41" i="116"/>
  <c r="BC41" i="116"/>
  <c r="BB41" i="116"/>
  <c r="BA41" i="116"/>
  <c r="AZ41" i="116"/>
  <c r="AY41" i="116"/>
  <c r="AX41" i="116"/>
  <c r="AW41" i="116"/>
  <c r="AV41" i="116"/>
  <c r="AU41" i="116"/>
  <c r="AT41" i="116"/>
  <c r="AS41" i="116"/>
  <c r="AR41" i="116"/>
  <c r="AQ41" i="116"/>
  <c r="AP41" i="116"/>
  <c r="AO41" i="116"/>
  <c r="AN41" i="116"/>
  <c r="AM41" i="116"/>
  <c r="AL41" i="116"/>
  <c r="AK41" i="116"/>
  <c r="AJ41" i="116"/>
  <c r="BG40" i="116"/>
  <c r="BF40" i="116"/>
  <c r="BE40" i="116"/>
  <c r="BD40" i="116"/>
  <c r="BC40" i="116"/>
  <c r="BB40" i="116"/>
  <c r="BA40" i="116"/>
  <c r="AZ40" i="116"/>
  <c r="AY40" i="116"/>
  <c r="AX40" i="116"/>
  <c r="AW40" i="116"/>
  <c r="AV40" i="116"/>
  <c r="AU40" i="116"/>
  <c r="AT40" i="116"/>
  <c r="AS40" i="116"/>
  <c r="AR40" i="116"/>
  <c r="AQ40" i="116"/>
  <c r="AP40" i="116"/>
  <c r="AO40" i="116"/>
  <c r="AN40" i="116"/>
  <c r="AM40" i="116"/>
  <c r="AL40" i="116"/>
  <c r="AK40" i="116"/>
  <c r="AJ40" i="116"/>
  <c r="BG39" i="116"/>
  <c r="BF39" i="116"/>
  <c r="BE39" i="116"/>
  <c r="BD39" i="116"/>
  <c r="BC39" i="116"/>
  <c r="BB39" i="116"/>
  <c r="BA39" i="116"/>
  <c r="AZ39" i="116"/>
  <c r="AY39" i="116"/>
  <c r="AX39" i="116"/>
  <c r="AW39" i="116"/>
  <c r="AV39" i="116"/>
  <c r="AU39" i="116"/>
  <c r="AT39" i="116"/>
  <c r="AS39" i="116"/>
  <c r="AR39" i="116"/>
  <c r="AQ39" i="116"/>
  <c r="AP39" i="116"/>
  <c r="AO39" i="116"/>
  <c r="AN39" i="116"/>
  <c r="AM39" i="116"/>
  <c r="AL39" i="116"/>
  <c r="AK39" i="116"/>
  <c r="AJ39" i="116"/>
  <c r="BG38" i="116"/>
  <c r="BF38" i="116"/>
  <c r="BE38" i="116"/>
  <c r="BD38" i="116"/>
  <c r="BC38" i="116"/>
  <c r="BB38" i="116"/>
  <c r="BA38" i="116"/>
  <c r="AZ38" i="116"/>
  <c r="AY38" i="116"/>
  <c r="AX38" i="116"/>
  <c r="AW38" i="116"/>
  <c r="AV38" i="116"/>
  <c r="AU38" i="116"/>
  <c r="AT38" i="116"/>
  <c r="AS38" i="116"/>
  <c r="AR38" i="116"/>
  <c r="AQ38" i="116"/>
  <c r="AP38" i="116"/>
  <c r="AO38" i="116"/>
  <c r="AN38" i="116"/>
  <c r="AM38" i="116"/>
  <c r="AL38" i="116"/>
  <c r="AK38" i="116"/>
  <c r="AJ38" i="116"/>
  <c r="BG37" i="116"/>
  <c r="BF37" i="116"/>
  <c r="BE37" i="116"/>
  <c r="BD37" i="116"/>
  <c r="BC37" i="116"/>
  <c r="BB37" i="116"/>
  <c r="BA37" i="116"/>
  <c r="AZ37" i="116"/>
  <c r="AY37" i="116"/>
  <c r="AX37" i="116"/>
  <c r="AW37" i="116"/>
  <c r="AV37" i="116"/>
  <c r="AU37" i="116"/>
  <c r="AT37" i="116"/>
  <c r="AS37" i="116"/>
  <c r="AR37" i="116"/>
  <c r="AQ37" i="116"/>
  <c r="AP37" i="116"/>
  <c r="AO37" i="116"/>
  <c r="AN37" i="116"/>
  <c r="AM37" i="116"/>
  <c r="AL37" i="116"/>
  <c r="AK37" i="116"/>
  <c r="AJ37" i="116"/>
  <c r="BG36" i="116"/>
  <c r="BF36" i="116"/>
  <c r="BE36" i="116"/>
  <c r="BD36" i="116"/>
  <c r="BC36" i="116"/>
  <c r="BB36" i="116"/>
  <c r="BA36" i="116"/>
  <c r="AZ36" i="116"/>
  <c r="AY36" i="116"/>
  <c r="AX36" i="116"/>
  <c r="AW36" i="116"/>
  <c r="AV36" i="116"/>
  <c r="AU36" i="116"/>
  <c r="AT36" i="116"/>
  <c r="AS36" i="116"/>
  <c r="AR36" i="116"/>
  <c r="AQ36" i="116"/>
  <c r="AP36" i="116"/>
  <c r="AO36" i="116"/>
  <c r="AN36" i="116"/>
  <c r="AM36" i="116"/>
  <c r="AL36" i="116"/>
  <c r="AK36" i="116"/>
  <c r="AJ36" i="116"/>
  <c r="BG35" i="116"/>
  <c r="BF35" i="116"/>
  <c r="BE35" i="116"/>
  <c r="BD35" i="116"/>
  <c r="BC35" i="116"/>
  <c r="BB35" i="116"/>
  <c r="BA35" i="116"/>
  <c r="AZ35" i="116"/>
  <c r="AY35" i="116"/>
  <c r="AX35" i="116"/>
  <c r="AW35" i="116"/>
  <c r="AV35" i="116"/>
  <c r="AU35" i="116"/>
  <c r="AT35" i="116"/>
  <c r="AS35" i="116"/>
  <c r="AR35" i="116"/>
  <c r="AQ35" i="116"/>
  <c r="AP35" i="116"/>
  <c r="AO35" i="116"/>
  <c r="AN35" i="116"/>
  <c r="AM35" i="116"/>
  <c r="AL35" i="116"/>
  <c r="AK35" i="116"/>
  <c r="AJ35" i="116"/>
  <c r="BG34" i="116"/>
  <c r="BF34" i="116"/>
  <c r="BE34" i="116"/>
  <c r="BD34" i="116"/>
  <c r="BC34" i="116"/>
  <c r="BB34" i="116"/>
  <c r="BA34" i="116"/>
  <c r="AZ34" i="116"/>
  <c r="AY34" i="116"/>
  <c r="AX34" i="116"/>
  <c r="AW34" i="116"/>
  <c r="AV34" i="116"/>
  <c r="AU34" i="116"/>
  <c r="AT34" i="116"/>
  <c r="AS34" i="116"/>
  <c r="AR34" i="116"/>
  <c r="AQ34" i="116"/>
  <c r="AP34" i="116"/>
  <c r="AO34" i="116"/>
  <c r="AN34" i="116"/>
  <c r="AM34" i="116"/>
  <c r="AL34" i="116"/>
  <c r="AK34" i="116"/>
  <c r="AJ34" i="116"/>
  <c r="BG33" i="116"/>
  <c r="BF33" i="116"/>
  <c r="BE33" i="116"/>
  <c r="BD33" i="116"/>
  <c r="BC33" i="116"/>
  <c r="BB33" i="116"/>
  <c r="BA33" i="116"/>
  <c r="AZ33" i="116"/>
  <c r="AY33" i="116"/>
  <c r="AX33" i="116"/>
  <c r="AW33" i="116"/>
  <c r="AV33" i="116"/>
  <c r="AU33" i="116"/>
  <c r="AT33" i="116"/>
  <c r="AS33" i="116"/>
  <c r="AR33" i="116"/>
  <c r="AQ33" i="116"/>
  <c r="AP33" i="116"/>
  <c r="AO33" i="116"/>
  <c r="AN33" i="116"/>
  <c r="AM33" i="116"/>
  <c r="AL33" i="116"/>
  <c r="AK33" i="116"/>
  <c r="AJ33" i="116"/>
  <c r="BG32" i="116"/>
  <c r="BF32" i="116"/>
  <c r="BE32" i="116"/>
  <c r="BD32" i="116"/>
  <c r="BC32" i="116"/>
  <c r="BB32" i="116"/>
  <c r="BA32" i="116"/>
  <c r="AZ32" i="116"/>
  <c r="AY32" i="116"/>
  <c r="AX32" i="116"/>
  <c r="AW32" i="116"/>
  <c r="AV32" i="116"/>
  <c r="AU32" i="116"/>
  <c r="AT32" i="116"/>
  <c r="AS32" i="116"/>
  <c r="AR32" i="116"/>
  <c r="AQ32" i="116"/>
  <c r="AP32" i="116"/>
  <c r="AO32" i="116"/>
  <c r="AN32" i="116"/>
  <c r="AM32" i="116"/>
  <c r="AL32" i="116"/>
  <c r="AK32" i="116"/>
  <c r="AJ32" i="116"/>
  <c r="BG31" i="116"/>
  <c r="BF31" i="116"/>
  <c r="BE31" i="116"/>
  <c r="BD31" i="116"/>
  <c r="BC31" i="116"/>
  <c r="BB31" i="116"/>
  <c r="BA31" i="116"/>
  <c r="AZ31" i="116"/>
  <c r="AY31" i="116"/>
  <c r="AX31" i="116"/>
  <c r="AW31" i="116"/>
  <c r="AV31" i="116"/>
  <c r="AU31" i="116"/>
  <c r="AT31" i="116"/>
  <c r="AS31" i="116"/>
  <c r="AR31" i="116"/>
  <c r="AQ31" i="116"/>
  <c r="AP31" i="116"/>
  <c r="AO31" i="116"/>
  <c r="AN31" i="116"/>
  <c r="AM31" i="116"/>
  <c r="AL31" i="116"/>
  <c r="AK31" i="116"/>
  <c r="AJ31" i="116"/>
  <c r="BG30" i="116"/>
  <c r="BF30" i="116"/>
  <c r="BE30" i="116"/>
  <c r="BD30" i="116"/>
  <c r="BC30" i="116"/>
  <c r="BB30" i="116"/>
  <c r="BA30" i="116"/>
  <c r="AZ30" i="116"/>
  <c r="AY30" i="116"/>
  <c r="AX30" i="116"/>
  <c r="AW30" i="116"/>
  <c r="AV30" i="116"/>
  <c r="AU30" i="116"/>
  <c r="AT30" i="116"/>
  <c r="AS30" i="116"/>
  <c r="AR30" i="116"/>
  <c r="AQ30" i="116"/>
  <c r="AP30" i="116"/>
  <c r="AO30" i="116"/>
  <c r="AN30" i="116"/>
  <c r="AM30" i="116"/>
  <c r="AL30" i="116"/>
  <c r="AK30" i="116"/>
  <c r="AJ30" i="116"/>
  <c r="BG29" i="116"/>
  <c r="BF29" i="116"/>
  <c r="BE29" i="116"/>
  <c r="BD29" i="116"/>
  <c r="BC29" i="116"/>
  <c r="BB29" i="116"/>
  <c r="BA29" i="116"/>
  <c r="AZ29" i="116"/>
  <c r="AY29" i="116"/>
  <c r="AX29" i="116"/>
  <c r="AW29" i="116"/>
  <c r="AV29" i="116"/>
  <c r="AU29" i="116"/>
  <c r="AT29" i="116"/>
  <c r="AS29" i="116"/>
  <c r="AR29" i="116"/>
  <c r="AQ29" i="116"/>
  <c r="AP29" i="116"/>
  <c r="AO29" i="116"/>
  <c r="AN29" i="116"/>
  <c r="AM29" i="116"/>
  <c r="AL29" i="116"/>
  <c r="AK29" i="116"/>
  <c r="AJ29" i="116"/>
  <c r="BG28" i="116"/>
  <c r="BF28" i="116"/>
  <c r="BE28" i="116"/>
  <c r="BD28" i="116"/>
  <c r="BC28" i="116"/>
  <c r="BB28" i="116"/>
  <c r="BA28" i="116"/>
  <c r="AZ28" i="116"/>
  <c r="AY28" i="116"/>
  <c r="AX28" i="116"/>
  <c r="AW28" i="116"/>
  <c r="AV28" i="116"/>
  <c r="AU28" i="116"/>
  <c r="AT28" i="116"/>
  <c r="AS28" i="116"/>
  <c r="AR28" i="116"/>
  <c r="AQ28" i="116"/>
  <c r="AP28" i="116"/>
  <c r="AO28" i="116"/>
  <c r="AN28" i="116"/>
  <c r="AM28" i="116"/>
  <c r="AL28" i="116"/>
  <c r="AK28" i="116"/>
  <c r="AJ28" i="116"/>
  <c r="BG27" i="116"/>
  <c r="BF27" i="116"/>
  <c r="BE27" i="116"/>
  <c r="BD27" i="116"/>
  <c r="BC27" i="116"/>
  <c r="BB27" i="116"/>
  <c r="BA27" i="116"/>
  <c r="AZ27" i="116"/>
  <c r="AY27" i="116"/>
  <c r="AX27" i="116"/>
  <c r="AW27" i="116"/>
  <c r="AV27" i="116"/>
  <c r="AU27" i="116"/>
  <c r="AT27" i="116"/>
  <c r="AS27" i="116"/>
  <c r="AR27" i="116"/>
  <c r="AQ27" i="116"/>
  <c r="AP27" i="116"/>
  <c r="AO27" i="116"/>
  <c r="AN27" i="116"/>
  <c r="AM27" i="116"/>
  <c r="AL27" i="116"/>
  <c r="AK27" i="116"/>
  <c r="AJ27" i="116"/>
  <c r="BG26" i="116"/>
  <c r="BF26" i="116"/>
  <c r="BE26" i="116"/>
  <c r="BD26" i="116"/>
  <c r="BC26" i="116"/>
  <c r="BB26" i="116"/>
  <c r="BA26" i="116"/>
  <c r="AZ26" i="116"/>
  <c r="AY26" i="116"/>
  <c r="AX26" i="116"/>
  <c r="AW26" i="116"/>
  <c r="AV26" i="116"/>
  <c r="AU26" i="116"/>
  <c r="AT26" i="116"/>
  <c r="AS26" i="116"/>
  <c r="AR26" i="116"/>
  <c r="AQ26" i="116"/>
  <c r="AP26" i="116"/>
  <c r="AO26" i="116"/>
  <c r="AN26" i="116"/>
  <c r="AM26" i="116"/>
  <c r="AL26" i="116"/>
  <c r="AK26" i="116"/>
  <c r="AJ26" i="116"/>
  <c r="BG25" i="116"/>
  <c r="BF25" i="116"/>
  <c r="BE25" i="116"/>
  <c r="BD25" i="116"/>
  <c r="BC25" i="116"/>
  <c r="BB25" i="116"/>
  <c r="BA25" i="116"/>
  <c r="AZ25" i="116"/>
  <c r="AY25" i="116"/>
  <c r="AX25" i="116"/>
  <c r="AW25" i="116"/>
  <c r="AV25" i="116"/>
  <c r="AU25" i="116"/>
  <c r="AT25" i="116"/>
  <c r="AS25" i="116"/>
  <c r="AR25" i="116"/>
  <c r="AQ25" i="116"/>
  <c r="AP25" i="116"/>
  <c r="AO25" i="116"/>
  <c r="AN25" i="116"/>
  <c r="AM25" i="116"/>
  <c r="AL25" i="116"/>
  <c r="AK25" i="116"/>
  <c r="AJ25" i="116"/>
  <c r="BG24" i="116"/>
  <c r="BF24" i="116"/>
  <c r="BE24" i="116"/>
  <c r="BD24" i="116"/>
  <c r="BC24" i="116"/>
  <c r="BB24" i="116"/>
  <c r="BA24" i="116"/>
  <c r="AZ24" i="116"/>
  <c r="AY24" i="116"/>
  <c r="AX24" i="116"/>
  <c r="AW24" i="116"/>
  <c r="AV24" i="116"/>
  <c r="AU24" i="116"/>
  <c r="AT24" i="116"/>
  <c r="AS24" i="116"/>
  <c r="AR24" i="116"/>
  <c r="AQ24" i="116"/>
  <c r="AP24" i="116"/>
  <c r="AO24" i="116"/>
  <c r="AN24" i="116"/>
  <c r="AM24" i="116"/>
  <c r="AL24" i="116"/>
  <c r="AK24" i="116"/>
  <c r="AJ24" i="116"/>
  <c r="BG23" i="116"/>
  <c r="BF23" i="116"/>
  <c r="BE23" i="116"/>
  <c r="BD23" i="116"/>
  <c r="BC23" i="116"/>
  <c r="BB23" i="116"/>
  <c r="BA23" i="116"/>
  <c r="AZ23" i="116"/>
  <c r="AY23" i="116"/>
  <c r="AX23" i="116"/>
  <c r="AW23" i="116"/>
  <c r="AV23" i="116"/>
  <c r="AU23" i="116"/>
  <c r="AT23" i="116"/>
  <c r="AS23" i="116"/>
  <c r="AR23" i="116"/>
  <c r="AQ23" i="116"/>
  <c r="AP23" i="116"/>
  <c r="AO23" i="116"/>
  <c r="AN23" i="116"/>
  <c r="AM23" i="116"/>
  <c r="AL23" i="116"/>
  <c r="AK23" i="116"/>
  <c r="AJ23" i="116"/>
  <c r="BG22" i="116"/>
  <c r="BF22" i="116"/>
  <c r="BE22" i="116"/>
  <c r="BD22" i="116"/>
  <c r="BC22" i="116"/>
  <c r="BB22" i="116"/>
  <c r="BA22" i="116"/>
  <c r="AZ22" i="116"/>
  <c r="AY22" i="116"/>
  <c r="AX22" i="116"/>
  <c r="AW22" i="116"/>
  <c r="AV22" i="116"/>
  <c r="AU22" i="116"/>
  <c r="AT22" i="116"/>
  <c r="AS22" i="116"/>
  <c r="AR22" i="116"/>
  <c r="AQ22" i="116"/>
  <c r="AP22" i="116"/>
  <c r="AO22" i="116"/>
  <c r="AN22" i="116"/>
  <c r="AM22" i="116"/>
  <c r="AL22" i="116"/>
  <c r="AK22" i="116"/>
  <c r="AJ22" i="116"/>
  <c r="BG21" i="116"/>
  <c r="BF21" i="116"/>
  <c r="BE21" i="116"/>
  <c r="BD21" i="116"/>
  <c r="BC21" i="116"/>
  <c r="BB21" i="116"/>
  <c r="BA21" i="116"/>
  <c r="AZ21" i="116"/>
  <c r="AY21" i="116"/>
  <c r="AX21" i="116"/>
  <c r="AW21" i="116"/>
  <c r="AV21" i="116"/>
  <c r="AU21" i="116"/>
  <c r="AT21" i="116"/>
  <c r="AS21" i="116"/>
  <c r="AR21" i="116"/>
  <c r="AQ21" i="116"/>
  <c r="AP21" i="116"/>
  <c r="AO21" i="116"/>
  <c r="AN21" i="116"/>
  <c r="AM21" i="116"/>
  <c r="AL21" i="116"/>
  <c r="AK21" i="116"/>
  <c r="AJ21" i="116"/>
  <c r="BG20" i="116"/>
  <c r="BF20" i="116"/>
  <c r="BE20" i="116"/>
  <c r="BD20" i="116"/>
  <c r="BC20" i="116"/>
  <c r="BB20" i="116"/>
  <c r="BA20" i="116"/>
  <c r="AZ20" i="116"/>
  <c r="AY20" i="116"/>
  <c r="AX20" i="116"/>
  <c r="AW20" i="116"/>
  <c r="AV20" i="116"/>
  <c r="AU20" i="116"/>
  <c r="AT20" i="116"/>
  <c r="AS20" i="116"/>
  <c r="AR20" i="116"/>
  <c r="AQ20" i="116"/>
  <c r="AP20" i="116"/>
  <c r="AO20" i="116"/>
  <c r="AN20" i="116"/>
  <c r="AM20" i="116"/>
  <c r="AL20" i="116"/>
  <c r="AK20" i="116"/>
  <c r="AJ20" i="116"/>
  <c r="BG19" i="116"/>
  <c r="BF19" i="116"/>
  <c r="BE19" i="116"/>
  <c r="BD19" i="116"/>
  <c r="BC19" i="116"/>
  <c r="BB19" i="116"/>
  <c r="BA19" i="116"/>
  <c r="AZ19" i="116"/>
  <c r="AY19" i="116"/>
  <c r="AX19" i="116"/>
  <c r="AW19" i="116"/>
  <c r="AV19" i="116"/>
  <c r="AU19" i="116"/>
  <c r="AT19" i="116"/>
  <c r="AS19" i="116"/>
  <c r="AR19" i="116"/>
  <c r="AQ19" i="116"/>
  <c r="AP19" i="116"/>
  <c r="AO19" i="116"/>
  <c r="AN19" i="116"/>
  <c r="AM19" i="116"/>
  <c r="AL19" i="116"/>
  <c r="AK19" i="116"/>
  <c r="AJ19" i="116"/>
  <c r="BG18" i="116"/>
  <c r="BF18" i="116"/>
  <c r="BE18" i="116"/>
  <c r="BD18" i="116"/>
  <c r="BC18" i="116"/>
  <c r="BB18" i="116"/>
  <c r="BA18" i="116"/>
  <c r="AZ18" i="116"/>
  <c r="AY18" i="116"/>
  <c r="AX18" i="116"/>
  <c r="AW18" i="116"/>
  <c r="AV18" i="116"/>
  <c r="AU18" i="116"/>
  <c r="AT18" i="116"/>
  <c r="AS18" i="116"/>
  <c r="AR18" i="116"/>
  <c r="AQ18" i="116"/>
  <c r="AP18" i="116"/>
  <c r="AO18" i="116"/>
  <c r="AN18" i="116"/>
  <c r="AM18" i="116"/>
  <c r="AL18" i="116"/>
  <c r="AK18" i="116"/>
  <c r="AJ18" i="116"/>
  <c r="BG17" i="116"/>
  <c r="BF17" i="116"/>
  <c r="BE17" i="116"/>
  <c r="BD17" i="116"/>
  <c r="BC17" i="116"/>
  <c r="BB17" i="116"/>
  <c r="BA17" i="116"/>
  <c r="AZ17" i="116"/>
  <c r="AY17" i="116"/>
  <c r="AX17" i="116"/>
  <c r="AW17" i="116"/>
  <c r="AV17" i="116"/>
  <c r="AU17" i="116"/>
  <c r="AT17" i="116"/>
  <c r="AS17" i="116"/>
  <c r="AR17" i="116"/>
  <c r="AQ17" i="116"/>
  <c r="AP17" i="116"/>
  <c r="AO17" i="116"/>
  <c r="AN17" i="116"/>
  <c r="AM17" i="116"/>
  <c r="AL17" i="116"/>
  <c r="AK17" i="116"/>
  <c r="AJ17" i="116"/>
  <c r="BG16" i="116"/>
  <c r="BF16" i="116"/>
  <c r="BE16" i="116"/>
  <c r="BD16" i="116"/>
  <c r="BC16" i="116"/>
  <c r="BB16" i="116"/>
  <c r="BA16" i="116"/>
  <c r="AZ16" i="116"/>
  <c r="AY16" i="116"/>
  <c r="AX16" i="116"/>
  <c r="AW16" i="116"/>
  <c r="AV16" i="116"/>
  <c r="AU16" i="116"/>
  <c r="AT16" i="116"/>
  <c r="AS16" i="116"/>
  <c r="AR16" i="116"/>
  <c r="AQ16" i="116"/>
  <c r="AP16" i="116"/>
  <c r="AO16" i="116"/>
  <c r="AN16" i="116"/>
  <c r="AM16" i="116"/>
  <c r="AL16" i="116"/>
  <c r="AK16" i="116"/>
  <c r="AJ16" i="116"/>
  <c r="BG15" i="116"/>
  <c r="BF15" i="116"/>
  <c r="BE15" i="116"/>
  <c r="BD15" i="116"/>
  <c r="BC15" i="116"/>
  <c r="BB15" i="116"/>
  <c r="BA15" i="116"/>
  <c r="AZ15" i="116"/>
  <c r="AY15" i="116"/>
  <c r="AX15" i="116"/>
  <c r="AW15" i="116"/>
  <c r="AV15" i="116"/>
  <c r="AU15" i="116"/>
  <c r="AT15" i="116"/>
  <c r="AS15" i="116"/>
  <c r="AR15" i="116"/>
  <c r="AQ15" i="116"/>
  <c r="AP15" i="116"/>
  <c r="AO15" i="116"/>
  <c r="AN15" i="116"/>
  <c r="AM15" i="116"/>
  <c r="AL15" i="116"/>
  <c r="AK15" i="116"/>
  <c r="AJ15" i="116"/>
  <c r="BL14" i="116"/>
  <c r="BK14" i="116"/>
  <c r="BJ14" i="116"/>
  <c r="BI14" i="116"/>
  <c r="BH14" i="116"/>
  <c r="BG14" i="116"/>
  <c r="BF14" i="116"/>
  <c r="BE14" i="116"/>
  <c r="BD14" i="116"/>
  <c r="BC14" i="116"/>
  <c r="BB14" i="116"/>
  <c r="BA14" i="116"/>
  <c r="AZ14" i="116"/>
  <c r="AY14" i="116"/>
  <c r="AX14" i="116"/>
  <c r="AW14" i="116"/>
  <c r="AV14" i="116"/>
  <c r="AU14" i="116"/>
  <c r="AT14" i="116"/>
  <c r="AS14" i="116"/>
  <c r="AR14" i="116"/>
  <c r="AQ14" i="116"/>
  <c r="AP14" i="116"/>
  <c r="AO14" i="116"/>
  <c r="AN14" i="116"/>
  <c r="AM14" i="116"/>
  <c r="AL14" i="116"/>
  <c r="BL13" i="116"/>
  <c r="BK13" i="116"/>
  <c r="BJ13" i="116"/>
  <c r="BI13" i="116"/>
  <c r="BH13" i="116"/>
  <c r="BG13" i="116"/>
  <c r="BF13" i="116"/>
  <c r="BE13" i="116"/>
  <c r="BD13" i="116"/>
  <c r="BA13" i="116"/>
  <c r="AZ13" i="116"/>
  <c r="AY13" i="116"/>
  <c r="AX13" i="116"/>
  <c r="AW13" i="116"/>
  <c r="AV13" i="116"/>
  <c r="AU13" i="116"/>
  <c r="AT13" i="116"/>
  <c r="AS13" i="116"/>
  <c r="AR13" i="116"/>
  <c r="AQ13" i="116"/>
  <c r="AP13" i="116"/>
  <c r="AO13" i="116"/>
  <c r="AN13" i="116"/>
  <c r="AM13" i="116"/>
  <c r="AL13" i="116"/>
  <c r="BG44" i="117"/>
  <c r="BF44" i="117"/>
  <c r="BE44" i="117"/>
  <c r="BD44" i="117"/>
  <c r="BC44" i="117"/>
  <c r="BB44" i="117"/>
  <c r="BA44" i="117"/>
  <c r="AZ44" i="117"/>
  <c r="AY44" i="117"/>
  <c r="AX44" i="117"/>
  <c r="AW44" i="117"/>
  <c r="AV44" i="117"/>
  <c r="AU44" i="117"/>
  <c r="AT44" i="117"/>
  <c r="AS44" i="117"/>
  <c r="AR44" i="117"/>
  <c r="AQ44" i="117"/>
  <c r="AP44" i="117"/>
  <c r="AO44" i="117"/>
  <c r="AN44" i="117"/>
  <c r="AM44" i="117"/>
  <c r="AL44" i="117"/>
  <c r="AK44" i="117"/>
  <c r="AJ44" i="117"/>
  <c r="BG43" i="117"/>
  <c r="BF43" i="117"/>
  <c r="BE43" i="117"/>
  <c r="BD43" i="117"/>
  <c r="BC43" i="117"/>
  <c r="BB43" i="117"/>
  <c r="BA43" i="117"/>
  <c r="AZ43" i="117"/>
  <c r="AY43" i="117"/>
  <c r="AX43" i="117"/>
  <c r="AW43" i="117"/>
  <c r="AV43" i="117"/>
  <c r="AU43" i="117"/>
  <c r="AT43" i="117"/>
  <c r="AS43" i="117"/>
  <c r="AR43" i="117"/>
  <c r="AQ43" i="117"/>
  <c r="AP43" i="117"/>
  <c r="AO43" i="117"/>
  <c r="AN43" i="117"/>
  <c r="AM43" i="117"/>
  <c r="AL43" i="117"/>
  <c r="AK43" i="117"/>
  <c r="AJ43" i="117"/>
  <c r="BG42" i="117"/>
  <c r="BF42" i="117"/>
  <c r="BE42" i="117"/>
  <c r="BD42" i="117"/>
  <c r="BC42" i="117"/>
  <c r="BB42" i="117"/>
  <c r="BA42" i="117"/>
  <c r="AZ42" i="117"/>
  <c r="AY42" i="117"/>
  <c r="AX42" i="117"/>
  <c r="AW42" i="117"/>
  <c r="AV42" i="117"/>
  <c r="AU42" i="117"/>
  <c r="AT42" i="117"/>
  <c r="AS42" i="117"/>
  <c r="AR42" i="117"/>
  <c r="AQ42" i="117"/>
  <c r="AP42" i="117"/>
  <c r="AO42" i="117"/>
  <c r="AN42" i="117"/>
  <c r="AM42" i="117"/>
  <c r="AL42" i="117"/>
  <c r="AK42" i="117"/>
  <c r="AJ42" i="117"/>
  <c r="BG41" i="117"/>
  <c r="BF41" i="117"/>
  <c r="BE41" i="117"/>
  <c r="BD41" i="117"/>
  <c r="BC41" i="117"/>
  <c r="BB41" i="117"/>
  <c r="BA41" i="117"/>
  <c r="AZ41" i="117"/>
  <c r="AY41" i="117"/>
  <c r="AX41" i="117"/>
  <c r="AW41" i="117"/>
  <c r="AV41" i="117"/>
  <c r="AU41" i="117"/>
  <c r="AT41" i="117"/>
  <c r="AS41" i="117"/>
  <c r="AR41" i="117"/>
  <c r="AQ41" i="117"/>
  <c r="AP41" i="117"/>
  <c r="AO41" i="117"/>
  <c r="AN41" i="117"/>
  <c r="AM41" i="117"/>
  <c r="AL41" i="117"/>
  <c r="AK41" i="117"/>
  <c r="AJ41" i="117"/>
  <c r="BG40" i="117"/>
  <c r="BF40" i="117"/>
  <c r="BE40" i="117"/>
  <c r="BD40" i="117"/>
  <c r="BC40" i="117"/>
  <c r="BB40" i="117"/>
  <c r="BA40" i="117"/>
  <c r="AZ40" i="117"/>
  <c r="AY40" i="117"/>
  <c r="AX40" i="117"/>
  <c r="AW40" i="117"/>
  <c r="AV40" i="117"/>
  <c r="AU40" i="117"/>
  <c r="AT40" i="117"/>
  <c r="AS40" i="117"/>
  <c r="AR40" i="117"/>
  <c r="AQ40" i="117"/>
  <c r="AP40" i="117"/>
  <c r="AO40" i="117"/>
  <c r="AN40" i="117"/>
  <c r="AM40" i="117"/>
  <c r="AL40" i="117"/>
  <c r="AK40" i="117"/>
  <c r="AJ40" i="117"/>
  <c r="BG39" i="117"/>
  <c r="BF39" i="117"/>
  <c r="BE39" i="117"/>
  <c r="BD39" i="117"/>
  <c r="BC39" i="117"/>
  <c r="BB39" i="117"/>
  <c r="BA39" i="117"/>
  <c r="AZ39" i="117"/>
  <c r="AY39" i="117"/>
  <c r="AX39" i="117"/>
  <c r="AW39" i="117"/>
  <c r="AV39" i="117"/>
  <c r="AU39" i="117"/>
  <c r="AT39" i="117"/>
  <c r="AS39" i="117"/>
  <c r="AR39" i="117"/>
  <c r="AQ39" i="117"/>
  <c r="AP39" i="117"/>
  <c r="AO39" i="117"/>
  <c r="AN39" i="117"/>
  <c r="AM39" i="117"/>
  <c r="AL39" i="117"/>
  <c r="AK39" i="117"/>
  <c r="AJ39" i="117"/>
  <c r="BG38" i="117"/>
  <c r="BF38" i="117"/>
  <c r="BE38" i="117"/>
  <c r="BD38" i="117"/>
  <c r="BC38" i="117"/>
  <c r="BB38" i="117"/>
  <c r="BA38" i="117"/>
  <c r="AZ38" i="117"/>
  <c r="AY38" i="117"/>
  <c r="AX38" i="117"/>
  <c r="AW38" i="117"/>
  <c r="AV38" i="117"/>
  <c r="AU38" i="117"/>
  <c r="AT38" i="117"/>
  <c r="AS38" i="117"/>
  <c r="AR38" i="117"/>
  <c r="AQ38" i="117"/>
  <c r="AP38" i="117"/>
  <c r="AO38" i="117"/>
  <c r="AN38" i="117"/>
  <c r="AM38" i="117"/>
  <c r="AL38" i="117"/>
  <c r="AK38" i="117"/>
  <c r="AJ38" i="117"/>
  <c r="BG37" i="117"/>
  <c r="BF37" i="117"/>
  <c r="BE37" i="117"/>
  <c r="BD37" i="117"/>
  <c r="BC37" i="117"/>
  <c r="BB37" i="117"/>
  <c r="BA37" i="117"/>
  <c r="AZ37" i="117"/>
  <c r="AY37" i="117"/>
  <c r="AX37" i="117"/>
  <c r="AW37" i="117"/>
  <c r="AV37" i="117"/>
  <c r="AU37" i="117"/>
  <c r="AT37" i="117"/>
  <c r="AS37" i="117"/>
  <c r="AR37" i="117"/>
  <c r="AQ37" i="117"/>
  <c r="AP37" i="117"/>
  <c r="AO37" i="117"/>
  <c r="AN37" i="117"/>
  <c r="AM37" i="117"/>
  <c r="AL37" i="117"/>
  <c r="AK37" i="117"/>
  <c r="AJ37" i="117"/>
  <c r="BG36" i="117"/>
  <c r="BF36" i="117"/>
  <c r="BE36" i="117"/>
  <c r="BD36" i="117"/>
  <c r="BC36" i="117"/>
  <c r="BB36" i="117"/>
  <c r="BA36" i="117"/>
  <c r="AZ36" i="117"/>
  <c r="AY36" i="117"/>
  <c r="AX36" i="117"/>
  <c r="AW36" i="117"/>
  <c r="AV36" i="117"/>
  <c r="AU36" i="117"/>
  <c r="AT36" i="117"/>
  <c r="AS36" i="117"/>
  <c r="AR36" i="117"/>
  <c r="AQ36" i="117"/>
  <c r="AP36" i="117"/>
  <c r="AO36" i="117"/>
  <c r="AN36" i="117"/>
  <c r="AM36" i="117"/>
  <c r="AL36" i="117"/>
  <c r="AK36" i="117"/>
  <c r="AJ36" i="117"/>
  <c r="BG35" i="117"/>
  <c r="BF35" i="117"/>
  <c r="BE35" i="117"/>
  <c r="BD35" i="117"/>
  <c r="BC35" i="117"/>
  <c r="BB35" i="117"/>
  <c r="BA35" i="117"/>
  <c r="AZ35" i="117"/>
  <c r="AY35" i="117"/>
  <c r="AX35" i="117"/>
  <c r="AW35" i="117"/>
  <c r="AV35" i="117"/>
  <c r="AU35" i="117"/>
  <c r="AT35" i="117"/>
  <c r="AS35" i="117"/>
  <c r="AR35" i="117"/>
  <c r="AQ35" i="117"/>
  <c r="AP35" i="117"/>
  <c r="AO35" i="117"/>
  <c r="AN35" i="117"/>
  <c r="AM35" i="117"/>
  <c r="AL35" i="117"/>
  <c r="AK35" i="117"/>
  <c r="AJ35" i="117"/>
  <c r="BG34" i="117"/>
  <c r="BF34" i="117"/>
  <c r="BE34" i="117"/>
  <c r="BD34" i="117"/>
  <c r="BC34" i="117"/>
  <c r="BB34" i="117"/>
  <c r="BA34" i="117"/>
  <c r="AZ34" i="117"/>
  <c r="AY34" i="117"/>
  <c r="AX34" i="117"/>
  <c r="AW34" i="117"/>
  <c r="AV34" i="117"/>
  <c r="AU34" i="117"/>
  <c r="AT34" i="117"/>
  <c r="AS34" i="117"/>
  <c r="AR34" i="117"/>
  <c r="AQ34" i="117"/>
  <c r="AP34" i="117"/>
  <c r="AO34" i="117"/>
  <c r="AN34" i="117"/>
  <c r="AM34" i="117"/>
  <c r="AL34" i="117"/>
  <c r="AK34" i="117"/>
  <c r="AJ34" i="117"/>
  <c r="BG33" i="117"/>
  <c r="BF33" i="117"/>
  <c r="BE33" i="117"/>
  <c r="BD33" i="117"/>
  <c r="BC33" i="117"/>
  <c r="BB33" i="117"/>
  <c r="BA33" i="117"/>
  <c r="AZ33" i="117"/>
  <c r="AY33" i="117"/>
  <c r="AX33" i="117"/>
  <c r="AW33" i="117"/>
  <c r="AV33" i="117"/>
  <c r="AU33" i="117"/>
  <c r="AT33" i="117"/>
  <c r="AS33" i="117"/>
  <c r="AR33" i="117"/>
  <c r="AQ33" i="117"/>
  <c r="AP33" i="117"/>
  <c r="AO33" i="117"/>
  <c r="AN33" i="117"/>
  <c r="AM33" i="117"/>
  <c r="AL33" i="117"/>
  <c r="AK33" i="117"/>
  <c r="AJ33" i="117"/>
  <c r="BG32" i="117"/>
  <c r="BF32" i="117"/>
  <c r="BE32" i="117"/>
  <c r="BD32" i="117"/>
  <c r="BC32" i="117"/>
  <c r="BB32" i="117"/>
  <c r="BA32" i="117"/>
  <c r="AZ32" i="117"/>
  <c r="AY32" i="117"/>
  <c r="AX32" i="117"/>
  <c r="AW32" i="117"/>
  <c r="AV32" i="117"/>
  <c r="AU32" i="117"/>
  <c r="AT32" i="117"/>
  <c r="AS32" i="117"/>
  <c r="AR32" i="117"/>
  <c r="AQ32" i="117"/>
  <c r="AP32" i="117"/>
  <c r="AO32" i="117"/>
  <c r="AN32" i="117"/>
  <c r="AM32" i="117"/>
  <c r="AL32" i="117"/>
  <c r="AK32" i="117"/>
  <c r="AJ32" i="117"/>
  <c r="BG31" i="117"/>
  <c r="BF31" i="117"/>
  <c r="BE31" i="117"/>
  <c r="BD31" i="117"/>
  <c r="BC31" i="117"/>
  <c r="BB31" i="117"/>
  <c r="BA31" i="117"/>
  <c r="AZ31" i="117"/>
  <c r="AY31" i="117"/>
  <c r="AX31" i="117"/>
  <c r="AW31" i="117"/>
  <c r="AV31" i="117"/>
  <c r="AU31" i="117"/>
  <c r="AT31" i="117"/>
  <c r="AS31" i="117"/>
  <c r="AR31" i="117"/>
  <c r="AQ31" i="117"/>
  <c r="AP31" i="117"/>
  <c r="AO31" i="117"/>
  <c r="AN31" i="117"/>
  <c r="AM31" i="117"/>
  <c r="AL31" i="117"/>
  <c r="AK31" i="117"/>
  <c r="AJ31" i="117"/>
  <c r="BG30" i="117"/>
  <c r="BF30" i="117"/>
  <c r="BE30" i="117"/>
  <c r="BD30" i="117"/>
  <c r="BC30" i="117"/>
  <c r="BB30" i="117"/>
  <c r="BA30" i="117"/>
  <c r="AZ30" i="117"/>
  <c r="AY30" i="117"/>
  <c r="AX30" i="117"/>
  <c r="AW30" i="117"/>
  <c r="AV30" i="117"/>
  <c r="AU30" i="117"/>
  <c r="AT30" i="117"/>
  <c r="AS30" i="117"/>
  <c r="AR30" i="117"/>
  <c r="AQ30" i="117"/>
  <c r="AP30" i="117"/>
  <c r="AO30" i="117"/>
  <c r="AN30" i="117"/>
  <c r="AM30" i="117"/>
  <c r="AL30" i="117"/>
  <c r="AK30" i="117"/>
  <c r="AJ30" i="117"/>
  <c r="BG29" i="117"/>
  <c r="BF29" i="117"/>
  <c r="BE29" i="117"/>
  <c r="BD29" i="117"/>
  <c r="BC29" i="117"/>
  <c r="BB29" i="117"/>
  <c r="BA29" i="117"/>
  <c r="AZ29" i="117"/>
  <c r="AY29" i="117"/>
  <c r="AX29" i="117"/>
  <c r="AW29" i="117"/>
  <c r="AV29" i="117"/>
  <c r="AU29" i="117"/>
  <c r="AT29" i="117"/>
  <c r="AS29" i="117"/>
  <c r="AR29" i="117"/>
  <c r="AQ29" i="117"/>
  <c r="AP29" i="117"/>
  <c r="AO29" i="117"/>
  <c r="AN29" i="117"/>
  <c r="AM29" i="117"/>
  <c r="AL29" i="117"/>
  <c r="AK29" i="117"/>
  <c r="AJ29" i="117"/>
  <c r="BG28" i="117"/>
  <c r="BF28" i="117"/>
  <c r="BE28" i="117"/>
  <c r="BD28" i="117"/>
  <c r="BC28" i="117"/>
  <c r="BB28" i="117"/>
  <c r="BA28" i="117"/>
  <c r="AZ28" i="117"/>
  <c r="AY28" i="117"/>
  <c r="AX28" i="117"/>
  <c r="AW28" i="117"/>
  <c r="AV28" i="117"/>
  <c r="AU28" i="117"/>
  <c r="AT28" i="117"/>
  <c r="AS28" i="117"/>
  <c r="AR28" i="117"/>
  <c r="AQ28" i="117"/>
  <c r="AP28" i="117"/>
  <c r="AO28" i="117"/>
  <c r="AN28" i="117"/>
  <c r="AM28" i="117"/>
  <c r="AL28" i="117"/>
  <c r="AK28" i="117"/>
  <c r="AJ28" i="117"/>
  <c r="BG27" i="117"/>
  <c r="BF27" i="117"/>
  <c r="BE27" i="117"/>
  <c r="BD27" i="117"/>
  <c r="BC27" i="117"/>
  <c r="BB27" i="117"/>
  <c r="BA27" i="117"/>
  <c r="AZ27" i="117"/>
  <c r="AY27" i="117"/>
  <c r="AX27" i="117"/>
  <c r="AW27" i="117"/>
  <c r="AV27" i="117"/>
  <c r="AU27" i="117"/>
  <c r="AT27" i="117"/>
  <c r="AS27" i="117"/>
  <c r="AR27" i="117"/>
  <c r="AQ27" i="117"/>
  <c r="AP27" i="117"/>
  <c r="AO27" i="117"/>
  <c r="AN27" i="117"/>
  <c r="AM27" i="117"/>
  <c r="AL27" i="117"/>
  <c r="AK27" i="117"/>
  <c r="AJ27" i="117"/>
  <c r="BG26" i="117"/>
  <c r="BF26" i="117"/>
  <c r="BE26" i="117"/>
  <c r="BD26" i="117"/>
  <c r="BC26" i="117"/>
  <c r="BB26" i="117"/>
  <c r="BA26" i="117"/>
  <c r="AZ26" i="117"/>
  <c r="AY26" i="117"/>
  <c r="AX26" i="117"/>
  <c r="AW26" i="117"/>
  <c r="AV26" i="117"/>
  <c r="AU26" i="117"/>
  <c r="AT26" i="117"/>
  <c r="AS26" i="117"/>
  <c r="AR26" i="117"/>
  <c r="AQ26" i="117"/>
  <c r="AP26" i="117"/>
  <c r="AO26" i="117"/>
  <c r="AN26" i="117"/>
  <c r="AM26" i="117"/>
  <c r="AL26" i="117"/>
  <c r="AK26" i="117"/>
  <c r="AJ26" i="117"/>
  <c r="BG25" i="117"/>
  <c r="BF25" i="117"/>
  <c r="BE25" i="117"/>
  <c r="BD25" i="117"/>
  <c r="BC25" i="117"/>
  <c r="BB25" i="117"/>
  <c r="BA25" i="117"/>
  <c r="AZ25" i="117"/>
  <c r="AY25" i="117"/>
  <c r="AX25" i="117"/>
  <c r="AW25" i="117"/>
  <c r="AV25" i="117"/>
  <c r="AU25" i="117"/>
  <c r="AT25" i="117"/>
  <c r="AS25" i="117"/>
  <c r="AR25" i="117"/>
  <c r="AQ25" i="117"/>
  <c r="AP25" i="117"/>
  <c r="AO25" i="117"/>
  <c r="AN25" i="117"/>
  <c r="AM25" i="117"/>
  <c r="AL25" i="117"/>
  <c r="AK25" i="117"/>
  <c r="AJ25" i="117"/>
  <c r="BG24" i="117"/>
  <c r="BF24" i="117"/>
  <c r="BE24" i="117"/>
  <c r="BD24" i="117"/>
  <c r="BC24" i="117"/>
  <c r="BB24" i="117"/>
  <c r="BA24" i="117"/>
  <c r="AZ24" i="117"/>
  <c r="AY24" i="117"/>
  <c r="AX24" i="117"/>
  <c r="AW24" i="117"/>
  <c r="AV24" i="117"/>
  <c r="AU24" i="117"/>
  <c r="AT24" i="117"/>
  <c r="AS24" i="117"/>
  <c r="AR24" i="117"/>
  <c r="AQ24" i="117"/>
  <c r="AP24" i="117"/>
  <c r="AO24" i="117"/>
  <c r="AN24" i="117"/>
  <c r="AM24" i="117"/>
  <c r="AL24" i="117"/>
  <c r="AK24" i="117"/>
  <c r="AJ24" i="117"/>
  <c r="BG23" i="117"/>
  <c r="BF23" i="117"/>
  <c r="BE23" i="117"/>
  <c r="BD23" i="117"/>
  <c r="BC23" i="117"/>
  <c r="BB23" i="117"/>
  <c r="BA23" i="117"/>
  <c r="AZ23" i="117"/>
  <c r="AY23" i="117"/>
  <c r="AX23" i="117"/>
  <c r="AW23" i="117"/>
  <c r="AV23" i="117"/>
  <c r="AU23" i="117"/>
  <c r="AT23" i="117"/>
  <c r="AS23" i="117"/>
  <c r="AR23" i="117"/>
  <c r="AQ23" i="117"/>
  <c r="AP23" i="117"/>
  <c r="AO23" i="117"/>
  <c r="AN23" i="117"/>
  <c r="AM23" i="117"/>
  <c r="AL23" i="117"/>
  <c r="AK23" i="117"/>
  <c r="AJ23" i="117"/>
  <c r="BG22" i="117"/>
  <c r="BF22" i="117"/>
  <c r="BE22" i="117"/>
  <c r="BD22" i="117"/>
  <c r="BC22" i="117"/>
  <c r="BB22" i="117"/>
  <c r="BA22" i="117"/>
  <c r="AZ22" i="117"/>
  <c r="AY22" i="117"/>
  <c r="AX22" i="117"/>
  <c r="AW22" i="117"/>
  <c r="AV22" i="117"/>
  <c r="AU22" i="117"/>
  <c r="AT22" i="117"/>
  <c r="AS22" i="117"/>
  <c r="AR22" i="117"/>
  <c r="AQ22" i="117"/>
  <c r="AP22" i="117"/>
  <c r="AO22" i="117"/>
  <c r="AN22" i="117"/>
  <c r="AM22" i="117"/>
  <c r="AL22" i="117"/>
  <c r="AK22" i="117"/>
  <c r="AJ22" i="117"/>
  <c r="BG21" i="117"/>
  <c r="BF21" i="117"/>
  <c r="BE21" i="117"/>
  <c r="BD21" i="117"/>
  <c r="BC21" i="117"/>
  <c r="BB21" i="117"/>
  <c r="BA21" i="117"/>
  <c r="AZ21" i="117"/>
  <c r="AY21" i="117"/>
  <c r="AX21" i="117"/>
  <c r="AW21" i="117"/>
  <c r="AV21" i="117"/>
  <c r="AU21" i="117"/>
  <c r="AT21" i="117"/>
  <c r="AS21" i="117"/>
  <c r="AR21" i="117"/>
  <c r="AQ21" i="117"/>
  <c r="AP21" i="117"/>
  <c r="AO21" i="117"/>
  <c r="AN21" i="117"/>
  <c r="AM21" i="117"/>
  <c r="AL21" i="117"/>
  <c r="AK21" i="117"/>
  <c r="AJ21" i="117"/>
  <c r="BG20" i="117"/>
  <c r="BF20" i="117"/>
  <c r="BE20" i="117"/>
  <c r="BD20" i="117"/>
  <c r="BC20" i="117"/>
  <c r="BB20" i="117"/>
  <c r="BA20" i="117"/>
  <c r="AZ20" i="117"/>
  <c r="AY20" i="117"/>
  <c r="AX20" i="117"/>
  <c r="AW20" i="117"/>
  <c r="AV20" i="117"/>
  <c r="AU20" i="117"/>
  <c r="AT20" i="117"/>
  <c r="AS20" i="117"/>
  <c r="AR20" i="117"/>
  <c r="AQ20" i="117"/>
  <c r="AP20" i="117"/>
  <c r="AO20" i="117"/>
  <c r="AN20" i="117"/>
  <c r="AM20" i="117"/>
  <c r="AL20" i="117"/>
  <c r="AK20" i="117"/>
  <c r="AJ20" i="117"/>
  <c r="BG19" i="117"/>
  <c r="BF19" i="117"/>
  <c r="BE19" i="117"/>
  <c r="BD19" i="117"/>
  <c r="BC19" i="117"/>
  <c r="BB19" i="117"/>
  <c r="BA19" i="117"/>
  <c r="AZ19" i="117"/>
  <c r="AY19" i="117"/>
  <c r="AX19" i="117"/>
  <c r="AW19" i="117"/>
  <c r="AV19" i="117"/>
  <c r="AU19" i="117"/>
  <c r="AT19" i="117"/>
  <c r="AS19" i="117"/>
  <c r="AR19" i="117"/>
  <c r="AQ19" i="117"/>
  <c r="AP19" i="117"/>
  <c r="AO19" i="117"/>
  <c r="AN19" i="117"/>
  <c r="AM19" i="117"/>
  <c r="AL19" i="117"/>
  <c r="AK19" i="117"/>
  <c r="AJ19" i="117"/>
  <c r="BG18" i="117"/>
  <c r="BF18" i="117"/>
  <c r="BE18" i="117"/>
  <c r="BD18" i="117"/>
  <c r="BC18" i="117"/>
  <c r="BB18" i="117"/>
  <c r="BA18" i="117"/>
  <c r="AZ18" i="117"/>
  <c r="AY18" i="117"/>
  <c r="AX18" i="117"/>
  <c r="AW18" i="117"/>
  <c r="AV18" i="117"/>
  <c r="AU18" i="117"/>
  <c r="AT18" i="117"/>
  <c r="AS18" i="117"/>
  <c r="AR18" i="117"/>
  <c r="AQ18" i="117"/>
  <c r="AP18" i="117"/>
  <c r="AO18" i="117"/>
  <c r="AN18" i="117"/>
  <c r="AM18" i="117"/>
  <c r="AL18" i="117"/>
  <c r="AK18" i="117"/>
  <c r="AJ18" i="117"/>
  <c r="BG17" i="117"/>
  <c r="BF17" i="117"/>
  <c r="BE17" i="117"/>
  <c r="BD17" i="117"/>
  <c r="BC17" i="117"/>
  <c r="BB17" i="117"/>
  <c r="BA17" i="117"/>
  <c r="AZ17" i="117"/>
  <c r="AY17" i="117"/>
  <c r="AX17" i="117"/>
  <c r="AW17" i="117"/>
  <c r="AV17" i="117"/>
  <c r="AU17" i="117"/>
  <c r="AT17" i="117"/>
  <c r="AS17" i="117"/>
  <c r="AR17" i="117"/>
  <c r="AQ17" i="117"/>
  <c r="AP17" i="117"/>
  <c r="AO17" i="117"/>
  <c r="AN17" i="117"/>
  <c r="AM17" i="117"/>
  <c r="AL17" i="117"/>
  <c r="AK17" i="117"/>
  <c r="AJ17" i="117"/>
  <c r="BG16" i="117"/>
  <c r="BF16" i="117"/>
  <c r="BE16" i="117"/>
  <c r="BD16" i="117"/>
  <c r="BC16" i="117"/>
  <c r="BB16" i="117"/>
  <c r="BA16" i="117"/>
  <c r="AZ16" i="117"/>
  <c r="AY16" i="117"/>
  <c r="AX16" i="117"/>
  <c r="AW16" i="117"/>
  <c r="AV16" i="117"/>
  <c r="AU16" i="117"/>
  <c r="AT16" i="117"/>
  <c r="AS16" i="117"/>
  <c r="AR16" i="117"/>
  <c r="AQ16" i="117"/>
  <c r="AP16" i="117"/>
  <c r="AO16" i="117"/>
  <c r="AN16" i="117"/>
  <c r="AM16" i="117"/>
  <c r="AL16" i="117"/>
  <c r="AK16" i="117"/>
  <c r="AJ16" i="117"/>
  <c r="BG15" i="117"/>
  <c r="BF15" i="117"/>
  <c r="BE15" i="117"/>
  <c r="BD15" i="117"/>
  <c r="BC15" i="117"/>
  <c r="BB15" i="117"/>
  <c r="BA15" i="117"/>
  <c r="AZ15" i="117"/>
  <c r="AY15" i="117"/>
  <c r="AX15" i="117"/>
  <c r="AW15" i="117"/>
  <c r="AV15" i="117"/>
  <c r="AU15" i="117"/>
  <c r="AT15" i="117"/>
  <c r="AS15" i="117"/>
  <c r="AR15" i="117"/>
  <c r="AQ15" i="117"/>
  <c r="AP15" i="117"/>
  <c r="AO15" i="117"/>
  <c r="AN15" i="117"/>
  <c r="AM15" i="117"/>
  <c r="AL15" i="117"/>
  <c r="AK15" i="117"/>
  <c r="AJ15" i="117"/>
  <c r="BL14" i="117"/>
  <c r="BK14" i="117"/>
  <c r="BJ14" i="117"/>
  <c r="BI14" i="117"/>
  <c r="BH14" i="117"/>
  <c r="BG14" i="117"/>
  <c r="BF14" i="117"/>
  <c r="BE14" i="117"/>
  <c r="BD14" i="117"/>
  <c r="BC14" i="117"/>
  <c r="BB14" i="117"/>
  <c r="BA14" i="117"/>
  <c r="AZ14" i="117"/>
  <c r="AY14" i="117"/>
  <c r="AX14" i="117"/>
  <c r="AW14" i="117"/>
  <c r="AV14" i="117"/>
  <c r="AU14" i="117"/>
  <c r="AT14" i="117"/>
  <c r="AS14" i="117"/>
  <c r="AR14" i="117"/>
  <c r="AQ14" i="117"/>
  <c r="AP14" i="117"/>
  <c r="AO14" i="117"/>
  <c r="AN14" i="117"/>
  <c r="AM14" i="117"/>
  <c r="AL14" i="117"/>
  <c r="BL13" i="117"/>
  <c r="BK13" i="117"/>
  <c r="BJ13" i="117"/>
  <c r="BI13" i="117"/>
  <c r="BH13" i="117"/>
  <c r="BG13" i="117"/>
  <c r="BF13" i="117"/>
  <c r="BE13" i="117"/>
  <c r="BD13" i="117"/>
  <c r="BA13" i="117"/>
  <c r="AZ13" i="117"/>
  <c r="AY13" i="117"/>
  <c r="AX13" i="117"/>
  <c r="AW13" i="117"/>
  <c r="AV13" i="117"/>
  <c r="AU13" i="117"/>
  <c r="AT13" i="117"/>
  <c r="AS13" i="117"/>
  <c r="AR13" i="117"/>
  <c r="AQ13" i="117"/>
  <c r="AP13" i="117"/>
  <c r="AO13" i="117"/>
  <c r="AN13" i="117"/>
  <c r="AM13" i="117"/>
  <c r="AL13" i="117"/>
  <c r="BG44" i="79"/>
  <c r="BF44" i="79"/>
  <c r="BE44" i="79"/>
  <c r="BD44" i="79"/>
  <c r="BC44" i="79"/>
  <c r="BB44" i="79"/>
  <c r="BA44" i="79"/>
  <c r="AZ44" i="79"/>
  <c r="AY44" i="79"/>
  <c r="AX44" i="79"/>
  <c r="AW44" i="79"/>
  <c r="AV44" i="79"/>
  <c r="AU44" i="79"/>
  <c r="AT44" i="79"/>
  <c r="AS44" i="79"/>
  <c r="AR44" i="79"/>
  <c r="AQ44" i="79"/>
  <c r="AP44" i="79"/>
  <c r="AO44" i="79"/>
  <c r="AN44" i="79"/>
  <c r="AM44" i="79"/>
  <c r="AL44" i="79"/>
  <c r="AK44" i="79"/>
  <c r="AJ44" i="79"/>
  <c r="BG43" i="79"/>
  <c r="BF43" i="79"/>
  <c r="BE43" i="79"/>
  <c r="BD43" i="79"/>
  <c r="BC43" i="79"/>
  <c r="BB43" i="79"/>
  <c r="BA43" i="79"/>
  <c r="AZ43" i="79"/>
  <c r="AY43" i="79"/>
  <c r="AX43" i="79"/>
  <c r="AW43" i="79"/>
  <c r="AV43" i="79"/>
  <c r="AU43" i="79"/>
  <c r="AT43" i="79"/>
  <c r="AS43" i="79"/>
  <c r="AR43" i="79"/>
  <c r="AQ43" i="79"/>
  <c r="AP43" i="79"/>
  <c r="AO43" i="79"/>
  <c r="AN43" i="79"/>
  <c r="AM43" i="79"/>
  <c r="AL43" i="79"/>
  <c r="AK43" i="79"/>
  <c r="AJ43" i="79"/>
  <c r="BG42" i="79"/>
  <c r="BF42" i="79"/>
  <c r="BE42" i="79"/>
  <c r="BD42" i="79"/>
  <c r="BC42" i="79"/>
  <c r="BB42" i="79"/>
  <c r="BA42" i="79"/>
  <c r="AZ42" i="79"/>
  <c r="AY42" i="79"/>
  <c r="AX42" i="79"/>
  <c r="AW42" i="79"/>
  <c r="AV42" i="79"/>
  <c r="AU42" i="79"/>
  <c r="AT42" i="79"/>
  <c r="AS42" i="79"/>
  <c r="AR42" i="79"/>
  <c r="AQ42" i="79"/>
  <c r="AP42" i="79"/>
  <c r="AO42" i="79"/>
  <c r="AN42" i="79"/>
  <c r="AM42" i="79"/>
  <c r="AL42" i="79"/>
  <c r="AK42" i="79"/>
  <c r="AJ42" i="79"/>
  <c r="BG41" i="79"/>
  <c r="BF41" i="79"/>
  <c r="BE41" i="79"/>
  <c r="BD41" i="79"/>
  <c r="BC41" i="79"/>
  <c r="BB41" i="79"/>
  <c r="BA41" i="79"/>
  <c r="AZ41" i="79"/>
  <c r="AY41" i="79"/>
  <c r="AX41" i="79"/>
  <c r="AW41" i="79"/>
  <c r="AV41" i="79"/>
  <c r="AU41" i="79"/>
  <c r="AT41" i="79"/>
  <c r="AS41" i="79"/>
  <c r="AR41" i="79"/>
  <c r="AQ41" i="79"/>
  <c r="AP41" i="79"/>
  <c r="AO41" i="79"/>
  <c r="AN41" i="79"/>
  <c r="AM41" i="79"/>
  <c r="AL41" i="79"/>
  <c r="AK41" i="79"/>
  <c r="AJ41" i="79"/>
  <c r="BG40" i="79"/>
  <c r="BF40" i="79"/>
  <c r="BE40" i="79"/>
  <c r="BD40" i="79"/>
  <c r="BC40" i="79"/>
  <c r="BB40" i="79"/>
  <c r="BA40" i="79"/>
  <c r="AZ40" i="79"/>
  <c r="AY40" i="79"/>
  <c r="AX40" i="79"/>
  <c r="AW40" i="79"/>
  <c r="AV40" i="79"/>
  <c r="AU40" i="79"/>
  <c r="AT40" i="79"/>
  <c r="AS40" i="79"/>
  <c r="AR40" i="79"/>
  <c r="AQ40" i="79"/>
  <c r="AP40" i="79"/>
  <c r="AO40" i="79"/>
  <c r="AN40" i="79"/>
  <c r="AM40" i="79"/>
  <c r="AL40" i="79"/>
  <c r="AK40" i="79"/>
  <c r="AJ40" i="79"/>
  <c r="BG39" i="79"/>
  <c r="BF39" i="79"/>
  <c r="BE39" i="79"/>
  <c r="BD39" i="79"/>
  <c r="BC39" i="79"/>
  <c r="BB39" i="79"/>
  <c r="BA39" i="79"/>
  <c r="AZ39" i="79"/>
  <c r="AY39" i="79"/>
  <c r="AX39" i="79"/>
  <c r="AW39" i="79"/>
  <c r="AV39" i="79"/>
  <c r="AU39" i="79"/>
  <c r="AT39" i="79"/>
  <c r="AS39" i="79"/>
  <c r="AR39" i="79"/>
  <c r="AQ39" i="79"/>
  <c r="AP39" i="79"/>
  <c r="AO39" i="79"/>
  <c r="AN39" i="79"/>
  <c r="AM39" i="79"/>
  <c r="AL39" i="79"/>
  <c r="AK39" i="79"/>
  <c r="AJ39" i="79"/>
  <c r="BG38" i="79"/>
  <c r="BF38" i="79"/>
  <c r="BE38" i="79"/>
  <c r="BD38" i="79"/>
  <c r="BC38" i="79"/>
  <c r="BB38" i="79"/>
  <c r="BA38" i="79"/>
  <c r="AZ38" i="79"/>
  <c r="AY38" i="79"/>
  <c r="AX38" i="79"/>
  <c r="AW38" i="79"/>
  <c r="AV38" i="79"/>
  <c r="AU38" i="79"/>
  <c r="AT38" i="79"/>
  <c r="AS38" i="79"/>
  <c r="AR38" i="79"/>
  <c r="AQ38" i="79"/>
  <c r="AP38" i="79"/>
  <c r="AO38" i="79"/>
  <c r="AN38" i="79"/>
  <c r="AM38" i="79"/>
  <c r="AL38" i="79"/>
  <c r="AK38" i="79"/>
  <c r="AJ38" i="79"/>
  <c r="BG37" i="79"/>
  <c r="BF37" i="79"/>
  <c r="BE37" i="79"/>
  <c r="BD37" i="79"/>
  <c r="BC37" i="79"/>
  <c r="BB37" i="79"/>
  <c r="BA37" i="79"/>
  <c r="AZ37" i="79"/>
  <c r="AY37" i="79"/>
  <c r="AX37" i="79"/>
  <c r="AW37" i="79"/>
  <c r="AV37" i="79"/>
  <c r="AU37" i="79"/>
  <c r="AT37" i="79"/>
  <c r="AS37" i="79"/>
  <c r="AR37" i="79"/>
  <c r="AQ37" i="79"/>
  <c r="AP37" i="79"/>
  <c r="AO37" i="79"/>
  <c r="AN37" i="79"/>
  <c r="AM37" i="79"/>
  <c r="AL37" i="79"/>
  <c r="AK37" i="79"/>
  <c r="AJ37" i="79"/>
  <c r="BG36" i="79"/>
  <c r="BF36" i="79"/>
  <c r="BE36" i="79"/>
  <c r="BD36" i="79"/>
  <c r="BC36" i="79"/>
  <c r="BB36" i="79"/>
  <c r="BA36" i="79"/>
  <c r="AZ36" i="79"/>
  <c r="AY36" i="79"/>
  <c r="AX36" i="79"/>
  <c r="AW36" i="79"/>
  <c r="AV36" i="79"/>
  <c r="AU36" i="79"/>
  <c r="AT36" i="79"/>
  <c r="AS36" i="79"/>
  <c r="AR36" i="79"/>
  <c r="AQ36" i="79"/>
  <c r="AP36" i="79"/>
  <c r="AO36" i="79"/>
  <c r="AN36" i="79"/>
  <c r="AM36" i="79"/>
  <c r="AL36" i="79"/>
  <c r="AK36" i="79"/>
  <c r="AJ36" i="79"/>
  <c r="BG35" i="79"/>
  <c r="BF35" i="79"/>
  <c r="BE35" i="79"/>
  <c r="BD35" i="79"/>
  <c r="BC35" i="79"/>
  <c r="BB35" i="79"/>
  <c r="BA35" i="79"/>
  <c r="AZ35" i="79"/>
  <c r="AY35" i="79"/>
  <c r="AX35" i="79"/>
  <c r="AW35" i="79"/>
  <c r="AV35" i="79"/>
  <c r="AU35" i="79"/>
  <c r="AT35" i="79"/>
  <c r="AS35" i="79"/>
  <c r="AR35" i="79"/>
  <c r="AQ35" i="79"/>
  <c r="AP35" i="79"/>
  <c r="AO35" i="79"/>
  <c r="AN35" i="79"/>
  <c r="AM35" i="79"/>
  <c r="AL35" i="79"/>
  <c r="AK35" i="79"/>
  <c r="AJ35" i="79"/>
  <c r="BG34" i="79"/>
  <c r="BF34" i="79"/>
  <c r="BE34" i="79"/>
  <c r="BD34" i="79"/>
  <c r="BC34" i="79"/>
  <c r="BB34" i="79"/>
  <c r="BA34" i="79"/>
  <c r="AZ34" i="79"/>
  <c r="AY34" i="79"/>
  <c r="AX34" i="79"/>
  <c r="AW34" i="79"/>
  <c r="AV34" i="79"/>
  <c r="AU34" i="79"/>
  <c r="AT34" i="79"/>
  <c r="AS34" i="79"/>
  <c r="AR34" i="79"/>
  <c r="AQ34" i="79"/>
  <c r="AP34" i="79"/>
  <c r="AO34" i="79"/>
  <c r="AN34" i="79"/>
  <c r="AM34" i="79"/>
  <c r="AL34" i="79"/>
  <c r="AK34" i="79"/>
  <c r="AJ34" i="79"/>
  <c r="BG33" i="79"/>
  <c r="BF33" i="79"/>
  <c r="BE33" i="79"/>
  <c r="BD33" i="79"/>
  <c r="BC33" i="79"/>
  <c r="BB33" i="79"/>
  <c r="BA33" i="79"/>
  <c r="AZ33" i="79"/>
  <c r="AY33" i="79"/>
  <c r="AX33" i="79"/>
  <c r="AW33" i="79"/>
  <c r="AV33" i="79"/>
  <c r="AU33" i="79"/>
  <c r="AT33" i="79"/>
  <c r="AS33" i="79"/>
  <c r="AR33" i="79"/>
  <c r="AQ33" i="79"/>
  <c r="AP33" i="79"/>
  <c r="AO33" i="79"/>
  <c r="AN33" i="79"/>
  <c r="AM33" i="79"/>
  <c r="AL33" i="79"/>
  <c r="AK33" i="79"/>
  <c r="AJ33" i="79"/>
  <c r="BG32" i="79"/>
  <c r="BF32" i="79"/>
  <c r="BE32" i="79"/>
  <c r="BD32" i="79"/>
  <c r="BC32" i="79"/>
  <c r="BB32" i="79"/>
  <c r="BA32" i="79"/>
  <c r="AZ32" i="79"/>
  <c r="AY32" i="79"/>
  <c r="AX32" i="79"/>
  <c r="AW32" i="79"/>
  <c r="AV32" i="79"/>
  <c r="AU32" i="79"/>
  <c r="AT32" i="79"/>
  <c r="AS32" i="79"/>
  <c r="AR32" i="79"/>
  <c r="AQ32" i="79"/>
  <c r="AP32" i="79"/>
  <c r="AO32" i="79"/>
  <c r="AN32" i="79"/>
  <c r="AM32" i="79"/>
  <c r="AL32" i="79"/>
  <c r="AK32" i="79"/>
  <c r="AJ32" i="79"/>
  <c r="BG31" i="79"/>
  <c r="BF31" i="79"/>
  <c r="BE31" i="79"/>
  <c r="BD31" i="79"/>
  <c r="BC31" i="79"/>
  <c r="BB31" i="79"/>
  <c r="BA31" i="79"/>
  <c r="AZ31" i="79"/>
  <c r="AY31" i="79"/>
  <c r="AX31" i="79"/>
  <c r="AW31" i="79"/>
  <c r="AV31" i="79"/>
  <c r="AU31" i="79"/>
  <c r="AT31" i="79"/>
  <c r="AS31" i="79"/>
  <c r="AR31" i="79"/>
  <c r="AQ31" i="79"/>
  <c r="AP31" i="79"/>
  <c r="AO31" i="79"/>
  <c r="AN31" i="79"/>
  <c r="AM31" i="79"/>
  <c r="AL31" i="79"/>
  <c r="AK31" i="79"/>
  <c r="AJ31" i="79"/>
  <c r="BG30" i="79"/>
  <c r="BF30" i="79"/>
  <c r="BE30" i="79"/>
  <c r="BD30" i="79"/>
  <c r="BC30" i="79"/>
  <c r="BB30" i="79"/>
  <c r="BA30" i="79"/>
  <c r="AZ30" i="79"/>
  <c r="AY30" i="79"/>
  <c r="AX30" i="79"/>
  <c r="AW30" i="79"/>
  <c r="AV30" i="79"/>
  <c r="AU30" i="79"/>
  <c r="AT30" i="79"/>
  <c r="AS30" i="79"/>
  <c r="AR30" i="79"/>
  <c r="AQ30" i="79"/>
  <c r="AP30" i="79"/>
  <c r="AO30" i="79"/>
  <c r="AN30" i="79"/>
  <c r="AM30" i="79"/>
  <c r="AL30" i="79"/>
  <c r="AK30" i="79"/>
  <c r="AJ30" i="79"/>
  <c r="BG29" i="79"/>
  <c r="BF29" i="79"/>
  <c r="BE29" i="79"/>
  <c r="BD29" i="79"/>
  <c r="BC29" i="79"/>
  <c r="BB29" i="79"/>
  <c r="BA29" i="79"/>
  <c r="AZ29" i="79"/>
  <c r="AY29" i="79"/>
  <c r="AX29" i="79"/>
  <c r="AW29" i="79"/>
  <c r="AV29" i="79"/>
  <c r="AU29" i="79"/>
  <c r="AT29" i="79"/>
  <c r="AS29" i="79"/>
  <c r="AR29" i="79"/>
  <c r="AQ29" i="79"/>
  <c r="AP29" i="79"/>
  <c r="AO29" i="79"/>
  <c r="AN29" i="79"/>
  <c r="AM29" i="79"/>
  <c r="AL29" i="79"/>
  <c r="AK29" i="79"/>
  <c r="AJ29" i="79"/>
  <c r="BG28" i="79"/>
  <c r="BF28" i="79"/>
  <c r="BE28" i="79"/>
  <c r="BD28" i="79"/>
  <c r="BC28" i="79"/>
  <c r="BB28" i="79"/>
  <c r="BA28" i="79"/>
  <c r="AZ28" i="79"/>
  <c r="AY28" i="79"/>
  <c r="AX28" i="79"/>
  <c r="AW28" i="79"/>
  <c r="AV28" i="79"/>
  <c r="AU28" i="79"/>
  <c r="AT28" i="79"/>
  <c r="AS28" i="79"/>
  <c r="AR28" i="79"/>
  <c r="AQ28" i="79"/>
  <c r="AP28" i="79"/>
  <c r="AO28" i="79"/>
  <c r="AN28" i="79"/>
  <c r="AM28" i="79"/>
  <c r="AL28" i="79"/>
  <c r="AK28" i="79"/>
  <c r="AJ28" i="79"/>
  <c r="BG27" i="79"/>
  <c r="BF27" i="79"/>
  <c r="BE27" i="79"/>
  <c r="BD27" i="79"/>
  <c r="BC27" i="79"/>
  <c r="BB27" i="79"/>
  <c r="BA27" i="79"/>
  <c r="AZ27" i="79"/>
  <c r="AY27" i="79"/>
  <c r="AX27" i="79"/>
  <c r="AW27" i="79"/>
  <c r="AV27" i="79"/>
  <c r="AU27" i="79"/>
  <c r="AT27" i="79"/>
  <c r="AS27" i="79"/>
  <c r="AR27" i="79"/>
  <c r="AQ27" i="79"/>
  <c r="AP27" i="79"/>
  <c r="AO27" i="79"/>
  <c r="AN27" i="79"/>
  <c r="AM27" i="79"/>
  <c r="AL27" i="79"/>
  <c r="AK27" i="79"/>
  <c r="AJ27" i="79"/>
  <c r="BG26" i="79"/>
  <c r="BF26" i="79"/>
  <c r="BE26" i="79"/>
  <c r="BD26" i="79"/>
  <c r="BC26" i="79"/>
  <c r="BB26" i="79"/>
  <c r="BA26" i="79"/>
  <c r="AZ26" i="79"/>
  <c r="AY26" i="79"/>
  <c r="AX26" i="79"/>
  <c r="AW26" i="79"/>
  <c r="AV26" i="79"/>
  <c r="AU26" i="79"/>
  <c r="AT26" i="79"/>
  <c r="AS26" i="79"/>
  <c r="AR26" i="79"/>
  <c r="AQ26" i="79"/>
  <c r="AP26" i="79"/>
  <c r="AO26" i="79"/>
  <c r="AN26" i="79"/>
  <c r="AM26" i="79"/>
  <c r="AL26" i="79"/>
  <c r="AK26" i="79"/>
  <c r="AJ26" i="79"/>
  <c r="BG25" i="79"/>
  <c r="BF25" i="79"/>
  <c r="BE25" i="79"/>
  <c r="BD25" i="79"/>
  <c r="BC25" i="79"/>
  <c r="BB25" i="79"/>
  <c r="BA25" i="79"/>
  <c r="AZ25" i="79"/>
  <c r="AY25" i="79"/>
  <c r="AX25" i="79"/>
  <c r="AW25" i="79"/>
  <c r="AV25" i="79"/>
  <c r="AU25" i="79"/>
  <c r="AT25" i="79"/>
  <c r="AS25" i="79"/>
  <c r="AR25" i="79"/>
  <c r="AQ25" i="79"/>
  <c r="AP25" i="79"/>
  <c r="AO25" i="79"/>
  <c r="AN25" i="79"/>
  <c r="AM25" i="79"/>
  <c r="AL25" i="79"/>
  <c r="AK25" i="79"/>
  <c r="AJ25" i="79"/>
  <c r="BG24" i="79"/>
  <c r="BF24" i="79"/>
  <c r="BE24" i="79"/>
  <c r="BD24" i="79"/>
  <c r="BC24" i="79"/>
  <c r="BB24" i="79"/>
  <c r="BA24" i="79"/>
  <c r="AZ24" i="79"/>
  <c r="AY24" i="79"/>
  <c r="AX24" i="79"/>
  <c r="AW24" i="79"/>
  <c r="AV24" i="79"/>
  <c r="AU24" i="79"/>
  <c r="AT24" i="79"/>
  <c r="AS24" i="79"/>
  <c r="AR24" i="79"/>
  <c r="AQ24" i="79"/>
  <c r="AP24" i="79"/>
  <c r="AO24" i="79"/>
  <c r="AN24" i="79"/>
  <c r="AM24" i="79"/>
  <c r="AL24" i="79"/>
  <c r="AK24" i="79"/>
  <c r="AJ24" i="79"/>
  <c r="BG23" i="79"/>
  <c r="BF23" i="79"/>
  <c r="BE23" i="79"/>
  <c r="BD23" i="79"/>
  <c r="BC23" i="79"/>
  <c r="BB23" i="79"/>
  <c r="BA23" i="79"/>
  <c r="AZ23" i="79"/>
  <c r="AY23" i="79"/>
  <c r="AX23" i="79"/>
  <c r="AW23" i="79"/>
  <c r="AV23" i="79"/>
  <c r="AU23" i="79"/>
  <c r="AT23" i="79"/>
  <c r="AS23" i="79"/>
  <c r="AR23" i="79"/>
  <c r="AQ23" i="79"/>
  <c r="AP23" i="79"/>
  <c r="AO23" i="79"/>
  <c r="AN23" i="79"/>
  <c r="AM23" i="79"/>
  <c r="AL23" i="79"/>
  <c r="AK23" i="79"/>
  <c r="AJ23" i="79"/>
  <c r="BG22" i="79"/>
  <c r="BF22" i="79"/>
  <c r="BE22" i="79"/>
  <c r="BD22" i="79"/>
  <c r="BC22" i="79"/>
  <c r="BB22" i="79"/>
  <c r="BA22" i="79"/>
  <c r="AZ22" i="79"/>
  <c r="AY22" i="79"/>
  <c r="AX22" i="79"/>
  <c r="AW22" i="79"/>
  <c r="AV22" i="79"/>
  <c r="AU22" i="79"/>
  <c r="AT22" i="79"/>
  <c r="AS22" i="79"/>
  <c r="AR22" i="79"/>
  <c r="AQ22" i="79"/>
  <c r="AP22" i="79"/>
  <c r="AO22" i="79"/>
  <c r="AN22" i="79"/>
  <c r="AM22" i="79"/>
  <c r="AL22" i="79"/>
  <c r="AK22" i="79"/>
  <c r="AJ22" i="79"/>
  <c r="BG21" i="79"/>
  <c r="BF21" i="79"/>
  <c r="BE21" i="79"/>
  <c r="BD21" i="79"/>
  <c r="BC21" i="79"/>
  <c r="BB21" i="79"/>
  <c r="BA21" i="79"/>
  <c r="AZ21" i="79"/>
  <c r="AY21" i="79"/>
  <c r="AX21" i="79"/>
  <c r="AW21" i="79"/>
  <c r="AV21" i="79"/>
  <c r="AU21" i="79"/>
  <c r="AT21" i="79"/>
  <c r="AS21" i="79"/>
  <c r="AR21" i="79"/>
  <c r="AQ21" i="79"/>
  <c r="AP21" i="79"/>
  <c r="AO21" i="79"/>
  <c r="AN21" i="79"/>
  <c r="AM21" i="79"/>
  <c r="AL21" i="79"/>
  <c r="AK21" i="79"/>
  <c r="AJ21" i="79"/>
  <c r="BG20" i="79"/>
  <c r="BF20" i="79"/>
  <c r="BE20" i="79"/>
  <c r="BD20" i="79"/>
  <c r="BC20" i="79"/>
  <c r="BB20" i="79"/>
  <c r="BA20" i="79"/>
  <c r="AZ20" i="79"/>
  <c r="AY20" i="79"/>
  <c r="AX20" i="79"/>
  <c r="AW20" i="79"/>
  <c r="AV20" i="79"/>
  <c r="AU20" i="79"/>
  <c r="AT20" i="79"/>
  <c r="AS20" i="79"/>
  <c r="AR20" i="79"/>
  <c r="AQ20" i="79"/>
  <c r="AP20" i="79"/>
  <c r="AO20" i="79"/>
  <c r="AN20" i="79"/>
  <c r="AM20" i="79"/>
  <c r="AL20" i="79"/>
  <c r="AK20" i="79"/>
  <c r="AJ20" i="79"/>
  <c r="BG19" i="79"/>
  <c r="BF19" i="79"/>
  <c r="BE19" i="79"/>
  <c r="BD19" i="79"/>
  <c r="BC19" i="79"/>
  <c r="BB19" i="79"/>
  <c r="BA19" i="79"/>
  <c r="AZ19" i="79"/>
  <c r="AY19" i="79"/>
  <c r="AX19" i="79"/>
  <c r="AW19" i="79"/>
  <c r="AV19" i="79"/>
  <c r="AU19" i="79"/>
  <c r="AT19" i="79"/>
  <c r="AS19" i="79"/>
  <c r="AR19" i="79"/>
  <c r="AQ19" i="79"/>
  <c r="AP19" i="79"/>
  <c r="AO19" i="79"/>
  <c r="AN19" i="79"/>
  <c r="AM19" i="79"/>
  <c r="AL19" i="79"/>
  <c r="AK19" i="79"/>
  <c r="AJ19" i="79"/>
  <c r="BG18" i="79"/>
  <c r="BF18" i="79"/>
  <c r="BE18" i="79"/>
  <c r="BD18" i="79"/>
  <c r="BC18" i="79"/>
  <c r="BB18" i="79"/>
  <c r="BA18" i="79"/>
  <c r="AZ18" i="79"/>
  <c r="AY18" i="79"/>
  <c r="AX18" i="79"/>
  <c r="AW18" i="79"/>
  <c r="AV18" i="79"/>
  <c r="AU18" i="79"/>
  <c r="AT18" i="79"/>
  <c r="AS18" i="79"/>
  <c r="AR18" i="79"/>
  <c r="AQ18" i="79"/>
  <c r="AP18" i="79"/>
  <c r="AO18" i="79"/>
  <c r="AN18" i="79"/>
  <c r="AM18" i="79"/>
  <c r="AL18" i="79"/>
  <c r="AK18" i="79"/>
  <c r="AJ18" i="79"/>
  <c r="BG17" i="79"/>
  <c r="BF17" i="79"/>
  <c r="BE17" i="79"/>
  <c r="BD17" i="79"/>
  <c r="BC17" i="79"/>
  <c r="BB17" i="79"/>
  <c r="BA17" i="79"/>
  <c r="AZ17" i="79"/>
  <c r="AY17" i="79"/>
  <c r="AX17" i="79"/>
  <c r="AW17" i="79"/>
  <c r="AV17" i="79"/>
  <c r="AU17" i="79"/>
  <c r="AT17" i="79"/>
  <c r="AS17" i="79"/>
  <c r="AR17" i="79"/>
  <c r="AQ17" i="79"/>
  <c r="AP17" i="79"/>
  <c r="AO17" i="79"/>
  <c r="AN17" i="79"/>
  <c r="AM17" i="79"/>
  <c r="AL17" i="79"/>
  <c r="AK17" i="79"/>
  <c r="AJ17" i="79"/>
  <c r="BG16" i="79"/>
  <c r="BF16" i="79"/>
  <c r="BE16" i="79"/>
  <c r="BD16" i="79"/>
  <c r="BC16" i="79"/>
  <c r="BB16" i="79"/>
  <c r="BA16" i="79"/>
  <c r="AZ16" i="79"/>
  <c r="AY16" i="79"/>
  <c r="AX16" i="79"/>
  <c r="AW16" i="79"/>
  <c r="AV16" i="79"/>
  <c r="AU16" i="79"/>
  <c r="AT16" i="79"/>
  <c r="AS16" i="79"/>
  <c r="AR16" i="79"/>
  <c r="AQ16" i="79"/>
  <c r="AP16" i="79"/>
  <c r="AO16" i="79"/>
  <c r="AN16" i="79"/>
  <c r="AM16" i="79"/>
  <c r="AL16" i="79"/>
  <c r="AK16" i="79"/>
  <c r="AJ16" i="79"/>
  <c r="BG15" i="79"/>
  <c r="BF15" i="79"/>
  <c r="BE15" i="79"/>
  <c r="BD15" i="79"/>
  <c r="BC15" i="79"/>
  <c r="BB15" i="79"/>
  <c r="BA15" i="79"/>
  <c r="AZ15" i="79"/>
  <c r="AY15" i="79"/>
  <c r="AX15" i="79"/>
  <c r="AW15" i="79"/>
  <c r="AV15" i="79"/>
  <c r="AU15" i="79"/>
  <c r="AT15" i="79"/>
  <c r="AS15" i="79"/>
  <c r="AR15" i="79"/>
  <c r="AQ15" i="79"/>
  <c r="AP15" i="79"/>
  <c r="AO15" i="79"/>
  <c r="AN15" i="79"/>
  <c r="AM15" i="79"/>
  <c r="AL15" i="79"/>
  <c r="AK15" i="79"/>
  <c r="AJ15" i="79"/>
  <c r="BL14" i="79"/>
  <c r="BK14" i="79"/>
  <c r="BJ14" i="79"/>
  <c r="BI14" i="79"/>
  <c r="BH14" i="79"/>
  <c r="BG14" i="79"/>
  <c r="BF14" i="79"/>
  <c r="BE14" i="79"/>
  <c r="BD14" i="79"/>
  <c r="BC14" i="79"/>
  <c r="BB14" i="79"/>
  <c r="BA14" i="79"/>
  <c r="AZ14" i="79"/>
  <c r="AY14" i="79"/>
  <c r="AX14" i="79"/>
  <c r="AW14" i="79"/>
  <c r="AV14" i="79"/>
  <c r="AU14" i="79"/>
  <c r="AT14" i="79"/>
  <c r="AS14" i="79"/>
  <c r="AR14" i="79"/>
  <c r="AQ14" i="79"/>
  <c r="AP14" i="79"/>
  <c r="AO14" i="79"/>
  <c r="AN14" i="79"/>
  <c r="AM14" i="79"/>
  <c r="AL14" i="79"/>
  <c r="BL13" i="79"/>
  <c r="BK13" i="79"/>
  <c r="BJ13" i="79"/>
  <c r="BI13" i="79"/>
  <c r="BH13" i="79"/>
  <c r="BG13" i="79"/>
  <c r="BF13" i="79"/>
  <c r="BE13" i="79"/>
  <c r="BD13" i="79"/>
  <c r="BA13" i="79"/>
  <c r="AZ13" i="79"/>
  <c r="AY13" i="79"/>
  <c r="AX13" i="79"/>
  <c r="AW13" i="79"/>
  <c r="AV13" i="79"/>
  <c r="AU13" i="79"/>
  <c r="AT13" i="79"/>
  <c r="AS13" i="79"/>
  <c r="AR13" i="79"/>
  <c r="AQ13" i="79"/>
  <c r="AP13" i="79"/>
  <c r="AO13" i="79"/>
  <c r="AN13" i="79"/>
  <c r="AM13" i="79"/>
  <c r="AL13" i="79"/>
  <c r="AM13" i="78"/>
  <c r="AN13" i="78"/>
  <c r="AO13" i="78"/>
  <c r="AP13" i="78"/>
  <c r="AQ13" i="78"/>
  <c r="AR13" i="78"/>
  <c r="AS13" i="78"/>
  <c r="AT13" i="78"/>
  <c r="AU13" i="78"/>
  <c r="AV13" i="78"/>
  <c r="AW13" i="78"/>
  <c r="AX13" i="78"/>
  <c r="AY13" i="78"/>
  <c r="AZ13" i="78"/>
  <c r="BA13" i="78"/>
  <c r="BD13" i="78"/>
  <c r="BE13" i="78"/>
  <c r="BF13" i="78"/>
  <c r="BG13" i="78"/>
  <c r="AM14" i="78"/>
  <c r="AN14" i="78"/>
  <c r="AO14" i="78"/>
  <c r="AP14" i="78"/>
  <c r="AQ14" i="78"/>
  <c r="AR14" i="78"/>
  <c r="AS14" i="78"/>
  <c r="AT14" i="78"/>
  <c r="AU14" i="78"/>
  <c r="AV14" i="78"/>
  <c r="AW14" i="78"/>
  <c r="AX14" i="78"/>
  <c r="AY14" i="78"/>
  <c r="AZ14" i="78"/>
  <c r="BA14" i="78"/>
  <c r="BB14" i="78"/>
  <c r="BC14" i="78"/>
  <c r="BD14" i="78"/>
  <c r="BE14" i="78"/>
  <c r="BF14" i="78"/>
  <c r="BG14" i="78"/>
  <c r="AM15" i="78"/>
  <c r="AN15" i="78"/>
  <c r="AO15" i="78"/>
  <c r="AP15" i="78"/>
  <c r="AQ15" i="78"/>
  <c r="AR15" i="78"/>
  <c r="AS15" i="78"/>
  <c r="AT15" i="78"/>
  <c r="AU15" i="78"/>
  <c r="AV15" i="78"/>
  <c r="AW15" i="78"/>
  <c r="AX15" i="78"/>
  <c r="AY15" i="78"/>
  <c r="AZ15" i="78"/>
  <c r="BA15" i="78"/>
  <c r="BB15" i="78"/>
  <c r="BC15" i="78"/>
  <c r="BD15" i="78"/>
  <c r="BE15" i="78"/>
  <c r="BF15" i="78"/>
  <c r="BG15" i="78"/>
  <c r="AM16" i="78"/>
  <c r="AN16" i="78"/>
  <c r="AO16" i="78"/>
  <c r="AP16" i="78"/>
  <c r="AQ16" i="78"/>
  <c r="AR16" i="78"/>
  <c r="AS16" i="78"/>
  <c r="AT16" i="78"/>
  <c r="AU16" i="78"/>
  <c r="AV16" i="78"/>
  <c r="AW16" i="78"/>
  <c r="AX16" i="78"/>
  <c r="AY16" i="78"/>
  <c r="AZ16" i="78"/>
  <c r="BA16" i="78"/>
  <c r="BB16" i="78"/>
  <c r="BC16" i="78"/>
  <c r="BD16" i="78"/>
  <c r="BE16" i="78"/>
  <c r="BF16" i="78"/>
  <c r="BG16" i="78"/>
  <c r="AM17" i="78"/>
  <c r="AN17" i="78"/>
  <c r="AO17" i="78"/>
  <c r="AP17" i="78"/>
  <c r="AQ17" i="78"/>
  <c r="AR17" i="78"/>
  <c r="AS17" i="78"/>
  <c r="AT17" i="78"/>
  <c r="AU17" i="78"/>
  <c r="AV17" i="78"/>
  <c r="AW17" i="78"/>
  <c r="AX17" i="78"/>
  <c r="AY17" i="78"/>
  <c r="AZ17" i="78"/>
  <c r="BA17" i="78"/>
  <c r="BB17" i="78"/>
  <c r="BC17" i="78"/>
  <c r="BD17" i="78"/>
  <c r="BE17" i="78"/>
  <c r="BF17" i="78"/>
  <c r="BG17" i="78"/>
  <c r="AM18" i="78"/>
  <c r="AN18" i="78"/>
  <c r="AO18" i="78"/>
  <c r="AP18" i="78"/>
  <c r="AQ18" i="78"/>
  <c r="AR18" i="78"/>
  <c r="AS18" i="78"/>
  <c r="AT18" i="78"/>
  <c r="AU18" i="78"/>
  <c r="AV18" i="78"/>
  <c r="AW18" i="78"/>
  <c r="AX18" i="78"/>
  <c r="AY18" i="78"/>
  <c r="AZ18" i="78"/>
  <c r="BA18" i="78"/>
  <c r="BB18" i="78"/>
  <c r="BC18" i="78"/>
  <c r="BD18" i="78"/>
  <c r="BE18" i="78"/>
  <c r="BF18" i="78"/>
  <c r="BG18" i="78"/>
  <c r="AM19" i="78"/>
  <c r="AN19" i="78"/>
  <c r="AO19" i="78"/>
  <c r="AP19" i="78"/>
  <c r="AQ19" i="78"/>
  <c r="AR19" i="78"/>
  <c r="AS19" i="78"/>
  <c r="AT19" i="78"/>
  <c r="AU19" i="78"/>
  <c r="AV19" i="78"/>
  <c r="AW19" i="78"/>
  <c r="AX19" i="78"/>
  <c r="AY19" i="78"/>
  <c r="AZ19" i="78"/>
  <c r="BA19" i="78"/>
  <c r="BB19" i="78"/>
  <c r="BC19" i="78"/>
  <c r="BD19" i="78"/>
  <c r="BE19" i="78"/>
  <c r="BF19" i="78"/>
  <c r="BG19" i="78"/>
  <c r="AM20" i="78"/>
  <c r="AN20" i="78"/>
  <c r="AO20" i="78"/>
  <c r="AP20" i="78"/>
  <c r="AQ20" i="78"/>
  <c r="AR20" i="78"/>
  <c r="AS20" i="78"/>
  <c r="AT20" i="78"/>
  <c r="AU20" i="78"/>
  <c r="AV20" i="78"/>
  <c r="AW20" i="78"/>
  <c r="AX20" i="78"/>
  <c r="AY20" i="78"/>
  <c r="AZ20" i="78"/>
  <c r="BA20" i="78"/>
  <c r="BB20" i="78"/>
  <c r="BC20" i="78"/>
  <c r="BD20" i="78"/>
  <c r="BE20" i="78"/>
  <c r="BF20" i="78"/>
  <c r="BG20" i="78"/>
  <c r="AM21" i="78"/>
  <c r="AN21" i="78"/>
  <c r="AO21" i="78"/>
  <c r="AP21" i="78"/>
  <c r="AQ21" i="78"/>
  <c r="AR21" i="78"/>
  <c r="AS21" i="78"/>
  <c r="AT21" i="78"/>
  <c r="AU21" i="78"/>
  <c r="AV21" i="78"/>
  <c r="AW21" i="78"/>
  <c r="AX21" i="78"/>
  <c r="AY21" i="78"/>
  <c r="AZ21" i="78"/>
  <c r="BA21" i="78"/>
  <c r="BB21" i="78"/>
  <c r="BC21" i="78"/>
  <c r="BD21" i="78"/>
  <c r="BE21" i="78"/>
  <c r="BF21" i="78"/>
  <c r="BG21" i="78"/>
  <c r="AM22" i="78"/>
  <c r="AN22" i="78"/>
  <c r="AO22" i="78"/>
  <c r="AP22" i="78"/>
  <c r="AQ22" i="78"/>
  <c r="AR22" i="78"/>
  <c r="AS22" i="78"/>
  <c r="AT22" i="78"/>
  <c r="AU22" i="78"/>
  <c r="AV22" i="78"/>
  <c r="AW22" i="78"/>
  <c r="AX22" i="78"/>
  <c r="AY22" i="78"/>
  <c r="AZ22" i="78"/>
  <c r="BA22" i="78"/>
  <c r="BB22" i="78"/>
  <c r="BC22" i="78"/>
  <c r="BD22" i="78"/>
  <c r="BE22" i="78"/>
  <c r="BF22" i="78"/>
  <c r="BG22" i="78"/>
  <c r="AM23" i="78"/>
  <c r="AN23" i="78"/>
  <c r="AO23" i="78"/>
  <c r="AP23" i="78"/>
  <c r="AQ23" i="78"/>
  <c r="AR23" i="78"/>
  <c r="AS23" i="78"/>
  <c r="AT23" i="78"/>
  <c r="AU23" i="78"/>
  <c r="AV23" i="78"/>
  <c r="AW23" i="78"/>
  <c r="AX23" i="78"/>
  <c r="AY23" i="78"/>
  <c r="AZ23" i="78"/>
  <c r="BA23" i="78"/>
  <c r="BB23" i="78"/>
  <c r="BC23" i="78"/>
  <c r="BD23" i="78"/>
  <c r="BE23" i="78"/>
  <c r="BF23" i="78"/>
  <c r="BG23" i="78"/>
  <c r="AM24" i="78"/>
  <c r="AN24" i="78"/>
  <c r="AO24" i="78"/>
  <c r="AP24" i="78"/>
  <c r="AQ24" i="78"/>
  <c r="AR24" i="78"/>
  <c r="AS24" i="78"/>
  <c r="AT24" i="78"/>
  <c r="AU24" i="78"/>
  <c r="AV24" i="78"/>
  <c r="AW24" i="78"/>
  <c r="AX24" i="78"/>
  <c r="AY24" i="78"/>
  <c r="AZ24" i="78"/>
  <c r="BA24" i="78"/>
  <c r="BB24" i="78"/>
  <c r="BC24" i="78"/>
  <c r="BD24" i="78"/>
  <c r="BE24" i="78"/>
  <c r="BF24" i="78"/>
  <c r="BG24" i="78"/>
  <c r="AM25" i="78"/>
  <c r="AN25" i="78"/>
  <c r="AO25" i="78"/>
  <c r="AP25" i="78"/>
  <c r="AQ25" i="78"/>
  <c r="AR25" i="78"/>
  <c r="AS25" i="78"/>
  <c r="AT25" i="78"/>
  <c r="AU25" i="78"/>
  <c r="AV25" i="78"/>
  <c r="AW25" i="78"/>
  <c r="AX25" i="78"/>
  <c r="AY25" i="78"/>
  <c r="AZ25" i="78"/>
  <c r="BA25" i="78"/>
  <c r="BB25" i="78"/>
  <c r="BC25" i="78"/>
  <c r="BD25" i="78"/>
  <c r="BE25" i="78"/>
  <c r="BF25" i="78"/>
  <c r="BG25" i="78"/>
  <c r="AM26" i="78"/>
  <c r="AN26" i="78"/>
  <c r="AO26" i="78"/>
  <c r="AP26" i="78"/>
  <c r="AQ26" i="78"/>
  <c r="AR26" i="78"/>
  <c r="AS26" i="78"/>
  <c r="AT26" i="78"/>
  <c r="AU26" i="78"/>
  <c r="AV26" i="78"/>
  <c r="AW26" i="78"/>
  <c r="AX26" i="78"/>
  <c r="AY26" i="78"/>
  <c r="AZ26" i="78"/>
  <c r="BA26" i="78"/>
  <c r="BB26" i="78"/>
  <c r="BC26" i="78"/>
  <c r="BD26" i="78"/>
  <c r="BE26" i="78"/>
  <c r="BF26" i="78"/>
  <c r="BG26" i="78"/>
  <c r="AM27" i="78"/>
  <c r="AN27" i="78"/>
  <c r="AO27" i="78"/>
  <c r="AP27" i="78"/>
  <c r="AQ27" i="78"/>
  <c r="AR27" i="78"/>
  <c r="AS27" i="78"/>
  <c r="AT27" i="78"/>
  <c r="AU27" i="78"/>
  <c r="AV27" i="78"/>
  <c r="AW27" i="78"/>
  <c r="AX27" i="78"/>
  <c r="AY27" i="78"/>
  <c r="AZ27" i="78"/>
  <c r="BA27" i="78"/>
  <c r="BB27" i="78"/>
  <c r="BC27" i="78"/>
  <c r="BD27" i="78"/>
  <c r="BE27" i="78"/>
  <c r="BF27" i="78"/>
  <c r="BG27" i="78"/>
  <c r="AM28" i="78"/>
  <c r="AN28" i="78"/>
  <c r="AO28" i="78"/>
  <c r="AP28" i="78"/>
  <c r="AQ28" i="78"/>
  <c r="AR28" i="78"/>
  <c r="AS28" i="78"/>
  <c r="AT28" i="78"/>
  <c r="AU28" i="78"/>
  <c r="AV28" i="78"/>
  <c r="AW28" i="78"/>
  <c r="AX28" i="78"/>
  <c r="AY28" i="78"/>
  <c r="AZ28" i="78"/>
  <c r="BA28" i="78"/>
  <c r="BB28" i="78"/>
  <c r="BC28" i="78"/>
  <c r="BD28" i="78"/>
  <c r="BE28" i="78"/>
  <c r="BF28" i="78"/>
  <c r="BG28" i="78"/>
  <c r="AM29" i="78"/>
  <c r="AN29" i="78"/>
  <c r="AO29" i="78"/>
  <c r="AP29" i="78"/>
  <c r="AQ29" i="78"/>
  <c r="AR29" i="78"/>
  <c r="AS29" i="78"/>
  <c r="AT29" i="78"/>
  <c r="AU29" i="78"/>
  <c r="AV29" i="78"/>
  <c r="AW29" i="78"/>
  <c r="AX29" i="78"/>
  <c r="AY29" i="78"/>
  <c r="AZ29" i="78"/>
  <c r="BA29" i="78"/>
  <c r="BB29" i="78"/>
  <c r="BC29" i="78"/>
  <c r="BD29" i="78"/>
  <c r="BE29" i="78"/>
  <c r="BF29" i="78"/>
  <c r="BG29" i="78"/>
  <c r="AM30" i="78"/>
  <c r="AN30" i="78"/>
  <c r="AO30" i="78"/>
  <c r="AP30" i="78"/>
  <c r="AQ30" i="78"/>
  <c r="AR30" i="78"/>
  <c r="AS30" i="78"/>
  <c r="AT30" i="78"/>
  <c r="AU30" i="78"/>
  <c r="AV30" i="78"/>
  <c r="AW30" i="78"/>
  <c r="AX30" i="78"/>
  <c r="AY30" i="78"/>
  <c r="AZ30" i="78"/>
  <c r="BA30" i="78"/>
  <c r="BB30" i="78"/>
  <c r="BC30" i="78"/>
  <c r="BD30" i="78"/>
  <c r="BE30" i="78"/>
  <c r="BF30" i="78"/>
  <c r="BG30" i="78"/>
  <c r="AM31" i="78"/>
  <c r="AN31" i="78"/>
  <c r="AO31" i="78"/>
  <c r="AP31" i="78"/>
  <c r="AQ31" i="78"/>
  <c r="AR31" i="78"/>
  <c r="AS31" i="78"/>
  <c r="AT31" i="78"/>
  <c r="AU31" i="78"/>
  <c r="AV31" i="78"/>
  <c r="AW31" i="78"/>
  <c r="AX31" i="78"/>
  <c r="AY31" i="78"/>
  <c r="AZ31" i="78"/>
  <c r="BA31" i="78"/>
  <c r="BB31" i="78"/>
  <c r="BC31" i="78"/>
  <c r="BD31" i="78"/>
  <c r="BE31" i="78"/>
  <c r="BF31" i="78"/>
  <c r="BG31" i="78"/>
  <c r="AM32" i="78"/>
  <c r="AN32" i="78"/>
  <c r="AO32" i="78"/>
  <c r="AP32" i="78"/>
  <c r="AQ32" i="78"/>
  <c r="AR32" i="78"/>
  <c r="AS32" i="78"/>
  <c r="AT32" i="78"/>
  <c r="AU32" i="78"/>
  <c r="AV32" i="78"/>
  <c r="AW32" i="78"/>
  <c r="AX32" i="78"/>
  <c r="AY32" i="78"/>
  <c r="AZ32" i="78"/>
  <c r="BA32" i="78"/>
  <c r="BB32" i="78"/>
  <c r="BC32" i="78"/>
  <c r="BD32" i="78"/>
  <c r="BE32" i="78"/>
  <c r="BF32" i="78"/>
  <c r="BG32" i="78"/>
  <c r="AM33" i="78"/>
  <c r="AN33" i="78"/>
  <c r="AO33" i="78"/>
  <c r="AP33" i="78"/>
  <c r="AQ33" i="78"/>
  <c r="AR33" i="78"/>
  <c r="AS33" i="78"/>
  <c r="AT33" i="78"/>
  <c r="AU33" i="78"/>
  <c r="AV33" i="78"/>
  <c r="AW33" i="78"/>
  <c r="AX33" i="78"/>
  <c r="AY33" i="78"/>
  <c r="AZ33" i="78"/>
  <c r="BA33" i="78"/>
  <c r="BB33" i="78"/>
  <c r="BC33" i="78"/>
  <c r="BD33" i="78"/>
  <c r="BE33" i="78"/>
  <c r="BF33" i="78"/>
  <c r="BG33" i="78"/>
  <c r="AM34" i="78"/>
  <c r="AN34" i="78"/>
  <c r="AO34" i="78"/>
  <c r="AP34" i="78"/>
  <c r="AQ34" i="78"/>
  <c r="AR34" i="78"/>
  <c r="AS34" i="78"/>
  <c r="AT34" i="78"/>
  <c r="AU34" i="78"/>
  <c r="AV34" i="78"/>
  <c r="AW34" i="78"/>
  <c r="AX34" i="78"/>
  <c r="AY34" i="78"/>
  <c r="AZ34" i="78"/>
  <c r="BA34" i="78"/>
  <c r="BB34" i="78"/>
  <c r="BC34" i="78"/>
  <c r="BD34" i="78"/>
  <c r="BE34" i="78"/>
  <c r="BF34" i="78"/>
  <c r="BG34" i="78"/>
  <c r="AM35" i="78"/>
  <c r="AN35" i="78"/>
  <c r="AO35" i="78"/>
  <c r="AP35" i="78"/>
  <c r="AQ35" i="78"/>
  <c r="AR35" i="78"/>
  <c r="AS35" i="78"/>
  <c r="AT35" i="78"/>
  <c r="AU35" i="78"/>
  <c r="AV35" i="78"/>
  <c r="AW35" i="78"/>
  <c r="AX35" i="78"/>
  <c r="AY35" i="78"/>
  <c r="AZ35" i="78"/>
  <c r="BA35" i="78"/>
  <c r="BB35" i="78"/>
  <c r="BC35" i="78"/>
  <c r="BD35" i="78"/>
  <c r="BE35" i="78"/>
  <c r="BF35" i="78"/>
  <c r="BG35" i="78"/>
  <c r="AM36" i="78"/>
  <c r="AN36" i="78"/>
  <c r="AO36" i="78"/>
  <c r="AP36" i="78"/>
  <c r="AQ36" i="78"/>
  <c r="AR36" i="78"/>
  <c r="AS36" i="78"/>
  <c r="AT36" i="78"/>
  <c r="AU36" i="78"/>
  <c r="AV36" i="78"/>
  <c r="AW36" i="78"/>
  <c r="AX36" i="78"/>
  <c r="AY36" i="78"/>
  <c r="AZ36" i="78"/>
  <c r="BA36" i="78"/>
  <c r="BB36" i="78"/>
  <c r="BC36" i="78"/>
  <c r="BD36" i="78"/>
  <c r="BE36" i="78"/>
  <c r="BF36" i="78"/>
  <c r="BG36" i="78"/>
  <c r="AM37" i="78"/>
  <c r="AN37" i="78"/>
  <c r="AO37" i="78"/>
  <c r="AP37" i="78"/>
  <c r="AQ37" i="78"/>
  <c r="AR37" i="78"/>
  <c r="AS37" i="78"/>
  <c r="AT37" i="78"/>
  <c r="AU37" i="78"/>
  <c r="AV37" i="78"/>
  <c r="AW37" i="78"/>
  <c r="AX37" i="78"/>
  <c r="AY37" i="78"/>
  <c r="AZ37" i="78"/>
  <c r="BA37" i="78"/>
  <c r="BB37" i="78"/>
  <c r="BC37" i="78"/>
  <c r="BD37" i="78"/>
  <c r="BE37" i="78"/>
  <c r="BF37" i="78"/>
  <c r="BG37" i="78"/>
  <c r="AM38" i="78"/>
  <c r="AN38" i="78"/>
  <c r="AO38" i="78"/>
  <c r="AP38" i="78"/>
  <c r="AQ38" i="78"/>
  <c r="AR38" i="78"/>
  <c r="AS38" i="78"/>
  <c r="AT38" i="78"/>
  <c r="AU38" i="78"/>
  <c r="AV38" i="78"/>
  <c r="AW38" i="78"/>
  <c r="AX38" i="78"/>
  <c r="AY38" i="78"/>
  <c r="AZ38" i="78"/>
  <c r="BA38" i="78"/>
  <c r="BB38" i="78"/>
  <c r="BC38" i="78"/>
  <c r="BD38" i="78"/>
  <c r="BE38" i="78"/>
  <c r="BF38" i="78"/>
  <c r="BG38" i="78"/>
  <c r="AM39" i="78"/>
  <c r="AN39" i="78"/>
  <c r="AO39" i="78"/>
  <c r="AP39" i="78"/>
  <c r="AQ39" i="78"/>
  <c r="AR39" i="78"/>
  <c r="AS39" i="78"/>
  <c r="AT39" i="78"/>
  <c r="AU39" i="78"/>
  <c r="AV39" i="78"/>
  <c r="AW39" i="78"/>
  <c r="AX39" i="78"/>
  <c r="AY39" i="78"/>
  <c r="AZ39" i="78"/>
  <c r="BA39" i="78"/>
  <c r="BB39" i="78"/>
  <c r="BC39" i="78"/>
  <c r="BD39" i="78"/>
  <c r="BE39" i="78"/>
  <c r="BF39" i="78"/>
  <c r="BG39" i="78"/>
  <c r="AM40" i="78"/>
  <c r="AN40" i="78"/>
  <c r="AO40" i="78"/>
  <c r="AP40" i="78"/>
  <c r="AQ40" i="78"/>
  <c r="AR40" i="78"/>
  <c r="AS40" i="78"/>
  <c r="AT40" i="78"/>
  <c r="AU40" i="78"/>
  <c r="AV40" i="78"/>
  <c r="AW40" i="78"/>
  <c r="AX40" i="78"/>
  <c r="AY40" i="78"/>
  <c r="AZ40" i="78"/>
  <c r="BA40" i="78"/>
  <c r="BB40" i="78"/>
  <c r="BC40" i="78"/>
  <c r="BD40" i="78"/>
  <c r="BE40" i="78"/>
  <c r="BF40" i="78"/>
  <c r="BG40" i="78"/>
  <c r="AM41" i="78"/>
  <c r="AN41" i="78"/>
  <c r="AO41" i="78"/>
  <c r="AP41" i="78"/>
  <c r="AQ41" i="78"/>
  <c r="AR41" i="78"/>
  <c r="AS41" i="78"/>
  <c r="AT41" i="78"/>
  <c r="AU41" i="78"/>
  <c r="AV41" i="78"/>
  <c r="AW41" i="78"/>
  <c r="AX41" i="78"/>
  <c r="AY41" i="78"/>
  <c r="AZ41" i="78"/>
  <c r="BA41" i="78"/>
  <c r="BB41" i="78"/>
  <c r="BC41" i="78"/>
  <c r="BD41" i="78"/>
  <c r="BE41" i="78"/>
  <c r="BF41" i="78"/>
  <c r="BG41" i="78"/>
  <c r="AM42" i="78"/>
  <c r="AN42" i="78"/>
  <c r="AO42" i="78"/>
  <c r="AP42" i="78"/>
  <c r="AQ42" i="78"/>
  <c r="AR42" i="78"/>
  <c r="AS42" i="78"/>
  <c r="AT42" i="78"/>
  <c r="AU42" i="78"/>
  <c r="AV42" i="78"/>
  <c r="AW42" i="78"/>
  <c r="AX42" i="78"/>
  <c r="AY42" i="78"/>
  <c r="AZ42" i="78"/>
  <c r="BA42" i="78"/>
  <c r="BB42" i="78"/>
  <c r="BC42" i="78"/>
  <c r="BD42" i="78"/>
  <c r="BE42" i="78"/>
  <c r="BF42" i="78"/>
  <c r="BG42" i="78"/>
  <c r="AM43" i="78"/>
  <c r="AN43" i="78"/>
  <c r="AO43" i="78"/>
  <c r="AP43" i="78"/>
  <c r="AQ43" i="78"/>
  <c r="AR43" i="78"/>
  <c r="AS43" i="78"/>
  <c r="AT43" i="78"/>
  <c r="AU43" i="78"/>
  <c r="AV43" i="78"/>
  <c r="AW43" i="78"/>
  <c r="AX43" i="78"/>
  <c r="AY43" i="78"/>
  <c r="AZ43" i="78"/>
  <c r="BA43" i="78"/>
  <c r="BB43" i="78"/>
  <c r="BC43" i="78"/>
  <c r="BD43" i="78"/>
  <c r="BE43" i="78"/>
  <c r="BF43" i="78"/>
  <c r="BG43" i="78"/>
  <c r="AM44" i="78"/>
  <c r="AN44" i="78"/>
  <c r="AO44" i="78"/>
  <c r="AP44" i="78"/>
  <c r="AQ44" i="78"/>
  <c r="AR44" i="78"/>
  <c r="AS44" i="78"/>
  <c r="AT44" i="78"/>
  <c r="AU44" i="78"/>
  <c r="AV44" i="78"/>
  <c r="AW44" i="78"/>
  <c r="AX44" i="78"/>
  <c r="AY44" i="78"/>
  <c r="AZ44" i="78"/>
  <c r="BA44" i="78"/>
  <c r="BB44" i="78"/>
  <c r="BC44" i="78"/>
  <c r="BD44" i="78"/>
  <c r="BE44" i="78"/>
  <c r="BF44" i="78"/>
  <c r="BG44" i="78"/>
  <c r="AL16" i="78"/>
  <c r="AL17" i="78"/>
  <c r="AL18" i="78"/>
  <c r="AL19" i="78"/>
  <c r="AL20" i="78"/>
  <c r="AL21" i="78"/>
  <c r="AL22" i="78"/>
  <c r="AL23" i="78"/>
  <c r="AL24" i="78"/>
  <c r="AL25" i="78"/>
  <c r="AL26" i="78"/>
  <c r="AL27" i="78"/>
  <c r="AL28" i="78"/>
  <c r="AL29" i="78"/>
  <c r="AL30" i="78"/>
  <c r="AL31" i="78"/>
  <c r="AL32" i="78"/>
  <c r="AL33" i="78"/>
  <c r="AL34" i="78"/>
  <c r="AL35" i="78"/>
  <c r="AL36" i="78"/>
  <c r="AL37" i="78"/>
  <c r="AL38" i="78"/>
  <c r="AL39" i="78"/>
  <c r="AL40" i="78"/>
  <c r="AL41" i="78"/>
  <c r="AL42" i="78"/>
  <c r="AL43" i="78"/>
  <c r="AL44" i="78"/>
  <c r="AL15" i="78"/>
  <c r="AJ16" i="78"/>
  <c r="AK16" i="78"/>
  <c r="AJ17" i="78"/>
  <c r="AK17" i="78"/>
  <c r="AJ18" i="78"/>
  <c r="AK18" i="78"/>
  <c r="AJ19" i="78"/>
  <c r="AK19" i="78"/>
  <c r="AJ20" i="78"/>
  <c r="AK20" i="78"/>
  <c r="AJ21" i="78"/>
  <c r="AK21" i="78"/>
  <c r="AJ22" i="78"/>
  <c r="AK22" i="78"/>
  <c r="AJ23" i="78"/>
  <c r="AK23" i="78"/>
  <c r="AJ24" i="78"/>
  <c r="AK24" i="78"/>
  <c r="AJ25" i="78"/>
  <c r="AK25" i="78"/>
  <c r="AJ26" i="78"/>
  <c r="AK26" i="78"/>
  <c r="AJ27" i="78"/>
  <c r="AK27" i="78"/>
  <c r="AJ28" i="78"/>
  <c r="AK28" i="78"/>
  <c r="AJ29" i="78"/>
  <c r="AK29" i="78"/>
  <c r="AJ30" i="78"/>
  <c r="AK30" i="78"/>
  <c r="AJ31" i="78"/>
  <c r="AK31" i="78"/>
  <c r="AJ32" i="78"/>
  <c r="AK32" i="78"/>
  <c r="AJ33" i="78"/>
  <c r="AK33" i="78"/>
  <c r="AJ34" i="78"/>
  <c r="AK34" i="78"/>
  <c r="AJ35" i="78"/>
  <c r="AK35" i="78"/>
  <c r="AJ36" i="78"/>
  <c r="AK36" i="78"/>
  <c r="AJ37" i="78"/>
  <c r="AK37" i="78"/>
  <c r="AJ38" i="78"/>
  <c r="AK38" i="78"/>
  <c r="AJ39" i="78"/>
  <c r="AK39" i="78"/>
  <c r="AJ40" i="78"/>
  <c r="AK40" i="78"/>
  <c r="AJ41" i="78"/>
  <c r="AK41" i="78"/>
  <c r="AJ42" i="78"/>
  <c r="AK42" i="78"/>
  <c r="AJ43" i="78"/>
  <c r="AK43" i="78"/>
  <c r="AJ44" i="78"/>
  <c r="AK44" i="78"/>
  <c r="AK15" i="78"/>
  <c r="AJ15" i="78"/>
  <c r="AL14" i="78"/>
  <c r="AL13" i="78"/>
  <c r="AI20" i="117" l="1"/>
  <c r="AI36" i="117"/>
  <c r="AI44" i="115"/>
  <c r="AI15" i="113"/>
  <c r="AI19" i="113"/>
  <c r="AI36" i="113"/>
  <c r="AI28" i="111"/>
  <c r="AI20" i="109"/>
  <c r="AI36" i="109"/>
  <c r="AI28" i="107"/>
  <c r="AI20" i="105"/>
  <c r="AI31" i="105"/>
  <c r="AI28" i="103"/>
  <c r="AI20" i="101"/>
  <c r="AI36" i="101"/>
  <c r="AI28" i="99"/>
  <c r="AI44" i="99"/>
  <c r="AI20" i="97"/>
  <c r="AI28" i="95"/>
  <c r="AI44" i="95"/>
  <c r="AI20" i="93"/>
  <c r="AI28" i="91"/>
  <c r="AI44" i="91"/>
  <c r="AI20" i="89"/>
  <c r="AI36" i="89"/>
  <c r="AI28" i="87"/>
  <c r="AI44" i="87"/>
  <c r="AI36" i="85"/>
  <c r="AI28" i="83"/>
  <c r="AI36" i="81"/>
  <c r="AI24" i="79"/>
  <c r="AI16" i="116"/>
  <c r="AI32" i="116"/>
  <c r="AI40" i="114"/>
  <c r="AI16" i="112"/>
  <c r="AI32" i="112"/>
  <c r="AI24" i="110"/>
  <c r="AI32" i="108"/>
  <c r="AI16" i="104"/>
  <c r="AI32" i="104"/>
  <c r="AI24" i="102"/>
  <c r="AI40" i="102"/>
  <c r="AI22" i="98"/>
  <c r="AI24" i="98"/>
  <c r="AI16" i="96"/>
  <c r="AI30" i="96"/>
  <c r="AI32" i="96"/>
  <c r="AI18" i="94"/>
  <c r="AI34" i="94"/>
  <c r="AI32" i="92"/>
  <c r="AI24" i="90"/>
  <c r="AI40" i="90"/>
  <c r="AI24" i="86"/>
  <c r="AI40" i="86"/>
  <c r="AI23" i="84"/>
  <c r="AI39" i="84"/>
  <c r="AI40" i="82"/>
  <c r="AI32" i="80"/>
  <c r="AI31" i="113"/>
  <c r="AI18" i="88"/>
  <c r="AI20" i="88"/>
  <c r="AI22" i="88"/>
  <c r="AI26" i="88"/>
  <c r="AI28" i="88"/>
  <c r="AI30" i="88"/>
  <c r="AI34" i="88"/>
  <c r="AI36" i="88"/>
  <c r="AI38" i="88"/>
  <c r="AI23" i="97"/>
  <c r="AI36" i="97"/>
  <c r="AI37" i="97"/>
  <c r="AI44" i="88"/>
  <c r="AI21" i="93"/>
  <c r="AI25" i="93"/>
  <c r="AI27" i="93"/>
  <c r="AI29" i="93"/>
  <c r="AI31" i="93"/>
  <c r="AI35" i="93"/>
  <c r="AI41" i="93"/>
  <c r="AI43" i="93"/>
  <c r="AI38" i="89"/>
  <c r="AI40" i="89"/>
  <c r="AI42" i="89"/>
  <c r="AI43" i="84"/>
  <c r="AI30" i="111"/>
  <c r="AI32" i="111"/>
  <c r="AI34" i="111"/>
  <c r="AI36" i="111"/>
  <c r="AI38" i="111"/>
  <c r="AI33" i="107"/>
  <c r="AI35" i="107"/>
  <c r="AI37" i="107"/>
  <c r="AI39" i="107"/>
  <c r="AI41" i="107"/>
  <c r="AI31" i="111"/>
  <c r="AI33" i="111"/>
  <c r="AI35" i="111"/>
  <c r="AI37" i="111"/>
  <c r="AI16" i="107"/>
  <c r="AI18" i="107"/>
  <c r="AI20" i="107"/>
  <c r="AI22" i="107"/>
  <c r="AI24" i="107"/>
  <c r="AI26" i="107"/>
  <c r="AI32" i="107"/>
  <c r="AI34" i="107"/>
  <c r="AI36" i="107"/>
  <c r="AI38" i="107"/>
  <c r="AI40" i="107"/>
  <c r="AI42" i="107"/>
  <c r="AI29" i="111"/>
  <c r="AI41" i="113"/>
  <c r="AI16" i="111"/>
  <c r="AI18" i="111"/>
  <c r="AI22" i="111"/>
  <c r="AI20" i="111"/>
  <c r="AI22" i="109"/>
  <c r="AI36" i="104"/>
  <c r="AI41" i="102"/>
  <c r="AI16" i="109"/>
  <c r="AI38" i="101"/>
  <c r="AI42" i="101"/>
  <c r="AI16" i="97"/>
  <c r="AI18" i="97"/>
  <c r="AI34" i="96"/>
  <c r="AI36" i="96"/>
  <c r="AI36" i="94"/>
  <c r="AI38" i="94"/>
  <c r="AI19" i="92"/>
  <c r="AI21" i="92"/>
  <c r="AI23" i="92"/>
  <c r="AI25" i="92"/>
  <c r="AI29" i="92"/>
  <c r="AI31" i="92"/>
  <c r="AI33" i="92"/>
  <c r="AI37" i="92"/>
  <c r="AI39" i="92"/>
  <c r="AI25" i="90"/>
  <c r="AI27" i="90"/>
  <c r="AI29" i="90"/>
  <c r="AI31" i="90"/>
  <c r="AI33" i="90"/>
  <c r="AI35" i="90"/>
  <c r="AI40" i="101"/>
  <c r="AI44" i="101"/>
  <c r="AI44" i="96"/>
  <c r="AI15" i="115"/>
  <c r="AI18" i="115"/>
  <c r="AI20" i="115"/>
  <c r="AI22" i="115"/>
  <c r="AI26" i="115"/>
  <c r="AI30" i="115"/>
  <c r="AI32" i="115"/>
  <c r="AI34" i="115"/>
  <c r="AI15" i="110"/>
  <c r="AI16" i="110"/>
  <c r="AI18" i="110"/>
  <c r="AI20" i="110"/>
  <c r="AI21" i="110"/>
  <c r="AI27" i="110"/>
  <c r="AI21" i="109"/>
  <c r="AI25" i="101"/>
  <c r="AI27" i="101"/>
  <c r="AI29" i="101"/>
  <c r="AI31" i="101"/>
  <c r="AI25" i="110"/>
  <c r="AI21" i="101"/>
  <c r="AI37" i="90"/>
  <c r="AI21" i="113"/>
  <c r="AI39" i="111"/>
  <c r="AI35" i="110"/>
  <c r="AI34" i="104"/>
  <c r="AI35" i="104"/>
  <c r="AI37" i="104"/>
  <c r="AI38" i="104"/>
  <c r="AI39" i="104"/>
  <c r="AI23" i="101"/>
  <c r="AI21" i="97"/>
  <c r="AI22" i="97"/>
  <c r="AI24" i="97"/>
  <c r="AI25" i="97"/>
  <c r="AI26" i="97"/>
  <c r="AI27" i="97"/>
  <c r="AI28" i="97"/>
  <c r="AI29" i="97"/>
  <c r="AI30" i="97"/>
  <c r="AI31" i="97"/>
  <c r="AI32" i="97"/>
  <c r="AI15" i="117"/>
  <c r="AI16" i="117"/>
  <c r="AI18" i="117"/>
  <c r="AI22" i="117"/>
  <c r="AI23" i="117"/>
  <c r="AI24" i="117"/>
  <c r="AI26" i="117"/>
  <c r="AI28" i="117"/>
  <c r="AI36" i="115"/>
  <c r="AI38" i="115"/>
  <c r="AI17" i="112"/>
  <c r="AI23" i="110"/>
  <c r="AI16" i="115"/>
  <c r="AI24" i="115"/>
  <c r="AI28" i="115"/>
  <c r="AI40" i="115"/>
  <c r="AI17" i="113"/>
  <c r="AI23" i="113"/>
  <c r="AI25" i="113"/>
  <c r="AI27" i="113"/>
  <c r="AI29" i="113"/>
  <c r="AI33" i="113"/>
  <c r="AI35" i="113"/>
  <c r="AI24" i="111"/>
  <c r="AI17" i="110"/>
  <c r="AI31" i="109"/>
  <c r="AI17" i="103"/>
  <c r="AI19" i="103"/>
  <c r="AI21" i="103"/>
  <c r="AI25" i="103"/>
  <c r="AI17" i="101"/>
  <c r="AI19" i="101"/>
  <c r="AI17" i="96"/>
  <c r="AI19" i="96"/>
  <c r="AI15" i="116"/>
  <c r="AI18" i="116"/>
  <c r="AI20" i="116"/>
  <c r="AI19" i="110"/>
  <c r="AI23" i="103"/>
  <c r="AI38" i="96"/>
  <c r="AI22" i="94"/>
  <c r="AI30" i="94"/>
  <c r="AI32" i="94"/>
  <c r="AI39" i="90"/>
  <c r="AI23" i="109"/>
  <c r="AI25" i="109"/>
  <c r="AI27" i="109"/>
  <c r="AI29" i="109"/>
  <c r="AI33" i="109"/>
  <c r="AI35" i="109"/>
  <c r="AI33" i="97"/>
  <c r="AI27" i="103"/>
  <c r="AI41" i="92"/>
  <c r="AI17" i="107"/>
  <c r="AI19" i="107"/>
  <c r="AI21" i="107"/>
  <c r="L2" i="117" a="1"/>
  <c r="L2" i="117" s="1"/>
  <c r="M2" i="117" s="1" a="1"/>
  <c r="M2" i="117" s="1"/>
  <c r="AI17" i="108"/>
  <c r="AI26" i="111"/>
  <c r="L2" i="93" a="1"/>
  <c r="L2" i="93" s="1"/>
  <c r="M2" i="93" s="1" a="1"/>
  <c r="M2" i="93" s="1"/>
  <c r="L2" i="84" a="1"/>
  <c r="L2" i="84" s="1"/>
  <c r="M2" i="84" s="1" a="1"/>
  <c r="M2" i="84" s="1"/>
  <c r="L2" i="80" a="1"/>
  <c r="L2" i="80" s="1"/>
  <c r="AI28" i="109"/>
  <c r="AI17" i="104"/>
  <c r="AI21" i="104"/>
  <c r="AI23" i="104"/>
  <c r="AI25" i="104"/>
  <c r="AI17" i="94"/>
  <c r="AI21" i="94"/>
  <c r="AI23" i="94"/>
  <c r="AI25" i="94"/>
  <c r="AI27" i="94"/>
  <c r="AI29" i="94"/>
  <c r="AI31" i="94"/>
  <c r="AI33" i="94"/>
  <c r="AI35" i="94"/>
  <c r="AI37" i="94"/>
  <c r="AI39" i="94"/>
  <c r="AI26" i="90"/>
  <c r="AI27" i="99"/>
  <c r="AI43" i="113"/>
  <c r="AI27" i="104"/>
  <c r="AI42" i="94"/>
  <c r="AI43" i="111"/>
  <c r="AI31" i="86"/>
  <c r="AI28" i="90"/>
  <c r="AI18" i="109"/>
  <c r="AI43" i="92"/>
  <c r="AI34" i="92"/>
  <c r="AI36" i="92"/>
  <c r="AI38" i="92"/>
  <c r="AI40" i="92"/>
  <c r="AI18" i="84"/>
  <c r="AI22" i="84"/>
  <c r="AI24" i="84"/>
  <c r="AI26" i="84"/>
  <c r="AI28" i="84"/>
  <c r="AI30" i="84"/>
  <c r="AI34" i="84"/>
  <c r="AI38" i="84"/>
  <c r="AI40" i="84"/>
  <c r="AI42" i="84"/>
  <c r="AI44" i="92"/>
  <c r="AI29" i="107"/>
  <c r="AI31" i="107"/>
  <c r="AI17" i="116"/>
  <c r="AI19" i="116"/>
  <c r="AI21" i="116"/>
  <c r="AI23" i="116"/>
  <c r="AI25" i="116"/>
  <c r="AI27" i="116"/>
  <c r="AI29" i="116"/>
  <c r="AI22" i="116"/>
  <c r="AI24" i="116"/>
  <c r="AI26" i="116"/>
  <c r="AI28" i="116"/>
  <c r="AI34" i="116"/>
  <c r="AI19" i="108"/>
  <c r="AI24" i="109"/>
  <c r="AI26" i="109"/>
  <c r="AI38" i="109"/>
  <c r="AI30" i="109"/>
  <c r="AI36" i="116"/>
  <c r="AI19" i="112"/>
  <c r="AI20" i="92"/>
  <c r="AI30" i="107"/>
  <c r="AI43" i="94"/>
  <c r="AI41" i="104"/>
  <c r="AI33" i="104"/>
  <c r="AI40" i="94"/>
  <c r="AI18" i="104"/>
  <c r="AI44" i="94"/>
  <c r="AI40" i="104"/>
  <c r="AI23" i="107"/>
  <c r="AI44" i="84"/>
  <c r="AI31" i="117"/>
  <c r="AI16" i="113"/>
  <c r="AI18" i="113"/>
  <c r="AI24" i="113"/>
  <c r="AI20" i="108"/>
  <c r="AI22" i="108"/>
  <c r="AI24" i="108"/>
  <c r="AI26" i="108"/>
  <c r="AI37" i="117"/>
  <c r="AI27" i="92"/>
  <c r="AI30" i="117"/>
  <c r="AI32" i="117"/>
  <c r="AI21" i="96"/>
  <c r="AI29" i="117"/>
  <c r="AI22" i="92"/>
  <c r="AI21" i="108"/>
  <c r="AI23" i="108"/>
  <c r="AI25" i="108"/>
  <c r="AI27" i="108"/>
  <c r="AI35" i="108"/>
  <c r="AI37" i="108"/>
  <c r="AI18" i="108"/>
  <c r="AI25" i="117"/>
  <c r="AI27" i="117"/>
  <c r="AI33" i="117"/>
  <c r="AI16" i="108"/>
  <c r="AI21" i="117"/>
  <c r="AI26" i="113"/>
  <c r="AI30" i="90"/>
  <c r="AI33" i="101"/>
  <c r="AI23" i="96"/>
  <c r="AI32" i="109"/>
  <c r="AI17" i="114"/>
  <c r="AI22" i="113"/>
  <c r="AI17" i="109"/>
  <c r="AI19" i="109"/>
  <c r="AI34" i="108"/>
  <c r="AI36" i="108"/>
  <c r="AI38" i="108"/>
  <c r="AI40" i="108"/>
  <c r="AI31" i="116"/>
  <c r="AI22" i="110"/>
  <c r="AI34" i="90"/>
  <c r="AI34" i="117"/>
  <c r="AI18" i="112"/>
  <c r="AI20" i="112"/>
  <c r="AI22" i="112"/>
  <c r="AI24" i="112"/>
  <c r="AI34" i="112"/>
  <c r="AI36" i="112"/>
  <c r="AI38" i="112"/>
  <c r="AI40" i="112"/>
  <c r="AI25" i="96"/>
  <c r="AI28" i="112"/>
  <c r="AI30" i="92"/>
  <c r="AI16" i="114"/>
  <c r="AI18" i="114"/>
  <c r="AI20" i="114"/>
  <c r="AI22" i="114"/>
  <c r="AI26" i="114"/>
  <c r="AI28" i="114"/>
  <c r="T28" i="114" s="1"/>
  <c r="AI30" i="114"/>
  <c r="T30" i="114" s="1"/>
  <c r="AI32" i="114"/>
  <c r="AI39" i="108"/>
  <c r="AI33" i="108"/>
  <c r="AI20" i="113"/>
  <c r="AI21" i="112"/>
  <c r="AI23" i="112"/>
  <c r="AI37" i="112"/>
  <c r="AI28" i="113"/>
  <c r="AI30" i="113"/>
  <c r="AI32" i="113"/>
  <c r="AI35" i="116"/>
  <c r="AI37" i="116"/>
  <c r="AI39" i="116"/>
  <c r="AI41" i="116"/>
  <c r="AI17" i="111"/>
  <c r="AI19" i="111"/>
  <c r="AI21" i="111"/>
  <c r="AI23" i="111"/>
  <c r="AI25" i="111"/>
  <c r="AI27" i="111"/>
  <c r="AI26" i="110"/>
  <c r="AI41" i="109"/>
  <c r="AI43" i="109"/>
  <c r="AI44" i="108"/>
  <c r="AI22" i="93"/>
  <c r="AI24" i="93"/>
  <c r="AI26" i="93"/>
  <c r="AI28" i="93"/>
  <c r="AI34" i="93"/>
  <c r="AI38" i="93"/>
  <c r="AI40" i="93"/>
  <c r="AI42" i="93"/>
  <c r="AI44" i="93"/>
  <c r="AI39" i="89"/>
  <c r="AI41" i="89"/>
  <c r="AI43" i="89"/>
  <c r="AI33" i="116"/>
  <c r="AI39" i="109"/>
  <c r="AI29" i="104"/>
  <c r="AI32" i="110"/>
  <c r="AI36" i="90"/>
  <c r="AI44" i="107"/>
  <c r="AI43" i="104"/>
  <c r="AI30" i="93"/>
  <c r="AI37" i="109"/>
  <c r="AI37" i="96"/>
  <c r="AI39" i="96"/>
  <c r="AI41" i="96"/>
  <c r="AI29" i="108"/>
  <c r="AI31" i="108"/>
  <c r="AI33" i="96"/>
  <c r="AI43" i="96"/>
  <c r="AI35" i="117"/>
  <c r="AI38" i="116"/>
  <c r="AI40" i="109"/>
  <c r="AI43" i="108"/>
  <c r="AI20" i="104"/>
  <c r="AI22" i="104"/>
  <c r="AI24" i="104"/>
  <c r="AI28" i="104"/>
  <c r="AI26" i="92"/>
  <c r="AI42" i="92"/>
  <c r="AI42" i="104"/>
  <c r="AI34" i="113"/>
  <c r="AI44" i="104"/>
  <c r="AI43" i="103"/>
  <c r="AI44" i="109"/>
  <c r="AI25" i="107"/>
  <c r="AI44" i="103"/>
  <c r="AI40" i="96"/>
  <c r="AI28" i="108"/>
  <c r="AI43" i="81"/>
  <c r="AI16" i="101"/>
  <c r="AI18" i="101"/>
  <c r="AI18" i="91"/>
  <c r="AI20" i="91"/>
  <c r="AI24" i="91"/>
  <c r="AI26" i="91"/>
  <c r="AI43" i="90"/>
  <c r="AI44" i="89"/>
  <c r="AI21" i="82"/>
  <c r="AI23" i="82"/>
  <c r="AI25" i="82"/>
  <c r="AI27" i="82"/>
  <c r="AI29" i="82"/>
  <c r="AI33" i="82"/>
  <c r="AI35" i="82"/>
  <c r="AI37" i="82"/>
  <c r="AI41" i="82"/>
  <c r="AI43" i="82"/>
  <c r="AI27" i="107"/>
  <c r="AI22" i="105"/>
  <c r="AI41" i="90"/>
  <c r="AI42" i="115"/>
  <c r="AI22" i="91"/>
  <c r="AI38" i="117"/>
  <c r="AI31" i="104"/>
  <c r="AI42" i="112"/>
  <c r="AI16" i="105"/>
  <c r="AI24" i="105"/>
  <c r="AI26" i="105"/>
  <c r="AI28" i="105"/>
  <c r="AI30" i="105"/>
  <c r="AI32" i="105"/>
  <c r="AI34" i="105"/>
  <c r="AI38" i="105"/>
  <c r="AI40" i="105"/>
  <c r="AI42" i="105"/>
  <c r="AI31" i="98"/>
  <c r="AI19" i="104"/>
  <c r="AI38" i="90"/>
  <c r="AI35" i="101"/>
  <c r="AI27" i="96"/>
  <c r="AI17" i="91"/>
  <c r="AI19" i="91"/>
  <c r="AI21" i="91"/>
  <c r="AI23" i="91"/>
  <c r="AI25" i="91"/>
  <c r="AI27" i="91"/>
  <c r="AI42" i="90"/>
  <c r="AI44" i="117"/>
  <c r="AI34" i="114"/>
  <c r="AI36" i="114"/>
  <c r="AI38" i="114"/>
  <c r="AI44" i="90"/>
  <c r="AI22" i="95"/>
  <c r="AI41" i="108"/>
  <c r="AI39" i="117"/>
  <c r="AI41" i="117"/>
  <c r="AI43" i="117"/>
  <c r="AI40" i="116"/>
  <c r="AI32" i="90"/>
  <c r="AI26" i="104"/>
  <c r="AI30" i="104"/>
  <c r="AI17" i="105"/>
  <c r="AI19" i="105"/>
  <c r="AI21" i="105"/>
  <c r="AI23" i="105"/>
  <c r="AI25" i="105"/>
  <c r="AI27" i="105"/>
  <c r="AI29" i="105"/>
  <c r="AI33" i="105"/>
  <c r="AI15" i="107"/>
  <c r="AI15" i="112"/>
  <c r="AI15" i="114"/>
  <c r="AI15" i="111"/>
  <c r="AI32" i="93"/>
  <c r="AI36" i="93"/>
  <c r="AI23" i="93"/>
  <c r="AI33" i="93"/>
  <c r="AI39" i="93"/>
  <c r="AI24" i="106"/>
  <c r="AI40" i="106"/>
  <c r="AI15" i="106"/>
  <c r="AI16" i="106"/>
  <c r="AI17" i="106"/>
  <c r="AI18" i="106"/>
  <c r="AI19" i="106"/>
  <c r="AI20" i="106"/>
  <c r="AI21" i="106"/>
  <c r="AI22" i="106"/>
  <c r="AI23" i="106"/>
  <c r="AI31" i="106"/>
  <c r="AI41" i="106"/>
  <c r="AI27" i="106"/>
  <c r="AI25" i="106"/>
  <c r="AI26" i="106"/>
  <c r="AI28" i="106"/>
  <c r="AI29" i="106"/>
  <c r="AI30" i="106"/>
  <c r="AI32" i="106"/>
  <c r="AI33" i="106"/>
  <c r="AI34" i="106"/>
  <c r="AI35" i="106"/>
  <c r="AI36" i="106"/>
  <c r="AI37" i="106"/>
  <c r="AI38" i="106"/>
  <c r="AI39" i="106"/>
  <c r="AI15" i="105"/>
  <c r="AI36" i="105"/>
  <c r="AI15" i="104"/>
  <c r="AI30" i="103"/>
  <c r="AI32" i="103"/>
  <c r="AI33" i="103"/>
  <c r="AI34" i="103"/>
  <c r="AI35" i="103"/>
  <c r="AI37" i="103"/>
  <c r="AI38" i="103"/>
  <c r="AI40" i="103"/>
  <c r="AI41" i="103"/>
  <c r="AI42" i="103"/>
  <c r="AI15" i="103"/>
  <c r="AI29" i="103"/>
  <c r="AI36" i="103"/>
  <c r="AI39" i="103"/>
  <c r="AI31" i="103"/>
  <c r="AI15" i="102"/>
  <c r="AI16" i="102"/>
  <c r="AI17" i="102"/>
  <c r="AI18" i="102"/>
  <c r="AI19" i="102"/>
  <c r="AI20" i="102"/>
  <c r="AI21" i="102"/>
  <c r="AI22" i="102"/>
  <c r="AI23" i="102"/>
  <c r="AI26" i="102"/>
  <c r="AI30" i="102"/>
  <c r="AI32" i="102"/>
  <c r="AI34" i="102"/>
  <c r="AI36" i="102"/>
  <c r="AI38" i="102"/>
  <c r="AI28" i="102"/>
  <c r="AI15" i="101"/>
  <c r="AI15" i="100"/>
  <c r="AI16" i="100"/>
  <c r="AI18" i="100"/>
  <c r="AI20" i="100"/>
  <c r="AI22" i="100"/>
  <c r="AI26" i="100"/>
  <c r="AI28" i="100"/>
  <c r="AI30" i="100"/>
  <c r="AI34" i="100"/>
  <c r="AI36" i="100"/>
  <c r="AI24" i="100"/>
  <c r="AI32" i="100"/>
  <c r="AI17" i="99"/>
  <c r="AI18" i="99"/>
  <c r="AI19" i="99"/>
  <c r="AI21" i="99"/>
  <c r="AI22" i="99"/>
  <c r="AI24" i="99"/>
  <c r="AI25" i="99"/>
  <c r="AI26" i="99"/>
  <c r="AI35" i="99"/>
  <c r="AI29" i="99"/>
  <c r="AI30" i="99"/>
  <c r="AI31" i="99"/>
  <c r="AI32" i="99"/>
  <c r="AI33" i="99"/>
  <c r="AI34" i="99"/>
  <c r="AI36" i="99"/>
  <c r="AI37" i="99"/>
  <c r="AI38" i="99"/>
  <c r="AI39" i="99"/>
  <c r="AI40" i="99"/>
  <c r="AI41" i="99"/>
  <c r="AI42" i="99"/>
  <c r="AI20" i="99"/>
  <c r="AI23" i="99"/>
  <c r="AI43" i="99"/>
  <c r="AI16" i="99"/>
  <c r="AI15" i="99"/>
  <c r="AI15" i="98"/>
  <c r="AI16" i="98"/>
  <c r="AI17" i="98"/>
  <c r="AI21" i="98"/>
  <c r="AI23" i="98"/>
  <c r="AI25" i="98"/>
  <c r="AI26" i="98"/>
  <c r="AI27" i="98"/>
  <c r="AI29" i="98"/>
  <c r="AI30" i="98"/>
  <c r="AI32" i="98"/>
  <c r="AI33" i="98"/>
  <c r="AI28" i="98"/>
  <c r="AI40" i="98"/>
  <c r="AI34" i="98"/>
  <c r="AI35" i="98"/>
  <c r="AI37" i="98"/>
  <c r="AI39" i="98"/>
  <c r="AI19" i="98"/>
  <c r="AI22" i="85"/>
  <c r="AI24" i="85"/>
  <c r="AI26" i="85"/>
  <c r="AI28" i="85"/>
  <c r="AI30" i="85"/>
  <c r="AI32" i="85"/>
  <c r="AI34" i="85"/>
  <c r="AI37" i="85"/>
  <c r="AI38" i="85"/>
  <c r="AI39" i="85"/>
  <c r="AI41" i="85"/>
  <c r="AI42" i="85"/>
  <c r="AI44" i="85"/>
  <c r="AI15" i="97"/>
  <c r="AI34" i="97"/>
  <c r="AI35" i="97"/>
  <c r="AI38" i="97"/>
  <c r="AI15" i="96"/>
  <c r="AI42" i="96"/>
  <c r="AI35" i="96"/>
  <c r="AI17" i="95"/>
  <c r="AI18" i="95"/>
  <c r="AI19" i="95"/>
  <c r="AI20" i="95"/>
  <c r="AI21" i="95"/>
  <c r="AI23" i="95"/>
  <c r="AI24" i="95"/>
  <c r="AI25" i="95"/>
  <c r="AI26" i="95"/>
  <c r="AI27" i="95"/>
  <c r="AI15" i="95"/>
  <c r="AI16" i="95"/>
  <c r="AI16" i="94"/>
  <c r="AI19" i="94"/>
  <c r="AI20" i="94"/>
  <c r="AI24" i="94"/>
  <c r="AI26" i="94"/>
  <c r="AI28" i="94"/>
  <c r="AI41" i="94"/>
  <c r="AI15" i="94"/>
  <c r="AI37" i="93"/>
  <c r="AI15" i="93"/>
  <c r="AI16" i="93"/>
  <c r="AI17" i="93"/>
  <c r="AI18" i="93"/>
  <c r="AI19" i="93"/>
  <c r="AI16" i="92"/>
  <c r="AI17" i="92"/>
  <c r="AI18" i="92"/>
  <c r="AI24" i="92"/>
  <c r="AI28" i="92"/>
  <c r="AI35" i="92"/>
  <c r="AI15" i="92"/>
  <c r="AI29" i="91"/>
  <c r="AI30" i="91"/>
  <c r="AI31" i="91"/>
  <c r="AI32" i="91"/>
  <c r="AI34" i="91"/>
  <c r="AI36" i="91"/>
  <c r="AI40" i="91"/>
  <c r="AI42" i="91"/>
  <c r="AI15" i="91"/>
  <c r="AI16" i="91"/>
  <c r="AI18" i="90"/>
  <c r="AI19" i="90"/>
  <c r="AI20" i="90"/>
  <c r="AI21" i="90"/>
  <c r="AI22" i="90"/>
  <c r="AI23" i="90"/>
  <c r="AI15" i="90"/>
  <c r="AI16" i="90"/>
  <c r="AI17" i="90"/>
  <c r="AI16" i="89"/>
  <c r="AI17" i="89"/>
  <c r="AI18" i="89"/>
  <c r="AI19" i="89"/>
  <c r="AI22" i="89"/>
  <c r="AI23" i="89"/>
  <c r="AI24" i="89"/>
  <c r="AI25" i="89"/>
  <c r="AI26" i="89"/>
  <c r="AI27" i="89"/>
  <c r="AI28" i="89"/>
  <c r="AI29" i="89"/>
  <c r="AI30" i="89"/>
  <c r="AI32" i="89"/>
  <c r="AI33" i="89"/>
  <c r="AI34" i="89"/>
  <c r="AI21" i="89"/>
  <c r="AI31" i="89"/>
  <c r="AI37" i="89"/>
  <c r="AI15" i="89"/>
  <c r="AI40" i="88"/>
  <c r="AI42" i="88"/>
  <c r="AI24" i="88"/>
  <c r="AI32" i="88"/>
  <c r="AI15" i="88"/>
  <c r="AI16" i="88"/>
  <c r="AI23" i="87"/>
  <c r="AI21" i="87"/>
  <c r="AI22" i="87"/>
  <c r="AI24" i="87"/>
  <c r="AI25" i="87"/>
  <c r="AI26" i="87"/>
  <c r="AI27" i="87"/>
  <c r="AI32" i="87"/>
  <c r="AI34" i="87"/>
  <c r="AI36" i="87"/>
  <c r="AI38" i="87"/>
  <c r="AI40" i="87"/>
  <c r="AI42" i="87"/>
  <c r="AI15" i="87"/>
  <c r="AI16" i="87"/>
  <c r="AI17" i="87"/>
  <c r="AI18" i="87"/>
  <c r="AI19" i="87"/>
  <c r="AI20" i="87"/>
  <c r="AI37" i="81"/>
  <c r="AI38" i="81"/>
  <c r="AI39" i="81"/>
  <c r="AI40" i="81"/>
  <c r="AI41" i="81"/>
  <c r="AI42" i="81"/>
  <c r="AI44" i="81"/>
  <c r="AI44" i="86"/>
  <c r="AI21" i="86"/>
  <c r="AI22" i="86"/>
  <c r="AI23" i="86"/>
  <c r="AI25" i="86"/>
  <c r="AI27" i="86"/>
  <c r="AI29" i="86"/>
  <c r="AI35" i="86"/>
  <c r="AI37" i="86"/>
  <c r="AI39" i="86"/>
  <c r="AI33" i="86"/>
  <c r="AI42" i="86"/>
  <c r="AI15" i="86"/>
  <c r="AI16" i="86"/>
  <c r="AI17" i="86"/>
  <c r="AI18" i="86"/>
  <c r="AI19" i="86"/>
  <c r="AI20" i="86"/>
  <c r="AI20" i="85"/>
  <c r="AI40" i="85"/>
  <c r="AI19" i="85"/>
  <c r="AI15" i="85"/>
  <c r="AI17" i="85"/>
  <c r="AI20" i="84"/>
  <c r="AI36" i="84"/>
  <c r="AI15" i="84"/>
  <c r="AI17" i="83"/>
  <c r="AI18" i="83"/>
  <c r="AI20" i="83"/>
  <c r="AI21" i="83"/>
  <c r="AI22" i="83"/>
  <c r="AI23" i="83"/>
  <c r="AI24" i="83"/>
  <c r="AI25" i="83"/>
  <c r="AI26" i="83"/>
  <c r="AI27" i="83"/>
  <c r="AI19" i="83"/>
  <c r="AI15" i="83"/>
  <c r="AI16" i="83"/>
  <c r="AI17" i="82"/>
  <c r="AI19" i="82"/>
  <c r="AI39" i="82"/>
  <c r="AI31" i="82"/>
  <c r="AI15" i="82"/>
  <c r="AI42" i="82"/>
  <c r="AI20" i="81"/>
  <c r="AI22" i="81"/>
  <c r="AI24" i="81"/>
  <c r="AI26" i="81"/>
  <c r="AI28" i="81"/>
  <c r="AI30" i="81"/>
  <c r="AI32" i="81"/>
  <c r="AI34" i="81"/>
  <c r="AI17" i="81"/>
  <c r="AI19" i="81"/>
  <c r="AI39" i="80"/>
  <c r="AI22" i="80"/>
  <c r="AI24" i="80"/>
  <c r="AI26" i="80"/>
  <c r="AI28" i="80"/>
  <c r="AI30" i="80"/>
  <c r="AI33" i="80"/>
  <c r="AI35" i="80"/>
  <c r="AI37" i="80"/>
  <c r="AI16" i="80"/>
  <c r="AI36" i="79"/>
  <c r="AI38" i="79"/>
  <c r="AI40" i="79"/>
  <c r="AI18" i="80"/>
  <c r="AI15" i="80"/>
  <c r="AI20" i="79"/>
  <c r="AI19" i="79"/>
  <c r="AI18" i="79"/>
  <c r="AI17" i="79"/>
  <c r="AI16" i="79"/>
  <c r="AI17" i="117"/>
  <c r="AI19" i="117"/>
  <c r="AI17" i="115"/>
  <c r="AI19" i="115"/>
  <c r="AI21" i="115"/>
  <c r="AI25" i="115"/>
  <c r="AI27" i="115"/>
  <c r="AI31" i="115"/>
  <c r="AI33" i="115"/>
  <c r="AI35" i="115"/>
  <c r="AI39" i="115"/>
  <c r="AI41" i="115"/>
  <c r="AI43" i="115"/>
  <c r="AI44" i="114"/>
  <c r="AI37" i="113"/>
  <c r="AI27" i="112"/>
  <c r="AI44" i="112"/>
  <c r="AI16" i="103"/>
  <c r="AI18" i="103"/>
  <c r="AI20" i="103"/>
  <c r="AI22" i="103"/>
  <c r="AI24" i="103"/>
  <c r="AI26" i="103"/>
  <c r="AI25" i="102"/>
  <c r="AI29" i="102"/>
  <c r="AI33" i="102"/>
  <c r="AI35" i="102"/>
  <c r="AI37" i="102"/>
  <c r="AI22" i="101"/>
  <c r="AI24" i="101"/>
  <c r="AI26" i="101"/>
  <c r="AI30" i="101"/>
  <c r="AI32" i="101"/>
  <c r="AI34" i="101"/>
  <c r="AI19" i="100"/>
  <c r="AI21" i="100"/>
  <c r="AI23" i="100"/>
  <c r="AI25" i="100"/>
  <c r="AI27" i="100"/>
  <c r="AI31" i="100"/>
  <c r="AI33" i="100"/>
  <c r="AI35" i="100"/>
  <c r="AI37" i="100"/>
  <c r="AI39" i="100"/>
  <c r="AI41" i="100"/>
  <c r="AI41" i="98"/>
  <c r="AI43" i="98"/>
  <c r="AI44" i="97"/>
  <c r="AI38" i="95"/>
  <c r="AI31" i="87"/>
  <c r="AI33" i="87"/>
  <c r="AI35" i="87"/>
  <c r="AI39" i="87"/>
  <c r="AI41" i="87"/>
  <c r="AI43" i="87"/>
  <c r="AI26" i="86"/>
  <c r="AI28" i="86"/>
  <c r="AI30" i="86"/>
  <c r="AI32" i="86"/>
  <c r="AI34" i="86"/>
  <c r="AI36" i="86"/>
  <c r="AI38" i="86"/>
  <c r="AI21" i="85"/>
  <c r="AI23" i="85"/>
  <c r="AI25" i="85"/>
  <c r="AI29" i="85"/>
  <c r="AI31" i="85"/>
  <c r="AI33" i="85"/>
  <c r="AI35" i="85"/>
  <c r="AI30" i="116"/>
  <c r="AI29" i="115"/>
  <c r="AI39" i="113"/>
  <c r="AI18" i="105"/>
  <c r="AI27" i="102"/>
  <c r="AI39" i="102"/>
  <c r="AI17" i="100"/>
  <c r="AI43" i="100"/>
  <c r="AI29" i="87"/>
  <c r="AI23" i="80"/>
  <c r="AI26" i="79"/>
  <c r="AI42" i="79"/>
  <c r="AI42" i="116"/>
  <c r="AI44" i="105"/>
  <c r="AI31" i="102"/>
  <c r="AI44" i="102"/>
  <c r="AI28" i="101"/>
  <c r="AI30" i="95"/>
  <c r="AI33" i="91"/>
  <c r="AI35" i="91"/>
  <c r="AI37" i="91"/>
  <c r="AI41" i="91"/>
  <c r="AI43" i="91"/>
  <c r="AI35" i="89"/>
  <c r="AI28" i="82"/>
  <c r="AI44" i="79"/>
  <c r="AI44" i="116"/>
  <c r="AI44" i="111"/>
  <c r="AI43" i="102"/>
  <c r="AI27" i="88"/>
  <c r="AI44" i="83"/>
  <c r="AI44" i="82"/>
  <c r="AI16" i="81"/>
  <c r="AI18" i="81"/>
  <c r="AI17" i="80"/>
  <c r="AI19" i="80"/>
  <c r="AI20" i="80"/>
  <c r="AI21" i="80"/>
  <c r="AI25" i="80"/>
  <c r="AI27" i="80"/>
  <c r="AI29" i="80"/>
  <c r="AI31" i="80"/>
  <c r="AI34" i="109"/>
  <c r="AI43" i="106"/>
  <c r="AI44" i="106"/>
  <c r="AI36" i="80"/>
  <c r="AI41" i="80"/>
  <c r="AI43" i="80"/>
  <c r="AI29" i="110"/>
  <c r="AI37" i="110"/>
  <c r="AI39" i="110"/>
  <c r="AI43" i="110"/>
  <c r="AI42" i="109"/>
  <c r="AI17" i="97"/>
  <c r="AI18" i="96"/>
  <c r="AI20" i="96"/>
  <c r="AI22" i="96"/>
  <c r="AI24" i="96"/>
  <c r="AI26" i="96"/>
  <c r="AI28" i="96"/>
  <c r="AI31" i="95"/>
  <c r="AI33" i="95"/>
  <c r="AI35" i="95"/>
  <c r="AI37" i="95"/>
  <c r="AI41" i="95"/>
  <c r="AI43" i="95"/>
  <c r="AI25" i="112"/>
  <c r="AI29" i="112"/>
  <c r="AI31" i="112"/>
  <c r="AI40" i="111"/>
  <c r="AI42" i="111"/>
  <c r="AI31" i="110"/>
  <c r="AI33" i="110"/>
  <c r="AI41" i="110"/>
  <c r="AI18" i="98"/>
  <c r="AI20" i="98"/>
  <c r="AI39" i="97"/>
  <c r="AI41" i="97"/>
  <c r="AI43" i="97"/>
  <c r="AI29" i="95"/>
  <c r="AI30" i="83"/>
  <c r="AI34" i="83"/>
  <c r="AI38" i="83"/>
  <c r="AI40" i="83"/>
  <c r="AI42" i="83"/>
  <c r="AI19" i="114"/>
  <c r="AI21" i="114"/>
  <c r="AI23" i="114"/>
  <c r="AI27" i="114"/>
  <c r="T27" i="114" s="1"/>
  <c r="AI29" i="114"/>
  <c r="T29" i="114" s="1"/>
  <c r="AI31" i="114"/>
  <c r="T31" i="114" s="1"/>
  <c r="AI33" i="114"/>
  <c r="AI35" i="114"/>
  <c r="AI37" i="114"/>
  <c r="AI40" i="113"/>
  <c r="AI42" i="113"/>
  <c r="AI39" i="112"/>
  <c r="AI41" i="112"/>
  <c r="AI36" i="98"/>
  <c r="AI38" i="98"/>
  <c r="AI42" i="98"/>
  <c r="AI44" i="98"/>
  <c r="AI16" i="85"/>
  <c r="AI18" i="85"/>
  <c r="AI17" i="84"/>
  <c r="AI19" i="84"/>
  <c r="AI21" i="84"/>
  <c r="AI25" i="84"/>
  <c r="AI27" i="84"/>
  <c r="AI29" i="84"/>
  <c r="AI31" i="84"/>
  <c r="AI33" i="84"/>
  <c r="AI35" i="84"/>
  <c r="AI37" i="84"/>
  <c r="AI41" i="84"/>
  <c r="AI36" i="83"/>
  <c r="AI31" i="79"/>
  <c r="AI25" i="114"/>
  <c r="AI42" i="114"/>
  <c r="AI33" i="112"/>
  <c r="AI43" i="112"/>
  <c r="AI29" i="100"/>
  <c r="AI38" i="100"/>
  <c r="AI42" i="100"/>
  <c r="AI44" i="100"/>
  <c r="AI19" i="97"/>
  <c r="AI41" i="114"/>
  <c r="AI38" i="113"/>
  <c r="AI44" i="113"/>
  <c r="AI35" i="112"/>
  <c r="AI42" i="102"/>
  <c r="AI37" i="101"/>
  <c r="AI39" i="101"/>
  <c r="AI41" i="101"/>
  <c r="AI43" i="101"/>
  <c r="AI39" i="95"/>
  <c r="AI39" i="91"/>
  <c r="AI19" i="88"/>
  <c r="AI21" i="88"/>
  <c r="AI23" i="88"/>
  <c r="AI25" i="88"/>
  <c r="AI29" i="88"/>
  <c r="AI31" i="88"/>
  <c r="AI35" i="88"/>
  <c r="AI37" i="88"/>
  <c r="AI39" i="88"/>
  <c r="AI41" i="88"/>
  <c r="AI37" i="87"/>
  <c r="AI43" i="86"/>
  <c r="AI24" i="82"/>
  <c r="AI27" i="79"/>
  <c r="AI29" i="79"/>
  <c r="AI35" i="79"/>
  <c r="AI37" i="79"/>
  <c r="AI39" i="79"/>
  <c r="AI43" i="79"/>
  <c r="AI42" i="117"/>
  <c r="AI23" i="115"/>
  <c r="AI39" i="114"/>
  <c r="AI43" i="114"/>
  <c r="AI40" i="110"/>
  <c r="AI35" i="105"/>
  <c r="AI41" i="105"/>
  <c r="AI43" i="105"/>
  <c r="AI40" i="100"/>
  <c r="AI17" i="88"/>
  <c r="AI33" i="88"/>
  <c r="AI43" i="88"/>
  <c r="AI41" i="86"/>
  <c r="AI27" i="81"/>
  <c r="AI25" i="79"/>
  <c r="AI33" i="79"/>
  <c r="AI41" i="79"/>
  <c r="AI40" i="117"/>
  <c r="AI30" i="108"/>
  <c r="AI43" i="107"/>
  <c r="AI42" i="106"/>
  <c r="AI37" i="105"/>
  <c r="AI27" i="85"/>
  <c r="AI43" i="116"/>
  <c r="AI37" i="115"/>
  <c r="AI24" i="114"/>
  <c r="AI42" i="108"/>
  <c r="AI39" i="105"/>
  <c r="AI30" i="87"/>
  <c r="AI43" i="85"/>
  <c r="AI16" i="84"/>
  <c r="AI32" i="84"/>
  <c r="AI32" i="83"/>
  <c r="AI35" i="83"/>
  <c r="AI16" i="82"/>
  <c r="AI18" i="82"/>
  <c r="AI20" i="82"/>
  <c r="AI22" i="82"/>
  <c r="AI26" i="82"/>
  <c r="AI30" i="82"/>
  <c r="AI32" i="82"/>
  <c r="AI34" i="82"/>
  <c r="AI36" i="82"/>
  <c r="AI38" i="82"/>
  <c r="AI21" i="81"/>
  <c r="AI23" i="81"/>
  <c r="AI25" i="81"/>
  <c r="AI29" i="81"/>
  <c r="AI33" i="81"/>
  <c r="AI35" i="81"/>
  <c r="AI38" i="80"/>
  <c r="AI40" i="80"/>
  <c r="AI42" i="80"/>
  <c r="AI44" i="80"/>
  <c r="AI28" i="110"/>
  <c r="AI30" i="110"/>
  <c r="AI34" i="110"/>
  <c r="AI36" i="110"/>
  <c r="AI38" i="110"/>
  <c r="AI42" i="110"/>
  <c r="AI44" i="110"/>
  <c r="AI29" i="96"/>
  <c r="AI31" i="96"/>
  <c r="AI32" i="95"/>
  <c r="AI34" i="95"/>
  <c r="AI36" i="95"/>
  <c r="AI40" i="95"/>
  <c r="AI42" i="95"/>
  <c r="AI38" i="91"/>
  <c r="AI31" i="81"/>
  <c r="AI34" i="80"/>
  <c r="AI26" i="112"/>
  <c r="AI30" i="112"/>
  <c r="AI41" i="111"/>
  <c r="AI40" i="97"/>
  <c r="AI42" i="97"/>
  <c r="AI29" i="83"/>
  <c r="AI31" i="83"/>
  <c r="AI33" i="83"/>
  <c r="AI37" i="83"/>
  <c r="AI39" i="83"/>
  <c r="AI41" i="83"/>
  <c r="AI43" i="83"/>
  <c r="AI15" i="81"/>
  <c r="AI15" i="109"/>
  <c r="AI15" i="108"/>
  <c r="AI22" i="79"/>
  <c r="AI28" i="79"/>
  <c r="AI30" i="79"/>
  <c r="AI34" i="79"/>
  <c r="AI32" i="79"/>
  <c r="AI15" i="79"/>
  <c r="AI21" i="79"/>
  <c r="AI23" i="79"/>
  <c r="N2" i="117" l="1" a="1"/>
  <c r="N2" i="117" s="1"/>
  <c r="O2" i="117" s="1" a="1"/>
  <c r="O2" i="117" s="1"/>
  <c r="M2" i="80" a="1"/>
  <c r="M2" i="80" s="1"/>
  <c r="N2" i="80" s="1" a="1"/>
  <c r="N2" i="80" s="1"/>
  <c r="N2" i="84" a="1"/>
  <c r="N2" i="84" s="1"/>
  <c r="O2" i="84" s="1" a="1"/>
  <c r="O2" i="84" s="1"/>
  <c r="N2" i="93" a="1"/>
  <c r="N2" i="93" s="1"/>
  <c r="O2" i="93" s="1" a="1"/>
  <c r="O2" i="93" s="1"/>
  <c r="S9" i="80"/>
  <c r="R9" i="80"/>
  <c r="S9" i="81"/>
  <c r="R9" i="81"/>
  <c r="S9" i="82"/>
  <c r="R9" i="82"/>
  <c r="S9" i="83"/>
  <c r="R9" i="83"/>
  <c r="S9" i="84"/>
  <c r="R9" i="84"/>
  <c r="S9" i="85"/>
  <c r="R9" i="85"/>
  <c r="S9" i="86"/>
  <c r="R9" i="86"/>
  <c r="S9" i="87"/>
  <c r="R9" i="87"/>
  <c r="S9" i="88"/>
  <c r="R9" i="88"/>
  <c r="S9" i="89"/>
  <c r="R9" i="89"/>
  <c r="S9" i="90"/>
  <c r="R9" i="90"/>
  <c r="S9" i="91"/>
  <c r="R9" i="91"/>
  <c r="S9" i="92"/>
  <c r="R9" i="92"/>
  <c r="S9" i="93"/>
  <c r="R9" i="93"/>
  <c r="S9" i="94"/>
  <c r="R9" i="94"/>
  <c r="S9" i="95"/>
  <c r="R9" i="95"/>
  <c r="S9" i="96"/>
  <c r="R9" i="96"/>
  <c r="S9" i="97"/>
  <c r="R9" i="97"/>
  <c r="S9" i="98"/>
  <c r="R9" i="98"/>
  <c r="S9" i="99"/>
  <c r="R9" i="99"/>
  <c r="S9" i="100"/>
  <c r="R9" i="100"/>
  <c r="S9" i="101"/>
  <c r="R9" i="101"/>
  <c r="S9" i="102"/>
  <c r="R9" i="102"/>
  <c r="S9" i="103"/>
  <c r="R9" i="103"/>
  <c r="S9" i="104"/>
  <c r="R9" i="104"/>
  <c r="S9" i="105"/>
  <c r="R9" i="105"/>
  <c r="S9" i="106"/>
  <c r="R9" i="106"/>
  <c r="S9" i="107"/>
  <c r="R9" i="107"/>
  <c r="S9" i="108"/>
  <c r="R9" i="108"/>
  <c r="S9" i="109"/>
  <c r="R9" i="109"/>
  <c r="S9" i="110"/>
  <c r="R9" i="110"/>
  <c r="S9" i="111"/>
  <c r="R9" i="111"/>
  <c r="S9" i="112"/>
  <c r="R9" i="112"/>
  <c r="S9" i="113"/>
  <c r="R9" i="113"/>
  <c r="S9" i="114"/>
  <c r="R9" i="114"/>
  <c r="S9" i="115"/>
  <c r="R9" i="115"/>
  <c r="S9" i="116"/>
  <c r="R9" i="116"/>
  <c r="T9" i="117"/>
  <c r="S9" i="117"/>
  <c r="R9" i="117"/>
  <c r="S9" i="79"/>
  <c r="R9" i="79"/>
  <c r="S9" i="78"/>
  <c r="R9" i="78"/>
  <c r="O2" i="80" l="1" a="1"/>
  <c r="O2" i="80" s="1"/>
  <c r="Q45" i="78"/>
  <c r="O10" i="61"/>
  <c r="H9" i="5"/>
  <c r="G9" i="5"/>
  <c r="H6" i="5"/>
  <c r="H10" i="61" s="1"/>
  <c r="G6" i="5"/>
  <c r="D10" i="58" l="1"/>
  <c r="F10" i="58"/>
  <c r="AR9" i="118"/>
  <c r="AQ9" i="118"/>
  <c r="F10" i="61"/>
  <c r="A2" i="61"/>
  <c r="B2" i="61"/>
  <c r="C2" i="61"/>
  <c r="D2" i="61"/>
  <c r="A3" i="61"/>
  <c r="B3" i="61"/>
  <c r="C3" i="61"/>
  <c r="D3" i="61"/>
  <c r="A4" i="61"/>
  <c r="B4" i="61"/>
  <c r="C4" i="61"/>
  <c r="D4" i="61"/>
  <c r="A5" i="61"/>
  <c r="B5" i="61"/>
  <c r="C5" i="61"/>
  <c r="D5" i="61"/>
  <c r="A6" i="61"/>
  <c r="B6" i="61"/>
  <c r="C6" i="61"/>
  <c r="D6" i="61"/>
  <c r="A7" i="61"/>
  <c r="B7" i="61"/>
  <c r="C7" i="61"/>
  <c r="D7" i="61"/>
  <c r="A8" i="61"/>
  <c r="B8" i="61"/>
  <c r="C8" i="61"/>
  <c r="D8" i="61"/>
  <c r="K15" i="80"/>
  <c r="K16" i="80"/>
  <c r="K17" i="80"/>
  <c r="K18" i="80"/>
  <c r="K19" i="80"/>
  <c r="K20" i="80"/>
  <c r="K21" i="80"/>
  <c r="AY50" i="118"/>
  <c r="AX50" i="118"/>
  <c r="AW50" i="118"/>
  <c r="AV50" i="118"/>
  <c r="AU50" i="118"/>
  <c r="AT50" i="118"/>
  <c r="AS50" i="118"/>
  <c r="AR50" i="118"/>
  <c r="AQ50" i="118"/>
  <c r="AP50" i="118"/>
  <c r="AO50" i="118"/>
  <c r="AN50" i="118"/>
  <c r="AM50" i="118"/>
  <c r="AL50" i="118"/>
  <c r="AK50" i="118"/>
  <c r="AJ50" i="118"/>
  <c r="AI50" i="118"/>
  <c r="AH50" i="118"/>
  <c r="AG50" i="118"/>
  <c r="AY49" i="118"/>
  <c r="AX49" i="118"/>
  <c r="AW49" i="118"/>
  <c r="AV49" i="118"/>
  <c r="AU49" i="118"/>
  <c r="AT49" i="118"/>
  <c r="AS49" i="118"/>
  <c r="AR49" i="118"/>
  <c r="AQ49" i="118"/>
  <c r="AP49" i="118"/>
  <c r="AO49" i="118"/>
  <c r="AN49" i="118"/>
  <c r="AM49" i="118"/>
  <c r="AL49" i="118"/>
  <c r="AK49" i="118"/>
  <c r="AJ49" i="118"/>
  <c r="AI49" i="118"/>
  <c r="AH49" i="118"/>
  <c r="AG49" i="118"/>
  <c r="AY48" i="118"/>
  <c r="AX48" i="118"/>
  <c r="AW48" i="118"/>
  <c r="AV48" i="118"/>
  <c r="AU48" i="118"/>
  <c r="AT48" i="118"/>
  <c r="AS48" i="118"/>
  <c r="AR48" i="118"/>
  <c r="AQ48" i="118"/>
  <c r="AP48" i="118"/>
  <c r="AO48" i="118"/>
  <c r="AN48" i="118"/>
  <c r="AM48" i="118"/>
  <c r="AL48" i="118"/>
  <c r="AK48" i="118"/>
  <c r="AJ48" i="118"/>
  <c r="AI48" i="118"/>
  <c r="AH48" i="118"/>
  <c r="AG48" i="118"/>
  <c r="AY47" i="118"/>
  <c r="AX47" i="118"/>
  <c r="AW47" i="118"/>
  <c r="AV47" i="118"/>
  <c r="AU47" i="118"/>
  <c r="AT47" i="118"/>
  <c r="AS47" i="118"/>
  <c r="AR47" i="118"/>
  <c r="AQ47" i="118"/>
  <c r="AP47" i="118"/>
  <c r="AO47" i="118"/>
  <c r="AN47" i="118"/>
  <c r="AM47" i="118"/>
  <c r="AL47" i="118"/>
  <c r="AK47" i="118"/>
  <c r="AJ47" i="118"/>
  <c r="AI47" i="118"/>
  <c r="AH47" i="118"/>
  <c r="AG47" i="118"/>
  <c r="AY46" i="118"/>
  <c r="AX46" i="118"/>
  <c r="AW46" i="118"/>
  <c r="AV46" i="118"/>
  <c r="AU46" i="118"/>
  <c r="AT46" i="118"/>
  <c r="AS46" i="118"/>
  <c r="AR46" i="118"/>
  <c r="AQ46" i="118"/>
  <c r="AP46" i="118"/>
  <c r="AO46" i="118"/>
  <c r="AN46" i="118"/>
  <c r="AM46" i="118"/>
  <c r="AL46" i="118"/>
  <c r="AK46" i="118"/>
  <c r="AJ46" i="118"/>
  <c r="AI46" i="118"/>
  <c r="AH46" i="118"/>
  <c r="AG46" i="118"/>
  <c r="AY45" i="118"/>
  <c r="AX45" i="118"/>
  <c r="AW45" i="118"/>
  <c r="AV45" i="118"/>
  <c r="AU45" i="118"/>
  <c r="AT45" i="118"/>
  <c r="AS45" i="118"/>
  <c r="AR45" i="118"/>
  <c r="AQ45" i="118"/>
  <c r="AP45" i="118"/>
  <c r="AO45" i="118"/>
  <c r="AN45" i="118"/>
  <c r="AM45" i="118"/>
  <c r="AL45" i="118"/>
  <c r="AK45" i="118"/>
  <c r="AJ45" i="118"/>
  <c r="AI45" i="118"/>
  <c r="AH45" i="118"/>
  <c r="AG45" i="118"/>
  <c r="AY44" i="118"/>
  <c r="AX44" i="118"/>
  <c r="AW44" i="118"/>
  <c r="AV44" i="118"/>
  <c r="AU44" i="118"/>
  <c r="AT44" i="118"/>
  <c r="AS44" i="118"/>
  <c r="AR44" i="118"/>
  <c r="AQ44" i="118"/>
  <c r="AP44" i="118"/>
  <c r="AO44" i="118"/>
  <c r="AN44" i="118"/>
  <c r="AM44" i="118"/>
  <c r="AL44" i="118"/>
  <c r="AK44" i="118"/>
  <c r="AJ44" i="118"/>
  <c r="AI44" i="118"/>
  <c r="AH44" i="118"/>
  <c r="AG44" i="118"/>
  <c r="AY43" i="118"/>
  <c r="AX43" i="118"/>
  <c r="AW43" i="118"/>
  <c r="AV43" i="118"/>
  <c r="AU43" i="118"/>
  <c r="AT43" i="118"/>
  <c r="AS43" i="118"/>
  <c r="AR43" i="118"/>
  <c r="AQ43" i="118"/>
  <c r="AP43" i="118"/>
  <c r="AO43" i="118"/>
  <c r="AN43" i="118"/>
  <c r="AM43" i="118"/>
  <c r="AL43" i="118"/>
  <c r="AK43" i="118"/>
  <c r="AJ43" i="118"/>
  <c r="AI43" i="118"/>
  <c r="AH43" i="118"/>
  <c r="AG43" i="118"/>
  <c r="AY42" i="118"/>
  <c r="AX42" i="118"/>
  <c r="AW42" i="118"/>
  <c r="AV42" i="118"/>
  <c r="AU42" i="118"/>
  <c r="AT42" i="118"/>
  <c r="AS42" i="118"/>
  <c r="AR42" i="118"/>
  <c r="AQ42" i="118"/>
  <c r="AP42" i="118"/>
  <c r="AO42" i="118"/>
  <c r="AN42" i="118"/>
  <c r="AM42" i="118"/>
  <c r="AL42" i="118"/>
  <c r="AK42" i="118"/>
  <c r="AJ42" i="118"/>
  <c r="AI42" i="118"/>
  <c r="AH42" i="118"/>
  <c r="AG42" i="118"/>
  <c r="AY41" i="118"/>
  <c r="AX41" i="118"/>
  <c r="AW41" i="118"/>
  <c r="AV41" i="118"/>
  <c r="AU41" i="118"/>
  <c r="AT41" i="118"/>
  <c r="AS41" i="118"/>
  <c r="AR41" i="118"/>
  <c r="AQ41" i="118"/>
  <c r="AP41" i="118"/>
  <c r="AO41" i="118"/>
  <c r="AN41" i="118"/>
  <c r="AM41" i="118"/>
  <c r="AL41" i="118"/>
  <c r="AK41" i="118"/>
  <c r="AJ41" i="118"/>
  <c r="AI41" i="118"/>
  <c r="AH41" i="118"/>
  <c r="AG41" i="118"/>
  <c r="AY40" i="118"/>
  <c r="AX40" i="118"/>
  <c r="AW40" i="118"/>
  <c r="AV40" i="118"/>
  <c r="AU40" i="118"/>
  <c r="AT40" i="118"/>
  <c r="AS40" i="118"/>
  <c r="AR40" i="118"/>
  <c r="AQ40" i="118"/>
  <c r="AP40" i="118"/>
  <c r="AO40" i="118"/>
  <c r="AN40" i="118"/>
  <c r="AM40" i="118"/>
  <c r="AL40" i="118"/>
  <c r="AK40" i="118"/>
  <c r="AJ40" i="118"/>
  <c r="AI40" i="118"/>
  <c r="AH40" i="118"/>
  <c r="AG40" i="118"/>
  <c r="AY39" i="118"/>
  <c r="AX39" i="118"/>
  <c r="AW39" i="118"/>
  <c r="AV39" i="118"/>
  <c r="AU39" i="118"/>
  <c r="AT39" i="118"/>
  <c r="AS39" i="118"/>
  <c r="AR39" i="118"/>
  <c r="AQ39" i="118"/>
  <c r="AP39" i="118"/>
  <c r="AO39" i="118"/>
  <c r="AN39" i="118"/>
  <c r="AM39" i="118"/>
  <c r="AL39" i="118"/>
  <c r="AK39" i="118"/>
  <c r="AJ39" i="118"/>
  <c r="AI39" i="118"/>
  <c r="AH39" i="118"/>
  <c r="AG39" i="118"/>
  <c r="AY38" i="118"/>
  <c r="AX38" i="118"/>
  <c r="AW38" i="118"/>
  <c r="AV38" i="118"/>
  <c r="AU38" i="118"/>
  <c r="AT38" i="118"/>
  <c r="AS38" i="118"/>
  <c r="AR38" i="118"/>
  <c r="AQ38" i="118"/>
  <c r="AP38" i="118"/>
  <c r="AO38" i="118"/>
  <c r="AN38" i="118"/>
  <c r="AM38" i="118"/>
  <c r="AL38" i="118"/>
  <c r="AK38" i="118"/>
  <c r="AJ38" i="118"/>
  <c r="AI38" i="118"/>
  <c r="AH38" i="118"/>
  <c r="AG38" i="118"/>
  <c r="AY37" i="118"/>
  <c r="AX37" i="118"/>
  <c r="AW37" i="118"/>
  <c r="AV37" i="118"/>
  <c r="AU37" i="118"/>
  <c r="AT37" i="118"/>
  <c r="AS37" i="118"/>
  <c r="AR37" i="118"/>
  <c r="AQ37" i="118"/>
  <c r="AP37" i="118"/>
  <c r="AO37" i="118"/>
  <c r="AN37" i="118"/>
  <c r="AM37" i="118"/>
  <c r="AL37" i="118"/>
  <c r="AK37" i="118"/>
  <c r="AJ37" i="118"/>
  <c r="AI37" i="118"/>
  <c r="AH37" i="118"/>
  <c r="AG37" i="118"/>
  <c r="AY36" i="118"/>
  <c r="AX36" i="118"/>
  <c r="AW36" i="118"/>
  <c r="AV36" i="118"/>
  <c r="AU36" i="118"/>
  <c r="AT36" i="118"/>
  <c r="AS36" i="118"/>
  <c r="AR36" i="118"/>
  <c r="AQ36" i="118"/>
  <c r="AP36" i="118"/>
  <c r="AO36" i="118"/>
  <c r="AN36" i="118"/>
  <c r="AM36" i="118"/>
  <c r="AL36" i="118"/>
  <c r="AK36" i="118"/>
  <c r="AJ36" i="118"/>
  <c r="AI36" i="118"/>
  <c r="AH36" i="118"/>
  <c r="AG36" i="118"/>
  <c r="AY35" i="118"/>
  <c r="AX35" i="118"/>
  <c r="AW35" i="118"/>
  <c r="AV35" i="118"/>
  <c r="AU35" i="118"/>
  <c r="AT35" i="118"/>
  <c r="AS35" i="118"/>
  <c r="AR35" i="118"/>
  <c r="AQ35" i="118"/>
  <c r="AP35" i="118"/>
  <c r="AO35" i="118"/>
  <c r="AN35" i="118"/>
  <c r="AM35" i="118"/>
  <c r="AL35" i="118"/>
  <c r="AK35" i="118"/>
  <c r="AJ35" i="118"/>
  <c r="AI35" i="118"/>
  <c r="AH35" i="118"/>
  <c r="AG35" i="118"/>
  <c r="AY34" i="118"/>
  <c r="AX34" i="118"/>
  <c r="AW34" i="118"/>
  <c r="AV34" i="118"/>
  <c r="AU34" i="118"/>
  <c r="AT34" i="118"/>
  <c r="AS34" i="118"/>
  <c r="AR34" i="118"/>
  <c r="AQ34" i="118"/>
  <c r="AP34" i="118"/>
  <c r="AO34" i="118"/>
  <c r="AN34" i="118"/>
  <c r="AM34" i="118"/>
  <c r="AL34" i="118"/>
  <c r="AK34" i="118"/>
  <c r="AJ34" i="118"/>
  <c r="AI34" i="118"/>
  <c r="AH34" i="118"/>
  <c r="AG34" i="118"/>
  <c r="AY33" i="118"/>
  <c r="AX33" i="118"/>
  <c r="AW33" i="118"/>
  <c r="AV33" i="118"/>
  <c r="AU33" i="118"/>
  <c r="AT33" i="118"/>
  <c r="AS33" i="118"/>
  <c r="AR33" i="118"/>
  <c r="AQ33" i="118"/>
  <c r="AP33" i="118"/>
  <c r="AO33" i="118"/>
  <c r="AN33" i="118"/>
  <c r="AM33" i="118"/>
  <c r="AL33" i="118"/>
  <c r="AK33" i="118"/>
  <c r="AJ33" i="118"/>
  <c r="AI33" i="118"/>
  <c r="AH33" i="118"/>
  <c r="AG33" i="118"/>
  <c r="AY32" i="118"/>
  <c r="AX32" i="118"/>
  <c r="AW32" i="118"/>
  <c r="AV32" i="118"/>
  <c r="AU32" i="118"/>
  <c r="AT32" i="118"/>
  <c r="AS32" i="118"/>
  <c r="AR32" i="118"/>
  <c r="AQ32" i="118"/>
  <c r="AP32" i="118"/>
  <c r="AO32" i="118"/>
  <c r="AN32" i="118"/>
  <c r="AM32" i="118"/>
  <c r="AL32" i="118"/>
  <c r="AK32" i="118"/>
  <c r="AJ32" i="118"/>
  <c r="AI32" i="118"/>
  <c r="AH32" i="118"/>
  <c r="AG32" i="118"/>
  <c r="AY31" i="118"/>
  <c r="AX31" i="118"/>
  <c r="AW31" i="118"/>
  <c r="AV31" i="118"/>
  <c r="AU31" i="118"/>
  <c r="AT31" i="118"/>
  <c r="AS31" i="118"/>
  <c r="AR31" i="118"/>
  <c r="AQ31" i="118"/>
  <c r="AP31" i="118"/>
  <c r="AO31" i="118"/>
  <c r="AN31" i="118"/>
  <c r="AM31" i="118"/>
  <c r="AL31" i="118"/>
  <c r="AK31" i="118"/>
  <c r="AJ31" i="118"/>
  <c r="AI31" i="118"/>
  <c r="AH31" i="118"/>
  <c r="AG31" i="118"/>
  <c r="AY30" i="118"/>
  <c r="AX30" i="118"/>
  <c r="AW30" i="118"/>
  <c r="AV30" i="118"/>
  <c r="AU30" i="118"/>
  <c r="AT30" i="118"/>
  <c r="AS30" i="118"/>
  <c r="AR30" i="118"/>
  <c r="AQ30" i="118"/>
  <c r="AP30" i="118"/>
  <c r="AO30" i="118"/>
  <c r="AN30" i="118"/>
  <c r="AM30" i="118"/>
  <c r="AL30" i="118"/>
  <c r="AK30" i="118"/>
  <c r="AJ30" i="118"/>
  <c r="AI30" i="118"/>
  <c r="AH30" i="118"/>
  <c r="AG30" i="118"/>
  <c r="AY29" i="118"/>
  <c r="AX29" i="118"/>
  <c r="AW29" i="118"/>
  <c r="AV29" i="118"/>
  <c r="AU29" i="118"/>
  <c r="AT29" i="118"/>
  <c r="AS29" i="118"/>
  <c r="AR29" i="118"/>
  <c r="AQ29" i="118"/>
  <c r="AP29" i="118"/>
  <c r="AO29" i="118"/>
  <c r="AN29" i="118"/>
  <c r="AM29" i="118"/>
  <c r="AL29" i="118"/>
  <c r="AK29" i="118"/>
  <c r="AJ29" i="118"/>
  <c r="AI29" i="118"/>
  <c r="AH29" i="118"/>
  <c r="AG29" i="118"/>
  <c r="AY28" i="118"/>
  <c r="AX28" i="118"/>
  <c r="AW28" i="118"/>
  <c r="AV28" i="118"/>
  <c r="AU28" i="118"/>
  <c r="AT28" i="118"/>
  <c r="AS28" i="118"/>
  <c r="AR28" i="118"/>
  <c r="AQ28" i="118"/>
  <c r="AP28" i="118"/>
  <c r="AO28" i="118"/>
  <c r="AN28" i="118"/>
  <c r="AM28" i="118"/>
  <c r="AL28" i="118"/>
  <c r="AK28" i="118"/>
  <c r="AJ28" i="118"/>
  <c r="AI28" i="118"/>
  <c r="AH28" i="118"/>
  <c r="AG28" i="118"/>
  <c r="AY27" i="118"/>
  <c r="AX27" i="118"/>
  <c r="AW27" i="118"/>
  <c r="AV27" i="118"/>
  <c r="AU27" i="118"/>
  <c r="AT27" i="118"/>
  <c r="AS27" i="118"/>
  <c r="AR27" i="118"/>
  <c r="AQ27" i="118"/>
  <c r="AP27" i="118"/>
  <c r="AO27" i="118"/>
  <c r="AN27" i="118"/>
  <c r="AM27" i="118"/>
  <c r="AL27" i="118"/>
  <c r="AK27" i="118"/>
  <c r="AJ27" i="118"/>
  <c r="AI27" i="118"/>
  <c r="AH27" i="118"/>
  <c r="AG27" i="118"/>
  <c r="AY26" i="118"/>
  <c r="AX26" i="118"/>
  <c r="AW26" i="118"/>
  <c r="AV26" i="118"/>
  <c r="AU26" i="118"/>
  <c r="AT26" i="118"/>
  <c r="AS26" i="118"/>
  <c r="AR26" i="118"/>
  <c r="AQ26" i="118"/>
  <c r="AP26" i="118"/>
  <c r="AO26" i="118"/>
  <c r="AN26" i="118"/>
  <c r="AM26" i="118"/>
  <c r="AL26" i="118"/>
  <c r="AK26" i="118"/>
  <c r="AJ26" i="118"/>
  <c r="AI26" i="118"/>
  <c r="AH26" i="118"/>
  <c r="AG26" i="118"/>
  <c r="AY25" i="118"/>
  <c r="AX25" i="118"/>
  <c r="AW25" i="118"/>
  <c r="AV25" i="118"/>
  <c r="AU25" i="118"/>
  <c r="AT25" i="118"/>
  <c r="AS25" i="118"/>
  <c r="AR25" i="118"/>
  <c r="AQ25" i="118"/>
  <c r="AP25" i="118"/>
  <c r="AO25" i="118"/>
  <c r="AN25" i="118"/>
  <c r="AM25" i="118"/>
  <c r="AL25" i="118"/>
  <c r="AK25" i="118"/>
  <c r="AJ25" i="118"/>
  <c r="AI25" i="118"/>
  <c r="AH25" i="118"/>
  <c r="AG25" i="118"/>
  <c r="AY24" i="118"/>
  <c r="AX24" i="118"/>
  <c r="AW24" i="118"/>
  <c r="AV24" i="118"/>
  <c r="AU24" i="118"/>
  <c r="AT24" i="118"/>
  <c r="AS24" i="118"/>
  <c r="AR24" i="118"/>
  <c r="AQ24" i="118"/>
  <c r="AP24" i="118"/>
  <c r="AO24" i="118"/>
  <c r="AN24" i="118"/>
  <c r="AM24" i="118"/>
  <c r="AL24" i="118"/>
  <c r="AK24" i="118"/>
  <c r="AJ24" i="118"/>
  <c r="AI24" i="118"/>
  <c r="AH24" i="118"/>
  <c r="AG24" i="118"/>
  <c r="AY23" i="118"/>
  <c r="AX23" i="118"/>
  <c r="AW23" i="118"/>
  <c r="AV23" i="118"/>
  <c r="AU23" i="118"/>
  <c r="AT23" i="118"/>
  <c r="AS23" i="118"/>
  <c r="AR23" i="118"/>
  <c r="AQ23" i="118"/>
  <c r="AP23" i="118"/>
  <c r="AO23" i="118"/>
  <c r="AN23" i="118"/>
  <c r="AM23" i="118"/>
  <c r="AL23" i="118"/>
  <c r="AK23" i="118"/>
  <c r="AJ23" i="118"/>
  <c r="AI23" i="118"/>
  <c r="AH23" i="118"/>
  <c r="AG23" i="118"/>
  <c r="AY22" i="118"/>
  <c r="AX22" i="118"/>
  <c r="AW22" i="118"/>
  <c r="AV22" i="118"/>
  <c r="AU22" i="118"/>
  <c r="AT22" i="118"/>
  <c r="AS22" i="118"/>
  <c r="AR22" i="118"/>
  <c r="AQ22" i="118"/>
  <c r="AP22" i="118"/>
  <c r="AO22" i="118"/>
  <c r="AN22" i="118"/>
  <c r="AM22" i="118"/>
  <c r="AL22" i="118"/>
  <c r="AK22" i="118"/>
  <c r="AJ22" i="118"/>
  <c r="AI22" i="118"/>
  <c r="AH22" i="118"/>
  <c r="AG22" i="118"/>
  <c r="AY21" i="118"/>
  <c r="AX21" i="118"/>
  <c r="AW21" i="118"/>
  <c r="AV21" i="118"/>
  <c r="AU21" i="118"/>
  <c r="AT21" i="118"/>
  <c r="AS21" i="118"/>
  <c r="AR21" i="118"/>
  <c r="AQ21" i="118"/>
  <c r="AP21" i="118"/>
  <c r="AO21" i="118"/>
  <c r="AN21" i="118"/>
  <c r="AM21" i="118"/>
  <c r="AL21" i="118"/>
  <c r="AK21" i="118"/>
  <c r="AJ21" i="118"/>
  <c r="AI21" i="118"/>
  <c r="AH21" i="118"/>
  <c r="AG21" i="118"/>
  <c r="AY20" i="118"/>
  <c r="AX20" i="118"/>
  <c r="AW20" i="118"/>
  <c r="AV20" i="118"/>
  <c r="AU20" i="118"/>
  <c r="AT20" i="118"/>
  <c r="AS20" i="118"/>
  <c r="AR20" i="118"/>
  <c r="AQ20" i="118"/>
  <c r="AP20" i="118"/>
  <c r="AO20" i="118"/>
  <c r="AN20" i="118"/>
  <c r="AM20" i="118"/>
  <c r="AL20" i="118"/>
  <c r="AK20" i="118"/>
  <c r="AJ20" i="118"/>
  <c r="AI20" i="118"/>
  <c r="AH20" i="118"/>
  <c r="AG20" i="118"/>
  <c r="AY19" i="118"/>
  <c r="AX19" i="118"/>
  <c r="AW19" i="118"/>
  <c r="AV19" i="118"/>
  <c r="AU19" i="118"/>
  <c r="AT19" i="118"/>
  <c r="AS19" i="118"/>
  <c r="AR19" i="118"/>
  <c r="AQ19" i="118"/>
  <c r="AP19" i="118"/>
  <c r="AO19" i="118"/>
  <c r="AN19" i="118"/>
  <c r="AM19" i="118"/>
  <c r="AL19" i="118"/>
  <c r="AK19" i="118"/>
  <c r="AJ19" i="118"/>
  <c r="AI19" i="118"/>
  <c r="AH19" i="118"/>
  <c r="AG19" i="118"/>
  <c r="AY18" i="118"/>
  <c r="AX18" i="118"/>
  <c r="AW18" i="118"/>
  <c r="AV18" i="118"/>
  <c r="AU18" i="118"/>
  <c r="AT18" i="118"/>
  <c r="AS18" i="118"/>
  <c r="AR18" i="118"/>
  <c r="AQ18" i="118"/>
  <c r="AP18" i="118"/>
  <c r="AO18" i="118"/>
  <c r="AN18" i="118"/>
  <c r="AM18" i="118"/>
  <c r="AL18" i="118"/>
  <c r="AK18" i="118"/>
  <c r="AJ18" i="118"/>
  <c r="AI18" i="118"/>
  <c r="AH18" i="118"/>
  <c r="AG18" i="118"/>
  <c r="AY17" i="118"/>
  <c r="AX17" i="118"/>
  <c r="AW17" i="118"/>
  <c r="AV17" i="118"/>
  <c r="AU17" i="118"/>
  <c r="AT17" i="118"/>
  <c r="AS17" i="118"/>
  <c r="AR17" i="118"/>
  <c r="AQ17" i="118"/>
  <c r="AP17" i="118"/>
  <c r="AO17" i="118"/>
  <c r="AN17" i="118"/>
  <c r="AM17" i="118"/>
  <c r="AL17" i="118"/>
  <c r="AK17" i="118"/>
  <c r="AJ17" i="118"/>
  <c r="AI17" i="118"/>
  <c r="AH17" i="118"/>
  <c r="AG17" i="118"/>
  <c r="AY16" i="118"/>
  <c r="AX16" i="118"/>
  <c r="AW16" i="118"/>
  <c r="AV16" i="118"/>
  <c r="AU16" i="118"/>
  <c r="AT16" i="118"/>
  <c r="AS16" i="118"/>
  <c r="AR16" i="118"/>
  <c r="AQ16" i="118"/>
  <c r="AP16" i="118"/>
  <c r="AO16" i="118"/>
  <c r="AN16" i="118"/>
  <c r="AM16" i="118"/>
  <c r="AL16" i="118"/>
  <c r="AK16" i="118"/>
  <c r="AJ16" i="118"/>
  <c r="AI16" i="118"/>
  <c r="AH16" i="118"/>
  <c r="AG16" i="118"/>
  <c r="AY15" i="118"/>
  <c r="AX15" i="118"/>
  <c r="AW15" i="118"/>
  <c r="AV15" i="118"/>
  <c r="AU15" i="118"/>
  <c r="AT15" i="118"/>
  <c r="AS15" i="118"/>
  <c r="AR15" i="118"/>
  <c r="AQ15" i="118"/>
  <c r="AP15" i="118"/>
  <c r="AO15" i="118"/>
  <c r="AN15" i="118"/>
  <c r="AM15" i="118"/>
  <c r="AL15" i="118"/>
  <c r="AK15" i="118"/>
  <c r="AJ15" i="118"/>
  <c r="AI15" i="118"/>
  <c r="AH15" i="118"/>
  <c r="AG15" i="118"/>
  <c r="AY14" i="118"/>
  <c r="AX14" i="118"/>
  <c r="AW14" i="118"/>
  <c r="AV14" i="118"/>
  <c r="AU14" i="118"/>
  <c r="AT14" i="118"/>
  <c r="AS14" i="118"/>
  <c r="AR14" i="118"/>
  <c r="AQ14" i="118"/>
  <c r="AP14" i="118"/>
  <c r="AO14" i="118"/>
  <c r="AN14" i="118"/>
  <c r="AM14" i="118"/>
  <c r="AL14" i="118"/>
  <c r="AK14" i="118"/>
  <c r="AJ14" i="118"/>
  <c r="AI14" i="118"/>
  <c r="AH14" i="118"/>
  <c r="AG14" i="118"/>
  <c r="AY13" i="118"/>
  <c r="AX13" i="118"/>
  <c r="AW13" i="118"/>
  <c r="AV13" i="118"/>
  <c r="AU13" i="118"/>
  <c r="AT13" i="118"/>
  <c r="AS13" i="118"/>
  <c r="AR13" i="118"/>
  <c r="AQ13" i="118"/>
  <c r="AP13" i="118"/>
  <c r="AO13" i="118"/>
  <c r="AN13" i="118"/>
  <c r="AM13" i="118"/>
  <c r="AL13" i="118"/>
  <c r="AK13" i="118"/>
  <c r="AJ13" i="118"/>
  <c r="AI13" i="118"/>
  <c r="AH13" i="118"/>
  <c r="AG13" i="118"/>
  <c r="AY12" i="118"/>
  <c r="AX12" i="118"/>
  <c r="AW12" i="118"/>
  <c r="AV12" i="118"/>
  <c r="AU12" i="118"/>
  <c r="AT12" i="118"/>
  <c r="AS12" i="118"/>
  <c r="AR12" i="118"/>
  <c r="AQ12" i="118"/>
  <c r="AP12" i="118"/>
  <c r="AO12" i="118"/>
  <c r="AN12" i="118"/>
  <c r="AM12" i="118"/>
  <c r="AL12" i="118"/>
  <c r="AK12" i="118"/>
  <c r="AJ12" i="118"/>
  <c r="AI12" i="118"/>
  <c r="AH12" i="118"/>
  <c r="AG12" i="118"/>
  <c r="AY11" i="118"/>
  <c r="AX11" i="118"/>
  <c r="AW11" i="118"/>
  <c r="AV11" i="118"/>
  <c r="AU11" i="118"/>
  <c r="AT11" i="118"/>
  <c r="AS11" i="118"/>
  <c r="AR11" i="118"/>
  <c r="AQ11" i="118"/>
  <c r="AP11" i="118"/>
  <c r="AO11" i="118"/>
  <c r="AN11" i="118"/>
  <c r="AM11" i="118"/>
  <c r="AL11" i="118"/>
  <c r="AK11" i="118"/>
  <c r="AJ11" i="118"/>
  <c r="AI11" i="118"/>
  <c r="AH11" i="118"/>
  <c r="AG11" i="118"/>
  <c r="AY10" i="118"/>
  <c r="AX10" i="118"/>
  <c r="AW10" i="118"/>
  <c r="AV10" i="118"/>
  <c r="AU10" i="118"/>
  <c r="AT10" i="118"/>
  <c r="AS10" i="118"/>
  <c r="AR10" i="118"/>
  <c r="AQ10" i="118"/>
  <c r="AP10" i="118"/>
  <c r="AO10" i="118"/>
  <c r="AN10" i="118"/>
  <c r="AM10" i="118"/>
  <c r="AL10" i="118"/>
  <c r="AK10" i="118"/>
  <c r="AJ10" i="118"/>
  <c r="AI10" i="118"/>
  <c r="AH10" i="118"/>
  <c r="AG10" i="118"/>
  <c r="AY9" i="118"/>
  <c r="AX9" i="118"/>
  <c r="AW9" i="118"/>
  <c r="AV9" i="118"/>
  <c r="AU9" i="118"/>
  <c r="AT9" i="118"/>
  <c r="AS9" i="118"/>
  <c r="AP9" i="118"/>
  <c r="AO9" i="118"/>
  <c r="AN9" i="118"/>
  <c r="AM9" i="118"/>
  <c r="AL9" i="118"/>
  <c r="AK9" i="118"/>
  <c r="AJ9" i="118"/>
  <c r="AI9" i="118"/>
  <c r="AH9" i="118"/>
  <c r="AG9" i="118"/>
  <c r="E9" i="118"/>
  <c r="D9" i="118"/>
  <c r="C9" i="118"/>
  <c r="AH4" i="118" a="1"/>
  <c r="AO4" i="118" s="1"/>
  <c r="BK10" i="118" s="1"/>
  <c r="AF7" i="118"/>
  <c r="AG7" i="118" s="1"/>
  <c r="AH7" i="118" s="1"/>
  <c r="AI7" i="118" s="1"/>
  <c r="AJ7" i="118" s="1"/>
  <c r="AF3" i="118"/>
  <c r="A1" i="118"/>
  <c r="AD29" i="118" l="1"/>
  <c r="AD13" i="118"/>
  <c r="AD24" i="118"/>
  <c r="AD40" i="118"/>
  <c r="AD19" i="118"/>
  <c r="AD35" i="118"/>
  <c r="AD14" i="118"/>
  <c r="AD30" i="118"/>
  <c r="AD25" i="118"/>
  <c r="AD41" i="118"/>
  <c r="AD20" i="118"/>
  <c r="AD36" i="118"/>
  <c r="AD45" i="118"/>
  <c r="AD15" i="118"/>
  <c r="AD31" i="118"/>
  <c r="AD26" i="118"/>
  <c r="AD42" i="118"/>
  <c r="AD21" i="118"/>
  <c r="AD37" i="118"/>
  <c r="AD16" i="118"/>
  <c r="AD32" i="118"/>
  <c r="AH4" i="118"/>
  <c r="BD10" i="118" s="1"/>
  <c r="AD11" i="118"/>
  <c r="AD27" i="118"/>
  <c r="AI4" i="118"/>
  <c r="BE10" i="118" s="1"/>
  <c r="AD22" i="118"/>
  <c r="AD38" i="118"/>
  <c r="AL4" i="118"/>
  <c r="BH10" i="118" s="1"/>
  <c r="AD17" i="118"/>
  <c r="AD33" i="118"/>
  <c r="AP4" i="118"/>
  <c r="BL10" i="118" s="1"/>
  <c r="AD12" i="118"/>
  <c r="AD28" i="118"/>
  <c r="AQ4" i="118"/>
  <c r="BM10" i="118" s="1"/>
  <c r="AD23" i="118"/>
  <c r="AD39" i="118"/>
  <c r="AD18" i="118"/>
  <c r="AD34" i="118"/>
  <c r="AD43" i="118"/>
  <c r="AD44" i="118"/>
  <c r="AD50" i="118"/>
  <c r="AD46" i="118"/>
  <c r="AD49" i="118"/>
  <c r="AJ4" i="118"/>
  <c r="BF10" i="118" s="1"/>
  <c r="AK4" i="118"/>
  <c r="BG10" i="118" s="1"/>
  <c r="AD48" i="118"/>
  <c r="AM4" i="118"/>
  <c r="BI10" i="118" s="1"/>
  <c r="AN4" i="118"/>
  <c r="BJ10" i="118" s="1"/>
  <c r="AD47" i="118"/>
  <c r="I13" i="57" l="1"/>
  <c r="J13" i="57" s="1"/>
  <c r="A12" i="9"/>
  <c r="A13" i="9" s="1"/>
  <c r="A13" i="40" s="1"/>
  <c r="S45" i="117"/>
  <c r="R45" i="117"/>
  <c r="P45" i="117"/>
  <c r="N45" i="117"/>
  <c r="L45" i="117"/>
  <c r="J45" i="117"/>
  <c r="I45" i="117"/>
  <c r="H45" i="117"/>
  <c r="BU44" i="117"/>
  <c r="BT44" i="117"/>
  <c r="BS44" i="117"/>
  <c r="BR44" i="117"/>
  <c r="BQ44" i="117"/>
  <c r="O44" i="117"/>
  <c r="K44" i="117"/>
  <c r="B44" i="117"/>
  <c r="BU43" i="117"/>
  <c r="BT43" i="117"/>
  <c r="BS43" i="117"/>
  <c r="BR43" i="117"/>
  <c r="BQ43" i="117"/>
  <c r="O43" i="117"/>
  <c r="K43" i="117"/>
  <c r="B43" i="117"/>
  <c r="BU42" i="117"/>
  <c r="BT42" i="117"/>
  <c r="BS42" i="117"/>
  <c r="BR42" i="117"/>
  <c r="BQ42" i="117"/>
  <c r="O42" i="117"/>
  <c r="K42" i="117"/>
  <c r="B42" i="117"/>
  <c r="BU41" i="117"/>
  <c r="BT41" i="117"/>
  <c r="BS41" i="117"/>
  <c r="BR41" i="117"/>
  <c r="BQ41" i="117"/>
  <c r="O41" i="117"/>
  <c r="K41" i="117"/>
  <c r="B41" i="117"/>
  <c r="BU40" i="117"/>
  <c r="BT40" i="117"/>
  <c r="BS40" i="117"/>
  <c r="BR40" i="117"/>
  <c r="BQ40" i="117"/>
  <c r="O40" i="117"/>
  <c r="K40" i="117"/>
  <c r="B40" i="117"/>
  <c r="BU39" i="117"/>
  <c r="BT39" i="117"/>
  <c r="BS39" i="117"/>
  <c r="BR39" i="117"/>
  <c r="BQ39" i="117"/>
  <c r="O39" i="117"/>
  <c r="K39" i="117"/>
  <c r="B39" i="117"/>
  <c r="BU38" i="117"/>
  <c r="BT38" i="117"/>
  <c r="BS38" i="117"/>
  <c r="BR38" i="117"/>
  <c r="BQ38" i="117"/>
  <c r="O38" i="117"/>
  <c r="K38" i="117"/>
  <c r="B38" i="117"/>
  <c r="BU37" i="117"/>
  <c r="BT37" i="117"/>
  <c r="BS37" i="117"/>
  <c r="BR37" i="117"/>
  <c r="BQ37" i="117"/>
  <c r="O37" i="117"/>
  <c r="K37" i="117"/>
  <c r="B37" i="117"/>
  <c r="BU36" i="117"/>
  <c r="BT36" i="117"/>
  <c r="BS36" i="117"/>
  <c r="BR36" i="117"/>
  <c r="BQ36" i="117"/>
  <c r="O36" i="117"/>
  <c r="K36" i="117"/>
  <c r="B36" i="117"/>
  <c r="BU35" i="117"/>
  <c r="BT35" i="117"/>
  <c r="BS35" i="117"/>
  <c r="BR35" i="117"/>
  <c r="BQ35" i="117"/>
  <c r="O35" i="117"/>
  <c r="K35" i="117"/>
  <c r="B35" i="117"/>
  <c r="BU34" i="117"/>
  <c r="BT34" i="117"/>
  <c r="BS34" i="117"/>
  <c r="BR34" i="117"/>
  <c r="BQ34" i="117"/>
  <c r="O34" i="117"/>
  <c r="K34" i="117"/>
  <c r="B34" i="117"/>
  <c r="BU33" i="117"/>
  <c r="BT33" i="117"/>
  <c r="BS33" i="117"/>
  <c r="BR33" i="117"/>
  <c r="BQ33" i="117"/>
  <c r="O33" i="117"/>
  <c r="K33" i="117"/>
  <c r="B33" i="117"/>
  <c r="BU32" i="117"/>
  <c r="BT32" i="117"/>
  <c r="BS32" i="117"/>
  <c r="BR32" i="117"/>
  <c r="BQ32" i="117"/>
  <c r="O32" i="117"/>
  <c r="K32" i="117"/>
  <c r="B32" i="117"/>
  <c r="BU31" i="117"/>
  <c r="BT31" i="117"/>
  <c r="BS31" i="117"/>
  <c r="BR31" i="117"/>
  <c r="BQ31" i="117"/>
  <c r="O31" i="117"/>
  <c r="K31" i="117"/>
  <c r="B31" i="117"/>
  <c r="BU30" i="117"/>
  <c r="BT30" i="117"/>
  <c r="BS30" i="117"/>
  <c r="BR30" i="117"/>
  <c r="BQ30" i="117"/>
  <c r="O30" i="117"/>
  <c r="K30" i="117"/>
  <c r="B30" i="117"/>
  <c r="BU29" i="117"/>
  <c r="BT29" i="117"/>
  <c r="BS29" i="117"/>
  <c r="BR29" i="117"/>
  <c r="BQ29" i="117"/>
  <c r="O29" i="117"/>
  <c r="K29" i="117"/>
  <c r="B29" i="117"/>
  <c r="BU28" i="117"/>
  <c r="BT28" i="117"/>
  <c r="BS28" i="117"/>
  <c r="BR28" i="117"/>
  <c r="BQ28" i="117"/>
  <c r="O28" i="117"/>
  <c r="K28" i="117"/>
  <c r="B28" i="117"/>
  <c r="BU27" i="117"/>
  <c r="BT27" i="117"/>
  <c r="BS27" i="117"/>
  <c r="BR27" i="117"/>
  <c r="BQ27" i="117"/>
  <c r="O27" i="117"/>
  <c r="K27" i="117"/>
  <c r="B27" i="117"/>
  <c r="BU26" i="117"/>
  <c r="BT26" i="117"/>
  <c r="BS26" i="117"/>
  <c r="BR26" i="117"/>
  <c r="BQ26" i="117"/>
  <c r="O26" i="117"/>
  <c r="K26" i="117"/>
  <c r="B26" i="117"/>
  <c r="BU25" i="117"/>
  <c r="BT25" i="117"/>
  <c r="BS25" i="117"/>
  <c r="BR25" i="117"/>
  <c r="BQ25" i="117"/>
  <c r="O25" i="117"/>
  <c r="K25" i="117"/>
  <c r="B25" i="117"/>
  <c r="BU24" i="117"/>
  <c r="BT24" i="117"/>
  <c r="BS24" i="117"/>
  <c r="BR24" i="117"/>
  <c r="BQ24" i="117"/>
  <c r="O24" i="117"/>
  <c r="K24" i="117"/>
  <c r="B24" i="117"/>
  <c r="BU23" i="117"/>
  <c r="BT23" i="117"/>
  <c r="BS23" i="117"/>
  <c r="BR23" i="117"/>
  <c r="BQ23" i="117"/>
  <c r="O23" i="117"/>
  <c r="K23" i="117"/>
  <c r="B23" i="117"/>
  <c r="BU22" i="117"/>
  <c r="BT22" i="117"/>
  <c r="BS22" i="117"/>
  <c r="BR22" i="117"/>
  <c r="BQ22" i="117"/>
  <c r="O22" i="117"/>
  <c r="K22" i="117"/>
  <c r="B22" i="117"/>
  <c r="BU21" i="117"/>
  <c r="BT21" i="117"/>
  <c r="BS21" i="117"/>
  <c r="BR21" i="117"/>
  <c r="BQ21" i="117"/>
  <c r="O21" i="117"/>
  <c r="K21" i="117"/>
  <c r="B21" i="117"/>
  <c r="BU20" i="117"/>
  <c r="BT20" i="117"/>
  <c r="BS20" i="117"/>
  <c r="BR20" i="117"/>
  <c r="BQ20" i="117"/>
  <c r="O20" i="117"/>
  <c r="K20" i="117"/>
  <c r="B20" i="117"/>
  <c r="BU19" i="117"/>
  <c r="BT19" i="117"/>
  <c r="BS19" i="117"/>
  <c r="BR19" i="117"/>
  <c r="BQ19" i="117"/>
  <c r="O19" i="117"/>
  <c r="K19" i="117"/>
  <c r="B19" i="117"/>
  <c r="BU18" i="117"/>
  <c r="BT18" i="117"/>
  <c r="BS18" i="117"/>
  <c r="BR18" i="117"/>
  <c r="BQ18" i="117"/>
  <c r="O18" i="117"/>
  <c r="K18" i="117"/>
  <c r="B18" i="117"/>
  <c r="BU17" i="117"/>
  <c r="BT17" i="117"/>
  <c r="BS17" i="117"/>
  <c r="BR17" i="117"/>
  <c r="BQ17" i="117"/>
  <c r="O17" i="117"/>
  <c r="K17" i="117"/>
  <c r="B17" i="117"/>
  <c r="BU16" i="117"/>
  <c r="BT16" i="117"/>
  <c r="BS16" i="117"/>
  <c r="BR16" i="117"/>
  <c r="BQ16" i="117"/>
  <c r="O16" i="117"/>
  <c r="K16" i="117"/>
  <c r="B16" i="117"/>
  <c r="BU15" i="117"/>
  <c r="BT15" i="117"/>
  <c r="BS15" i="117"/>
  <c r="BR15" i="117"/>
  <c r="BQ15" i="117"/>
  <c r="O15" i="117"/>
  <c r="K15" i="117"/>
  <c r="B15" i="117"/>
  <c r="BU14" i="117"/>
  <c r="BT14" i="117"/>
  <c r="BS14" i="117"/>
  <c r="BR14" i="117"/>
  <c r="BQ14" i="117"/>
  <c r="V13" i="117"/>
  <c r="BC13" i="117" s="1"/>
  <c r="U13" i="117"/>
  <c r="BB13" i="117" s="1"/>
  <c r="D13" i="117"/>
  <c r="C13" i="117"/>
  <c r="F11" i="117"/>
  <c r="F10" i="117"/>
  <c r="H9" i="117"/>
  <c r="F9" i="117"/>
  <c r="H8" i="117"/>
  <c r="F8" i="117"/>
  <c r="H7" i="117"/>
  <c r="F7" i="117"/>
  <c r="H6" i="117"/>
  <c r="F6" i="117"/>
  <c r="H5" i="117"/>
  <c r="F5" i="117"/>
  <c r="F4" i="117"/>
  <c r="AK3" i="117"/>
  <c r="T3" i="117"/>
  <c r="S3" i="117"/>
  <c r="AT2" i="117"/>
  <c r="AS2" i="117"/>
  <c r="AR2" i="117"/>
  <c r="AQ2" i="117"/>
  <c r="AP2" i="117"/>
  <c r="AO2" i="117"/>
  <c r="AN2" i="117"/>
  <c r="T2" i="117"/>
  <c r="S2" i="117"/>
  <c r="F1" i="117"/>
  <c r="B50" i="61" s="1"/>
  <c r="AD50" i="61" s="1"/>
  <c r="S45" i="116"/>
  <c r="R45" i="116"/>
  <c r="P45" i="116"/>
  <c r="N45" i="116"/>
  <c r="L45" i="116"/>
  <c r="J45" i="116"/>
  <c r="I45" i="116"/>
  <c r="H45" i="116"/>
  <c r="BU44" i="116"/>
  <c r="BT44" i="116"/>
  <c r="BS44" i="116"/>
  <c r="BR44" i="116"/>
  <c r="BQ44" i="116"/>
  <c r="O44" i="116"/>
  <c r="K44" i="116"/>
  <c r="B44" i="116"/>
  <c r="BU43" i="116"/>
  <c r="BT43" i="116"/>
  <c r="BS43" i="116"/>
  <c r="BR43" i="116"/>
  <c r="BQ43" i="116"/>
  <c r="O43" i="116"/>
  <c r="K43" i="116"/>
  <c r="B43" i="116"/>
  <c r="BU42" i="116"/>
  <c r="BT42" i="116"/>
  <c r="BS42" i="116"/>
  <c r="BR42" i="116"/>
  <c r="BQ42" i="116"/>
  <c r="O42" i="116"/>
  <c r="K42" i="116"/>
  <c r="B42" i="116"/>
  <c r="BU41" i="116"/>
  <c r="BT41" i="116"/>
  <c r="BS41" i="116"/>
  <c r="BR41" i="116"/>
  <c r="BQ41" i="116"/>
  <c r="O41" i="116"/>
  <c r="K41" i="116"/>
  <c r="B41" i="116"/>
  <c r="BU40" i="116"/>
  <c r="BT40" i="116"/>
  <c r="BS40" i="116"/>
  <c r="BR40" i="116"/>
  <c r="BQ40" i="116"/>
  <c r="O40" i="116"/>
  <c r="K40" i="116"/>
  <c r="B40" i="116"/>
  <c r="BU39" i="116"/>
  <c r="BT39" i="116"/>
  <c r="BS39" i="116"/>
  <c r="BR39" i="116"/>
  <c r="BQ39" i="116"/>
  <c r="O39" i="116"/>
  <c r="K39" i="116"/>
  <c r="B39" i="116"/>
  <c r="BU38" i="116"/>
  <c r="BT38" i="116"/>
  <c r="BS38" i="116"/>
  <c r="BR38" i="116"/>
  <c r="BQ38" i="116"/>
  <c r="O38" i="116"/>
  <c r="K38" i="116"/>
  <c r="B38" i="116"/>
  <c r="BU37" i="116"/>
  <c r="BT37" i="116"/>
  <c r="BS37" i="116"/>
  <c r="BR37" i="116"/>
  <c r="BQ37" i="116"/>
  <c r="O37" i="116"/>
  <c r="K37" i="116"/>
  <c r="B37" i="116"/>
  <c r="BU36" i="116"/>
  <c r="BT36" i="116"/>
  <c r="BS36" i="116"/>
  <c r="BR36" i="116"/>
  <c r="BQ36" i="116"/>
  <c r="O36" i="116"/>
  <c r="K36" i="116"/>
  <c r="B36" i="116"/>
  <c r="BU35" i="116"/>
  <c r="BT35" i="116"/>
  <c r="BS35" i="116"/>
  <c r="BR35" i="116"/>
  <c r="BQ35" i="116"/>
  <c r="O35" i="116"/>
  <c r="K35" i="116"/>
  <c r="B35" i="116"/>
  <c r="BU34" i="116"/>
  <c r="BT34" i="116"/>
  <c r="BS34" i="116"/>
  <c r="BR34" i="116"/>
  <c r="BQ34" i="116"/>
  <c r="O34" i="116"/>
  <c r="K34" i="116"/>
  <c r="B34" i="116"/>
  <c r="BU33" i="116"/>
  <c r="BT33" i="116"/>
  <c r="BS33" i="116"/>
  <c r="BR33" i="116"/>
  <c r="BQ33" i="116"/>
  <c r="O33" i="116"/>
  <c r="K33" i="116"/>
  <c r="B33" i="116"/>
  <c r="BU32" i="116"/>
  <c r="BT32" i="116"/>
  <c r="BS32" i="116"/>
  <c r="BR32" i="116"/>
  <c r="BQ32" i="116"/>
  <c r="O32" i="116"/>
  <c r="K32" i="116"/>
  <c r="B32" i="116"/>
  <c r="BU31" i="116"/>
  <c r="BT31" i="116"/>
  <c r="BS31" i="116"/>
  <c r="BR31" i="116"/>
  <c r="BQ31" i="116"/>
  <c r="O31" i="116"/>
  <c r="K31" i="116"/>
  <c r="B31" i="116"/>
  <c r="BU30" i="116"/>
  <c r="BT30" i="116"/>
  <c r="BS30" i="116"/>
  <c r="BR30" i="116"/>
  <c r="BQ30" i="116"/>
  <c r="O30" i="116"/>
  <c r="K30" i="116"/>
  <c r="B30" i="116"/>
  <c r="BU29" i="116"/>
  <c r="BT29" i="116"/>
  <c r="BS29" i="116"/>
  <c r="BR29" i="116"/>
  <c r="BQ29" i="116"/>
  <c r="O29" i="116"/>
  <c r="K29" i="116"/>
  <c r="B29" i="116"/>
  <c r="BU28" i="116"/>
  <c r="BT28" i="116"/>
  <c r="BS28" i="116"/>
  <c r="BR28" i="116"/>
  <c r="BQ28" i="116"/>
  <c r="O28" i="116"/>
  <c r="K28" i="116"/>
  <c r="B28" i="116"/>
  <c r="BU27" i="116"/>
  <c r="BT27" i="116"/>
  <c r="BS27" i="116"/>
  <c r="BR27" i="116"/>
  <c r="BQ27" i="116"/>
  <c r="O27" i="116"/>
  <c r="K27" i="116"/>
  <c r="B27" i="116"/>
  <c r="BU26" i="116"/>
  <c r="BT26" i="116"/>
  <c r="BS26" i="116"/>
  <c r="BR26" i="116"/>
  <c r="BQ26" i="116"/>
  <c r="O26" i="116"/>
  <c r="K26" i="116"/>
  <c r="B26" i="116"/>
  <c r="BU25" i="116"/>
  <c r="BT25" i="116"/>
  <c r="BS25" i="116"/>
  <c r="BR25" i="116"/>
  <c r="BQ25" i="116"/>
  <c r="O25" i="116"/>
  <c r="K25" i="116"/>
  <c r="B25" i="116"/>
  <c r="BU24" i="116"/>
  <c r="BT24" i="116"/>
  <c r="BS24" i="116"/>
  <c r="BR24" i="116"/>
  <c r="BQ24" i="116"/>
  <c r="O24" i="116"/>
  <c r="K24" i="116"/>
  <c r="B24" i="116"/>
  <c r="BU23" i="116"/>
  <c r="BT23" i="116"/>
  <c r="BS23" i="116"/>
  <c r="BR23" i="116"/>
  <c r="BQ23" i="116"/>
  <c r="O23" i="116"/>
  <c r="K23" i="116"/>
  <c r="B23" i="116"/>
  <c r="BU22" i="116"/>
  <c r="BT22" i="116"/>
  <c r="BS22" i="116"/>
  <c r="BR22" i="116"/>
  <c r="BQ22" i="116"/>
  <c r="O22" i="116"/>
  <c r="K22" i="116"/>
  <c r="B22" i="116"/>
  <c r="BU21" i="116"/>
  <c r="BT21" i="116"/>
  <c r="BS21" i="116"/>
  <c r="BR21" i="116"/>
  <c r="BQ21" i="116"/>
  <c r="O21" i="116"/>
  <c r="K21" i="116"/>
  <c r="B21" i="116"/>
  <c r="BU20" i="116"/>
  <c r="BT20" i="116"/>
  <c r="BS20" i="116"/>
  <c r="BR20" i="116"/>
  <c r="BQ20" i="116"/>
  <c r="O20" i="116"/>
  <c r="K20" i="116"/>
  <c r="B20" i="116"/>
  <c r="BU19" i="116"/>
  <c r="BT19" i="116"/>
  <c r="BS19" i="116"/>
  <c r="BR19" i="116"/>
  <c r="BQ19" i="116"/>
  <c r="O19" i="116"/>
  <c r="K19" i="116"/>
  <c r="B19" i="116"/>
  <c r="BU18" i="116"/>
  <c r="BT18" i="116"/>
  <c r="BS18" i="116"/>
  <c r="BR18" i="116"/>
  <c r="BQ18" i="116"/>
  <c r="O18" i="116"/>
  <c r="K18" i="116"/>
  <c r="B18" i="116"/>
  <c r="BU17" i="116"/>
  <c r="BT17" i="116"/>
  <c r="BS17" i="116"/>
  <c r="BR17" i="116"/>
  <c r="BQ17" i="116"/>
  <c r="O17" i="116"/>
  <c r="K17" i="116"/>
  <c r="B17" i="116"/>
  <c r="BU16" i="116"/>
  <c r="BT16" i="116"/>
  <c r="BS16" i="116"/>
  <c r="BR16" i="116"/>
  <c r="BQ16" i="116"/>
  <c r="O16" i="116"/>
  <c r="K16" i="116"/>
  <c r="B16" i="116"/>
  <c r="BU15" i="116"/>
  <c r="BT15" i="116"/>
  <c r="BS15" i="116"/>
  <c r="BR15" i="116"/>
  <c r="BQ15" i="116"/>
  <c r="O15" i="116"/>
  <c r="K15" i="116"/>
  <c r="B15" i="116"/>
  <c r="BU14" i="116"/>
  <c r="BT14" i="116"/>
  <c r="BS14" i="116"/>
  <c r="BR14" i="116"/>
  <c r="BQ14" i="116"/>
  <c r="V13" i="116"/>
  <c r="BC13" i="116" s="1"/>
  <c r="U13" i="116"/>
  <c r="BB13" i="116" s="1"/>
  <c r="D13" i="116"/>
  <c r="C13" i="116"/>
  <c r="F11" i="116"/>
  <c r="F10" i="116"/>
  <c r="H9" i="116"/>
  <c r="F9" i="116"/>
  <c r="H8" i="116"/>
  <c r="F8" i="116"/>
  <c r="H7" i="116"/>
  <c r="F7" i="116"/>
  <c r="H6" i="116"/>
  <c r="F6" i="116"/>
  <c r="H5" i="116"/>
  <c r="F5" i="116"/>
  <c r="F4" i="116"/>
  <c r="AK3" i="116"/>
  <c r="T3" i="116"/>
  <c r="S3" i="116"/>
  <c r="AT2" i="116"/>
  <c r="AS2" i="116"/>
  <c r="AR2" i="116"/>
  <c r="AQ2" i="116"/>
  <c r="AP2" i="116"/>
  <c r="AO2" i="116"/>
  <c r="AN2" i="116"/>
  <c r="T2" i="116"/>
  <c r="S2" i="116"/>
  <c r="F1" i="116"/>
  <c r="B49" i="61" s="1"/>
  <c r="S45" i="115"/>
  <c r="R45" i="115"/>
  <c r="P45" i="115"/>
  <c r="N45" i="115"/>
  <c r="L45" i="115"/>
  <c r="J45" i="115"/>
  <c r="I45" i="115"/>
  <c r="H45" i="115"/>
  <c r="BU44" i="115"/>
  <c r="BT44" i="115"/>
  <c r="BS44" i="115"/>
  <c r="BR44" i="115"/>
  <c r="BQ44" i="115"/>
  <c r="O44" i="115"/>
  <c r="K44" i="115"/>
  <c r="B44" i="115"/>
  <c r="BU43" i="115"/>
  <c r="BT43" i="115"/>
  <c r="BS43" i="115"/>
  <c r="BR43" i="115"/>
  <c r="BQ43" i="115"/>
  <c r="O43" i="115"/>
  <c r="K43" i="115"/>
  <c r="B43" i="115"/>
  <c r="BU42" i="115"/>
  <c r="BT42" i="115"/>
  <c r="BS42" i="115"/>
  <c r="BR42" i="115"/>
  <c r="BQ42" i="115"/>
  <c r="O42" i="115"/>
  <c r="K42" i="115"/>
  <c r="B42" i="115"/>
  <c r="BU41" i="115"/>
  <c r="BT41" i="115"/>
  <c r="BS41" i="115"/>
  <c r="BR41" i="115"/>
  <c r="BQ41" i="115"/>
  <c r="O41" i="115"/>
  <c r="K41" i="115"/>
  <c r="B41" i="115"/>
  <c r="BU40" i="115"/>
  <c r="BT40" i="115"/>
  <c r="BS40" i="115"/>
  <c r="BR40" i="115"/>
  <c r="BQ40" i="115"/>
  <c r="O40" i="115"/>
  <c r="K40" i="115"/>
  <c r="B40" i="115"/>
  <c r="BU39" i="115"/>
  <c r="BT39" i="115"/>
  <c r="BS39" i="115"/>
  <c r="BR39" i="115"/>
  <c r="BQ39" i="115"/>
  <c r="O39" i="115"/>
  <c r="K39" i="115"/>
  <c r="B39" i="115"/>
  <c r="BU38" i="115"/>
  <c r="BT38" i="115"/>
  <c r="BS38" i="115"/>
  <c r="BR38" i="115"/>
  <c r="BQ38" i="115"/>
  <c r="O38" i="115"/>
  <c r="K38" i="115"/>
  <c r="B38" i="115"/>
  <c r="BU37" i="115"/>
  <c r="BT37" i="115"/>
  <c r="BS37" i="115"/>
  <c r="BR37" i="115"/>
  <c r="BQ37" i="115"/>
  <c r="O37" i="115"/>
  <c r="K37" i="115"/>
  <c r="B37" i="115"/>
  <c r="BU36" i="115"/>
  <c r="BT36" i="115"/>
  <c r="BS36" i="115"/>
  <c r="BR36" i="115"/>
  <c r="BQ36" i="115"/>
  <c r="O36" i="115"/>
  <c r="K36" i="115"/>
  <c r="B36" i="115"/>
  <c r="BU35" i="115"/>
  <c r="BT35" i="115"/>
  <c r="BS35" i="115"/>
  <c r="BR35" i="115"/>
  <c r="BQ35" i="115"/>
  <c r="O35" i="115"/>
  <c r="K35" i="115"/>
  <c r="B35" i="115"/>
  <c r="BU34" i="115"/>
  <c r="BT34" i="115"/>
  <c r="BS34" i="115"/>
  <c r="BR34" i="115"/>
  <c r="BQ34" i="115"/>
  <c r="O34" i="115"/>
  <c r="K34" i="115"/>
  <c r="B34" i="115"/>
  <c r="BU33" i="115"/>
  <c r="BT33" i="115"/>
  <c r="BS33" i="115"/>
  <c r="BR33" i="115"/>
  <c r="BQ33" i="115"/>
  <c r="O33" i="115"/>
  <c r="K33" i="115"/>
  <c r="B33" i="115"/>
  <c r="BU32" i="115"/>
  <c r="BT32" i="115"/>
  <c r="BS32" i="115"/>
  <c r="BR32" i="115"/>
  <c r="BQ32" i="115"/>
  <c r="O32" i="115"/>
  <c r="K32" i="115"/>
  <c r="B32" i="115"/>
  <c r="BU31" i="115"/>
  <c r="BT31" i="115"/>
  <c r="BS31" i="115"/>
  <c r="BR31" i="115"/>
  <c r="BQ31" i="115"/>
  <c r="O31" i="115"/>
  <c r="K31" i="115"/>
  <c r="B31" i="115"/>
  <c r="BU30" i="115"/>
  <c r="BT30" i="115"/>
  <c r="BS30" i="115"/>
  <c r="BR30" i="115"/>
  <c r="BQ30" i="115"/>
  <c r="O30" i="115"/>
  <c r="K30" i="115"/>
  <c r="B30" i="115"/>
  <c r="BU29" i="115"/>
  <c r="BT29" i="115"/>
  <c r="BS29" i="115"/>
  <c r="BR29" i="115"/>
  <c r="BQ29" i="115"/>
  <c r="O29" i="115"/>
  <c r="K29" i="115"/>
  <c r="B29" i="115"/>
  <c r="BU28" i="115"/>
  <c r="BT28" i="115"/>
  <c r="BS28" i="115"/>
  <c r="BR28" i="115"/>
  <c r="BQ28" i="115"/>
  <c r="O28" i="115"/>
  <c r="K28" i="115"/>
  <c r="B28" i="115"/>
  <c r="BU27" i="115"/>
  <c r="BT27" i="115"/>
  <c r="BS27" i="115"/>
  <c r="BR27" i="115"/>
  <c r="BQ27" i="115"/>
  <c r="O27" i="115"/>
  <c r="K27" i="115"/>
  <c r="B27" i="115"/>
  <c r="BU26" i="115"/>
  <c r="BT26" i="115"/>
  <c r="BS26" i="115"/>
  <c r="BR26" i="115"/>
  <c r="BQ26" i="115"/>
  <c r="O26" i="115"/>
  <c r="K26" i="115"/>
  <c r="B26" i="115"/>
  <c r="BU25" i="115"/>
  <c r="BT25" i="115"/>
  <c r="BS25" i="115"/>
  <c r="BR25" i="115"/>
  <c r="BQ25" i="115"/>
  <c r="O25" i="115"/>
  <c r="K25" i="115"/>
  <c r="B25" i="115"/>
  <c r="BU24" i="115"/>
  <c r="BT24" i="115"/>
  <c r="BS24" i="115"/>
  <c r="BR24" i="115"/>
  <c r="BQ24" i="115"/>
  <c r="O24" i="115"/>
  <c r="K24" i="115"/>
  <c r="B24" i="115"/>
  <c r="BU23" i="115"/>
  <c r="BT23" i="115"/>
  <c r="BS23" i="115"/>
  <c r="BR23" i="115"/>
  <c r="BQ23" i="115"/>
  <c r="O23" i="115"/>
  <c r="K23" i="115"/>
  <c r="B23" i="115"/>
  <c r="BU22" i="115"/>
  <c r="BT22" i="115"/>
  <c r="BS22" i="115"/>
  <c r="BR22" i="115"/>
  <c r="BQ22" i="115"/>
  <c r="O22" i="115"/>
  <c r="K22" i="115"/>
  <c r="B22" i="115"/>
  <c r="BU21" i="115"/>
  <c r="BT21" i="115"/>
  <c r="BS21" i="115"/>
  <c r="BR21" i="115"/>
  <c r="BQ21" i="115"/>
  <c r="O21" i="115"/>
  <c r="K21" i="115"/>
  <c r="B21" i="115"/>
  <c r="BU20" i="115"/>
  <c r="BT20" i="115"/>
  <c r="BS20" i="115"/>
  <c r="BR20" i="115"/>
  <c r="BQ20" i="115"/>
  <c r="O20" i="115"/>
  <c r="K20" i="115"/>
  <c r="B20" i="115"/>
  <c r="BU19" i="115"/>
  <c r="BT19" i="115"/>
  <c r="BS19" i="115"/>
  <c r="BR19" i="115"/>
  <c r="BQ19" i="115"/>
  <c r="O19" i="115"/>
  <c r="K19" i="115"/>
  <c r="B19" i="115"/>
  <c r="BU18" i="115"/>
  <c r="BT18" i="115"/>
  <c r="BS18" i="115"/>
  <c r="BR18" i="115"/>
  <c r="BQ18" i="115"/>
  <c r="O18" i="115"/>
  <c r="K18" i="115"/>
  <c r="B18" i="115"/>
  <c r="BU17" i="115"/>
  <c r="BT17" i="115"/>
  <c r="BS17" i="115"/>
  <c r="BR17" i="115"/>
  <c r="BQ17" i="115"/>
  <c r="O17" i="115"/>
  <c r="K17" i="115"/>
  <c r="B17" i="115"/>
  <c r="BU16" i="115"/>
  <c r="BT16" i="115"/>
  <c r="BS16" i="115"/>
  <c r="BR16" i="115"/>
  <c r="BQ16" i="115"/>
  <c r="O16" i="115"/>
  <c r="K16" i="115"/>
  <c r="B16" i="115"/>
  <c r="BU15" i="115"/>
  <c r="BT15" i="115"/>
  <c r="BS15" i="115"/>
  <c r="BR15" i="115"/>
  <c r="BQ15" i="115"/>
  <c r="O15" i="115"/>
  <c r="K15" i="115"/>
  <c r="B15" i="115"/>
  <c r="BU14" i="115"/>
  <c r="BT14" i="115"/>
  <c r="BS14" i="115"/>
  <c r="BR14" i="115"/>
  <c r="BQ14" i="115"/>
  <c r="V13" i="115"/>
  <c r="BC13" i="115" s="1"/>
  <c r="U13" i="115"/>
  <c r="BB13" i="115" s="1"/>
  <c r="D13" i="115"/>
  <c r="C13" i="115"/>
  <c r="F11" i="115"/>
  <c r="F10" i="115"/>
  <c r="H9" i="115"/>
  <c r="F9" i="115"/>
  <c r="H8" i="115"/>
  <c r="F8" i="115"/>
  <c r="H7" i="115"/>
  <c r="F7" i="115"/>
  <c r="H6" i="115"/>
  <c r="F6" i="115"/>
  <c r="H5" i="115"/>
  <c r="F5" i="115"/>
  <c r="F4" i="115"/>
  <c r="AK3" i="115"/>
  <c r="T3" i="115"/>
  <c r="S3" i="115"/>
  <c r="AT2" i="115"/>
  <c r="AS2" i="115"/>
  <c r="AR2" i="115"/>
  <c r="AQ2" i="115"/>
  <c r="AP2" i="115"/>
  <c r="AO2" i="115"/>
  <c r="AN2" i="115"/>
  <c r="T2" i="115"/>
  <c r="S2" i="115"/>
  <c r="F1" i="115"/>
  <c r="S45" i="114"/>
  <c r="R45" i="114"/>
  <c r="P45" i="114"/>
  <c r="N45" i="114"/>
  <c r="L45" i="114"/>
  <c r="J45" i="114"/>
  <c r="I45" i="114"/>
  <c r="H45" i="114"/>
  <c r="BU44" i="114"/>
  <c r="BT44" i="114"/>
  <c r="BS44" i="114"/>
  <c r="BR44" i="114"/>
  <c r="BQ44" i="114"/>
  <c r="O44" i="114"/>
  <c r="K44" i="114"/>
  <c r="B44" i="114"/>
  <c r="BU43" i="114"/>
  <c r="BT43" i="114"/>
  <c r="BS43" i="114"/>
  <c r="BR43" i="114"/>
  <c r="BQ43" i="114"/>
  <c r="O43" i="114"/>
  <c r="K43" i="114"/>
  <c r="B43" i="114"/>
  <c r="BU42" i="114"/>
  <c r="BT42" i="114"/>
  <c r="BS42" i="114"/>
  <c r="BR42" i="114"/>
  <c r="BQ42" i="114"/>
  <c r="O42" i="114"/>
  <c r="K42" i="114"/>
  <c r="B42" i="114"/>
  <c r="BU41" i="114"/>
  <c r="BT41" i="114"/>
  <c r="BS41" i="114"/>
  <c r="BR41" i="114"/>
  <c r="BQ41" i="114"/>
  <c r="O41" i="114"/>
  <c r="K41" i="114"/>
  <c r="B41" i="114"/>
  <c r="BU40" i="114"/>
  <c r="BT40" i="114"/>
  <c r="BS40" i="114"/>
  <c r="BR40" i="114"/>
  <c r="BQ40" i="114"/>
  <c r="O40" i="114"/>
  <c r="K40" i="114"/>
  <c r="B40" i="114"/>
  <c r="BU39" i="114"/>
  <c r="BT39" i="114"/>
  <c r="BS39" i="114"/>
  <c r="BR39" i="114"/>
  <c r="BQ39" i="114"/>
  <c r="O39" i="114"/>
  <c r="K39" i="114"/>
  <c r="B39" i="114"/>
  <c r="BU38" i="114"/>
  <c r="BT38" i="114"/>
  <c r="BS38" i="114"/>
  <c r="BR38" i="114"/>
  <c r="BQ38" i="114"/>
  <c r="O38" i="114"/>
  <c r="K38" i="114"/>
  <c r="B38" i="114"/>
  <c r="BU37" i="114"/>
  <c r="BT37" i="114"/>
  <c r="BS37" i="114"/>
  <c r="BR37" i="114"/>
  <c r="BQ37" i="114"/>
  <c r="O37" i="114"/>
  <c r="K37" i="114"/>
  <c r="B37" i="114"/>
  <c r="BU36" i="114"/>
  <c r="BT36" i="114"/>
  <c r="BS36" i="114"/>
  <c r="BR36" i="114"/>
  <c r="BQ36" i="114"/>
  <c r="O36" i="114"/>
  <c r="K36" i="114"/>
  <c r="B36" i="114"/>
  <c r="BU35" i="114"/>
  <c r="BT35" i="114"/>
  <c r="BS35" i="114"/>
  <c r="BR35" i="114"/>
  <c r="BQ35" i="114"/>
  <c r="O35" i="114"/>
  <c r="K35" i="114"/>
  <c r="B35" i="114"/>
  <c r="BU34" i="114"/>
  <c r="BT34" i="114"/>
  <c r="BS34" i="114"/>
  <c r="BR34" i="114"/>
  <c r="BQ34" i="114"/>
  <c r="O34" i="114"/>
  <c r="K34" i="114"/>
  <c r="B34" i="114"/>
  <c r="BU33" i="114"/>
  <c r="BT33" i="114"/>
  <c r="BS33" i="114"/>
  <c r="BR33" i="114"/>
  <c r="BQ33" i="114"/>
  <c r="O33" i="114"/>
  <c r="K33" i="114"/>
  <c r="B33" i="114"/>
  <c r="BU32" i="114"/>
  <c r="BT32" i="114"/>
  <c r="BS32" i="114"/>
  <c r="BR32" i="114"/>
  <c r="BQ32" i="114"/>
  <c r="O32" i="114"/>
  <c r="K32" i="114"/>
  <c r="B32" i="114"/>
  <c r="BU31" i="114"/>
  <c r="BT31" i="114"/>
  <c r="BS31" i="114"/>
  <c r="BR31" i="114"/>
  <c r="BQ31" i="114"/>
  <c r="O31" i="114"/>
  <c r="K31" i="114"/>
  <c r="B31" i="114"/>
  <c r="BU30" i="114"/>
  <c r="BT30" i="114"/>
  <c r="BS30" i="114"/>
  <c r="BR30" i="114"/>
  <c r="BQ30" i="114"/>
  <c r="O30" i="114"/>
  <c r="K30" i="114"/>
  <c r="B30" i="114"/>
  <c r="BU29" i="114"/>
  <c r="BT29" i="114"/>
  <c r="BS29" i="114"/>
  <c r="BR29" i="114"/>
  <c r="BQ29" i="114"/>
  <c r="O29" i="114"/>
  <c r="K29" i="114"/>
  <c r="B29" i="114"/>
  <c r="BU28" i="114"/>
  <c r="BT28" i="114"/>
  <c r="BS28" i="114"/>
  <c r="BR28" i="114"/>
  <c r="BQ28" i="114"/>
  <c r="O28" i="114"/>
  <c r="K28" i="114"/>
  <c r="B28" i="114"/>
  <c r="BU27" i="114"/>
  <c r="BT27" i="114"/>
  <c r="BS27" i="114"/>
  <c r="BR27" i="114"/>
  <c r="BQ27" i="114"/>
  <c r="O27" i="114"/>
  <c r="K27" i="114"/>
  <c r="B27" i="114"/>
  <c r="BU26" i="114"/>
  <c r="BT26" i="114"/>
  <c r="BS26" i="114"/>
  <c r="BR26" i="114"/>
  <c r="BQ26" i="114"/>
  <c r="O26" i="114"/>
  <c r="K26" i="114"/>
  <c r="B26" i="114"/>
  <c r="BU25" i="114"/>
  <c r="BT25" i="114"/>
  <c r="BS25" i="114"/>
  <c r="BR25" i="114"/>
  <c r="BQ25" i="114"/>
  <c r="O25" i="114"/>
  <c r="K25" i="114"/>
  <c r="B25" i="114"/>
  <c r="BU24" i="114"/>
  <c r="BT24" i="114"/>
  <c r="BS24" i="114"/>
  <c r="BR24" i="114"/>
  <c r="BQ24" i="114"/>
  <c r="O24" i="114"/>
  <c r="K24" i="114"/>
  <c r="B24" i="114"/>
  <c r="BU23" i="114"/>
  <c r="BT23" i="114"/>
  <c r="BS23" i="114"/>
  <c r="BR23" i="114"/>
  <c r="BQ23" i="114"/>
  <c r="O23" i="114"/>
  <c r="K23" i="114"/>
  <c r="B23" i="114"/>
  <c r="BU22" i="114"/>
  <c r="BT22" i="114"/>
  <c r="BS22" i="114"/>
  <c r="BR22" i="114"/>
  <c r="BQ22" i="114"/>
  <c r="O22" i="114"/>
  <c r="K22" i="114"/>
  <c r="B22" i="114"/>
  <c r="BU21" i="114"/>
  <c r="BT21" i="114"/>
  <c r="BS21" i="114"/>
  <c r="BR21" i="114"/>
  <c r="BQ21" i="114"/>
  <c r="O21" i="114"/>
  <c r="K21" i="114"/>
  <c r="B21" i="114"/>
  <c r="BU20" i="114"/>
  <c r="BT20" i="114"/>
  <c r="BS20" i="114"/>
  <c r="BR20" i="114"/>
  <c r="BQ20" i="114"/>
  <c r="O20" i="114"/>
  <c r="K20" i="114"/>
  <c r="B20" i="114"/>
  <c r="BU19" i="114"/>
  <c r="BT19" i="114"/>
  <c r="BS19" i="114"/>
  <c r="BR19" i="114"/>
  <c r="BQ19" i="114"/>
  <c r="O19" i="114"/>
  <c r="K19" i="114"/>
  <c r="B19" i="114"/>
  <c r="BU18" i="114"/>
  <c r="BT18" i="114"/>
  <c r="BS18" i="114"/>
  <c r="BR18" i="114"/>
  <c r="BQ18" i="114"/>
  <c r="O18" i="114"/>
  <c r="K18" i="114"/>
  <c r="B18" i="114"/>
  <c r="BU17" i="114"/>
  <c r="BT17" i="114"/>
  <c r="BS17" i="114"/>
  <c r="BR17" i="114"/>
  <c r="BQ17" i="114"/>
  <c r="O17" i="114"/>
  <c r="K17" i="114"/>
  <c r="B17" i="114"/>
  <c r="BU16" i="114"/>
  <c r="BT16" i="114"/>
  <c r="BS16" i="114"/>
  <c r="BR16" i="114"/>
  <c r="BQ16" i="114"/>
  <c r="O16" i="114"/>
  <c r="K16" i="114"/>
  <c r="B16" i="114"/>
  <c r="BU15" i="114"/>
  <c r="BT15" i="114"/>
  <c r="BS15" i="114"/>
  <c r="BR15" i="114"/>
  <c r="BQ15" i="114"/>
  <c r="O15" i="114"/>
  <c r="K15" i="114"/>
  <c r="B15" i="114"/>
  <c r="BU14" i="114"/>
  <c r="BT14" i="114"/>
  <c r="BS14" i="114"/>
  <c r="BR14" i="114"/>
  <c r="BQ14" i="114"/>
  <c r="V13" i="114"/>
  <c r="BC13" i="114" s="1"/>
  <c r="U13" i="114"/>
  <c r="BB13" i="114" s="1"/>
  <c r="D13" i="114"/>
  <c r="C13" i="114"/>
  <c r="F11" i="114"/>
  <c r="F10" i="114"/>
  <c r="H9" i="114"/>
  <c r="F9" i="114"/>
  <c r="H8" i="114"/>
  <c r="F8" i="114"/>
  <c r="H7" i="114"/>
  <c r="F7" i="114"/>
  <c r="H6" i="114"/>
  <c r="F6" i="114"/>
  <c r="H5" i="114"/>
  <c r="F5" i="114"/>
  <c r="F4" i="114"/>
  <c r="AK3" i="114"/>
  <c r="T3" i="114"/>
  <c r="S3" i="114"/>
  <c r="AT2" i="114"/>
  <c r="AS2" i="114"/>
  <c r="AR2" i="114"/>
  <c r="AQ2" i="114"/>
  <c r="AP2" i="114"/>
  <c r="AO2" i="114"/>
  <c r="AN2" i="114"/>
  <c r="T2" i="114"/>
  <c r="S2" i="114"/>
  <c r="F1" i="114"/>
  <c r="S45" i="113"/>
  <c r="R45" i="113"/>
  <c r="P45" i="113"/>
  <c r="N45" i="113"/>
  <c r="L45" i="113"/>
  <c r="J45" i="113"/>
  <c r="I45" i="113"/>
  <c r="H45" i="113"/>
  <c r="BU44" i="113"/>
  <c r="BT44" i="113"/>
  <c r="BS44" i="113"/>
  <c r="BR44" i="113"/>
  <c r="BQ44" i="113"/>
  <c r="O44" i="113"/>
  <c r="K44" i="113"/>
  <c r="B44" i="113"/>
  <c r="BU43" i="113"/>
  <c r="BT43" i="113"/>
  <c r="BS43" i="113"/>
  <c r="BR43" i="113"/>
  <c r="BQ43" i="113"/>
  <c r="O43" i="113"/>
  <c r="K43" i="113"/>
  <c r="B43" i="113"/>
  <c r="BU42" i="113"/>
  <c r="BT42" i="113"/>
  <c r="BS42" i="113"/>
  <c r="BR42" i="113"/>
  <c r="BQ42" i="113"/>
  <c r="O42" i="113"/>
  <c r="K42" i="113"/>
  <c r="B42" i="113"/>
  <c r="BU41" i="113"/>
  <c r="BT41" i="113"/>
  <c r="BS41" i="113"/>
  <c r="BR41" i="113"/>
  <c r="BQ41" i="113"/>
  <c r="O41" i="113"/>
  <c r="K41" i="113"/>
  <c r="B41" i="113"/>
  <c r="BU40" i="113"/>
  <c r="BT40" i="113"/>
  <c r="BS40" i="113"/>
  <c r="BR40" i="113"/>
  <c r="BQ40" i="113"/>
  <c r="O40" i="113"/>
  <c r="K40" i="113"/>
  <c r="B40" i="113"/>
  <c r="BU39" i="113"/>
  <c r="BT39" i="113"/>
  <c r="BS39" i="113"/>
  <c r="BR39" i="113"/>
  <c r="BQ39" i="113"/>
  <c r="O39" i="113"/>
  <c r="K39" i="113"/>
  <c r="B39" i="113"/>
  <c r="BU38" i="113"/>
  <c r="BT38" i="113"/>
  <c r="BS38" i="113"/>
  <c r="BR38" i="113"/>
  <c r="BQ38" i="113"/>
  <c r="O38" i="113"/>
  <c r="K38" i="113"/>
  <c r="B38" i="113"/>
  <c r="BU37" i="113"/>
  <c r="BT37" i="113"/>
  <c r="BS37" i="113"/>
  <c r="BR37" i="113"/>
  <c r="BQ37" i="113"/>
  <c r="O37" i="113"/>
  <c r="K37" i="113"/>
  <c r="B37" i="113"/>
  <c r="BU36" i="113"/>
  <c r="BT36" i="113"/>
  <c r="BS36" i="113"/>
  <c r="BR36" i="113"/>
  <c r="BQ36" i="113"/>
  <c r="O36" i="113"/>
  <c r="K36" i="113"/>
  <c r="B36" i="113"/>
  <c r="BU35" i="113"/>
  <c r="BT35" i="113"/>
  <c r="BS35" i="113"/>
  <c r="BR35" i="113"/>
  <c r="BQ35" i="113"/>
  <c r="O35" i="113"/>
  <c r="K35" i="113"/>
  <c r="B35" i="113"/>
  <c r="BU34" i="113"/>
  <c r="BT34" i="113"/>
  <c r="BS34" i="113"/>
  <c r="BR34" i="113"/>
  <c r="BQ34" i="113"/>
  <c r="O34" i="113"/>
  <c r="K34" i="113"/>
  <c r="B34" i="113"/>
  <c r="BU33" i="113"/>
  <c r="BT33" i="113"/>
  <c r="BS33" i="113"/>
  <c r="BR33" i="113"/>
  <c r="BQ33" i="113"/>
  <c r="O33" i="113"/>
  <c r="K33" i="113"/>
  <c r="B33" i="113"/>
  <c r="BU32" i="113"/>
  <c r="BT32" i="113"/>
  <c r="BS32" i="113"/>
  <c r="BR32" i="113"/>
  <c r="BQ32" i="113"/>
  <c r="O32" i="113"/>
  <c r="K32" i="113"/>
  <c r="B32" i="113"/>
  <c r="BU31" i="113"/>
  <c r="BT31" i="113"/>
  <c r="BS31" i="113"/>
  <c r="BR31" i="113"/>
  <c r="BQ31" i="113"/>
  <c r="O31" i="113"/>
  <c r="K31" i="113"/>
  <c r="B31" i="113"/>
  <c r="BU30" i="113"/>
  <c r="BT30" i="113"/>
  <c r="BS30" i="113"/>
  <c r="BR30" i="113"/>
  <c r="BQ30" i="113"/>
  <c r="O30" i="113"/>
  <c r="K30" i="113"/>
  <c r="B30" i="113"/>
  <c r="BU29" i="113"/>
  <c r="BT29" i="113"/>
  <c r="BS29" i="113"/>
  <c r="BR29" i="113"/>
  <c r="BQ29" i="113"/>
  <c r="O29" i="113"/>
  <c r="K29" i="113"/>
  <c r="B29" i="113"/>
  <c r="BU28" i="113"/>
  <c r="BT28" i="113"/>
  <c r="BS28" i="113"/>
  <c r="BR28" i="113"/>
  <c r="BQ28" i="113"/>
  <c r="O28" i="113"/>
  <c r="K28" i="113"/>
  <c r="B28" i="113"/>
  <c r="BU27" i="113"/>
  <c r="BT27" i="113"/>
  <c r="BS27" i="113"/>
  <c r="BR27" i="113"/>
  <c r="BQ27" i="113"/>
  <c r="O27" i="113"/>
  <c r="K27" i="113"/>
  <c r="B27" i="113"/>
  <c r="BU26" i="113"/>
  <c r="BT26" i="113"/>
  <c r="BS26" i="113"/>
  <c r="BR26" i="113"/>
  <c r="BQ26" i="113"/>
  <c r="O26" i="113"/>
  <c r="K26" i="113"/>
  <c r="B26" i="113"/>
  <c r="BU25" i="113"/>
  <c r="BT25" i="113"/>
  <c r="BS25" i="113"/>
  <c r="BR25" i="113"/>
  <c r="BQ25" i="113"/>
  <c r="O25" i="113"/>
  <c r="K25" i="113"/>
  <c r="B25" i="113"/>
  <c r="BU24" i="113"/>
  <c r="BT24" i="113"/>
  <c r="BS24" i="113"/>
  <c r="BR24" i="113"/>
  <c r="BQ24" i="113"/>
  <c r="O24" i="113"/>
  <c r="K24" i="113"/>
  <c r="B24" i="113"/>
  <c r="BU23" i="113"/>
  <c r="BT23" i="113"/>
  <c r="BS23" i="113"/>
  <c r="BR23" i="113"/>
  <c r="BQ23" i="113"/>
  <c r="O23" i="113"/>
  <c r="K23" i="113"/>
  <c r="B23" i="113"/>
  <c r="BU22" i="113"/>
  <c r="BT22" i="113"/>
  <c r="BS22" i="113"/>
  <c r="BR22" i="113"/>
  <c r="BQ22" i="113"/>
  <c r="O22" i="113"/>
  <c r="K22" i="113"/>
  <c r="B22" i="113"/>
  <c r="BU21" i="113"/>
  <c r="BT21" i="113"/>
  <c r="BS21" i="113"/>
  <c r="BR21" i="113"/>
  <c r="BQ21" i="113"/>
  <c r="O21" i="113"/>
  <c r="K21" i="113"/>
  <c r="B21" i="113"/>
  <c r="BU20" i="113"/>
  <c r="BT20" i="113"/>
  <c r="BS20" i="113"/>
  <c r="BR20" i="113"/>
  <c r="BQ20" i="113"/>
  <c r="O20" i="113"/>
  <c r="K20" i="113"/>
  <c r="B20" i="113"/>
  <c r="BU19" i="113"/>
  <c r="BT19" i="113"/>
  <c r="BS19" i="113"/>
  <c r="BR19" i="113"/>
  <c r="BQ19" i="113"/>
  <c r="O19" i="113"/>
  <c r="K19" i="113"/>
  <c r="B19" i="113"/>
  <c r="BU18" i="113"/>
  <c r="BT18" i="113"/>
  <c r="BS18" i="113"/>
  <c r="BR18" i="113"/>
  <c r="BQ18" i="113"/>
  <c r="O18" i="113"/>
  <c r="K18" i="113"/>
  <c r="B18" i="113"/>
  <c r="BU17" i="113"/>
  <c r="BT17" i="113"/>
  <c r="BS17" i="113"/>
  <c r="BR17" i="113"/>
  <c r="BQ17" i="113"/>
  <c r="O17" i="113"/>
  <c r="K17" i="113"/>
  <c r="B17" i="113"/>
  <c r="BU16" i="113"/>
  <c r="BT16" i="113"/>
  <c r="BS16" i="113"/>
  <c r="BR16" i="113"/>
  <c r="BQ16" i="113"/>
  <c r="O16" i="113"/>
  <c r="K16" i="113"/>
  <c r="B16" i="113"/>
  <c r="BU15" i="113"/>
  <c r="BT15" i="113"/>
  <c r="BS15" i="113"/>
  <c r="BR15" i="113"/>
  <c r="BQ15" i="113"/>
  <c r="O15" i="113"/>
  <c r="K15" i="113"/>
  <c r="B15" i="113"/>
  <c r="BU14" i="113"/>
  <c r="BT14" i="113"/>
  <c r="BS14" i="113"/>
  <c r="BR14" i="113"/>
  <c r="BQ14" i="113"/>
  <c r="V13" i="113"/>
  <c r="BC13" i="113" s="1"/>
  <c r="U13" i="113"/>
  <c r="BB13" i="113" s="1"/>
  <c r="D13" i="113"/>
  <c r="C13" i="113"/>
  <c r="F11" i="113"/>
  <c r="F10" i="113"/>
  <c r="H9" i="113"/>
  <c r="F9" i="113"/>
  <c r="H8" i="113"/>
  <c r="F8" i="113"/>
  <c r="H7" i="113"/>
  <c r="F7" i="113"/>
  <c r="H6" i="113"/>
  <c r="F6" i="113"/>
  <c r="H5" i="113"/>
  <c r="F5" i="113"/>
  <c r="F4" i="113"/>
  <c r="AK3" i="113"/>
  <c r="T3" i="113"/>
  <c r="S3" i="113"/>
  <c r="AT2" i="113"/>
  <c r="AS2" i="113"/>
  <c r="AR2" i="113"/>
  <c r="AQ2" i="113"/>
  <c r="AP2" i="113"/>
  <c r="AO2" i="113"/>
  <c r="AN2" i="113"/>
  <c r="T2" i="113"/>
  <c r="S2" i="113"/>
  <c r="F1" i="113"/>
  <c r="S45" i="112"/>
  <c r="R45" i="112"/>
  <c r="P45" i="112"/>
  <c r="N45" i="112"/>
  <c r="L45" i="112"/>
  <c r="J45" i="112"/>
  <c r="I45" i="112"/>
  <c r="H45" i="112"/>
  <c r="BU44" i="112"/>
  <c r="BT44" i="112"/>
  <c r="BS44" i="112"/>
  <c r="BR44" i="112"/>
  <c r="BQ44" i="112"/>
  <c r="O44" i="112"/>
  <c r="K44" i="112"/>
  <c r="B44" i="112"/>
  <c r="BU43" i="112"/>
  <c r="BT43" i="112"/>
  <c r="BS43" i="112"/>
  <c r="BR43" i="112"/>
  <c r="BQ43" i="112"/>
  <c r="O43" i="112"/>
  <c r="K43" i="112"/>
  <c r="B43" i="112"/>
  <c r="BU42" i="112"/>
  <c r="BT42" i="112"/>
  <c r="BS42" i="112"/>
  <c r="BR42" i="112"/>
  <c r="BQ42" i="112"/>
  <c r="O42" i="112"/>
  <c r="K42" i="112"/>
  <c r="B42" i="112"/>
  <c r="BU41" i="112"/>
  <c r="BT41" i="112"/>
  <c r="BS41" i="112"/>
  <c r="BR41" i="112"/>
  <c r="BQ41" i="112"/>
  <c r="O41" i="112"/>
  <c r="K41" i="112"/>
  <c r="B41" i="112"/>
  <c r="BU40" i="112"/>
  <c r="BT40" i="112"/>
  <c r="BS40" i="112"/>
  <c r="BR40" i="112"/>
  <c r="BQ40" i="112"/>
  <c r="O40" i="112"/>
  <c r="K40" i="112"/>
  <c r="B40" i="112"/>
  <c r="BU39" i="112"/>
  <c r="BT39" i="112"/>
  <c r="BS39" i="112"/>
  <c r="BR39" i="112"/>
  <c r="BQ39" i="112"/>
  <c r="O39" i="112"/>
  <c r="K39" i="112"/>
  <c r="B39" i="112"/>
  <c r="BU38" i="112"/>
  <c r="BT38" i="112"/>
  <c r="BS38" i="112"/>
  <c r="BR38" i="112"/>
  <c r="BQ38" i="112"/>
  <c r="O38" i="112"/>
  <c r="K38" i="112"/>
  <c r="B38" i="112"/>
  <c r="BU37" i="112"/>
  <c r="BT37" i="112"/>
  <c r="BS37" i="112"/>
  <c r="BR37" i="112"/>
  <c r="BQ37" i="112"/>
  <c r="O37" i="112"/>
  <c r="K37" i="112"/>
  <c r="B37" i="112"/>
  <c r="BU36" i="112"/>
  <c r="BT36" i="112"/>
  <c r="BS36" i="112"/>
  <c r="BR36" i="112"/>
  <c r="BQ36" i="112"/>
  <c r="O36" i="112"/>
  <c r="K36" i="112"/>
  <c r="B36" i="112"/>
  <c r="BU35" i="112"/>
  <c r="BT35" i="112"/>
  <c r="BS35" i="112"/>
  <c r="BR35" i="112"/>
  <c r="BQ35" i="112"/>
  <c r="O35" i="112"/>
  <c r="K35" i="112"/>
  <c r="B35" i="112"/>
  <c r="BU34" i="112"/>
  <c r="BT34" i="112"/>
  <c r="BS34" i="112"/>
  <c r="BR34" i="112"/>
  <c r="BQ34" i="112"/>
  <c r="O34" i="112"/>
  <c r="K34" i="112"/>
  <c r="B34" i="112"/>
  <c r="BU33" i="112"/>
  <c r="BT33" i="112"/>
  <c r="BS33" i="112"/>
  <c r="BR33" i="112"/>
  <c r="BQ33" i="112"/>
  <c r="O33" i="112"/>
  <c r="K33" i="112"/>
  <c r="B33" i="112"/>
  <c r="BU32" i="112"/>
  <c r="BT32" i="112"/>
  <c r="BS32" i="112"/>
  <c r="BR32" i="112"/>
  <c r="BQ32" i="112"/>
  <c r="O32" i="112"/>
  <c r="K32" i="112"/>
  <c r="B32" i="112"/>
  <c r="BU31" i="112"/>
  <c r="BT31" i="112"/>
  <c r="BS31" i="112"/>
  <c r="BR31" i="112"/>
  <c r="BQ31" i="112"/>
  <c r="O31" i="112"/>
  <c r="K31" i="112"/>
  <c r="B31" i="112"/>
  <c r="BU30" i="112"/>
  <c r="BT30" i="112"/>
  <c r="BS30" i="112"/>
  <c r="BR30" i="112"/>
  <c r="BQ30" i="112"/>
  <c r="O30" i="112"/>
  <c r="K30" i="112"/>
  <c r="B30" i="112"/>
  <c r="BU29" i="112"/>
  <c r="BT29" i="112"/>
  <c r="BS29" i="112"/>
  <c r="BR29" i="112"/>
  <c r="BQ29" i="112"/>
  <c r="O29" i="112"/>
  <c r="K29" i="112"/>
  <c r="B29" i="112"/>
  <c r="BU28" i="112"/>
  <c r="BT28" i="112"/>
  <c r="BS28" i="112"/>
  <c r="BR28" i="112"/>
  <c r="BQ28" i="112"/>
  <c r="O28" i="112"/>
  <c r="K28" i="112"/>
  <c r="B28" i="112"/>
  <c r="BU27" i="112"/>
  <c r="BT27" i="112"/>
  <c r="BS27" i="112"/>
  <c r="BR27" i="112"/>
  <c r="BQ27" i="112"/>
  <c r="O27" i="112"/>
  <c r="K27" i="112"/>
  <c r="B27" i="112"/>
  <c r="BU26" i="112"/>
  <c r="BT26" i="112"/>
  <c r="BS26" i="112"/>
  <c r="BR26" i="112"/>
  <c r="BQ26" i="112"/>
  <c r="O26" i="112"/>
  <c r="K26" i="112"/>
  <c r="B26" i="112"/>
  <c r="BU25" i="112"/>
  <c r="BT25" i="112"/>
  <c r="BS25" i="112"/>
  <c r="BR25" i="112"/>
  <c r="BQ25" i="112"/>
  <c r="O25" i="112"/>
  <c r="K25" i="112"/>
  <c r="B25" i="112"/>
  <c r="BU24" i="112"/>
  <c r="BT24" i="112"/>
  <c r="BS24" i="112"/>
  <c r="BR24" i="112"/>
  <c r="BQ24" i="112"/>
  <c r="O24" i="112"/>
  <c r="K24" i="112"/>
  <c r="B24" i="112"/>
  <c r="BU23" i="112"/>
  <c r="BT23" i="112"/>
  <c r="BS23" i="112"/>
  <c r="BR23" i="112"/>
  <c r="BQ23" i="112"/>
  <c r="O23" i="112"/>
  <c r="K23" i="112"/>
  <c r="B23" i="112"/>
  <c r="BU22" i="112"/>
  <c r="BT22" i="112"/>
  <c r="BS22" i="112"/>
  <c r="BR22" i="112"/>
  <c r="BQ22" i="112"/>
  <c r="O22" i="112"/>
  <c r="K22" i="112"/>
  <c r="B22" i="112"/>
  <c r="BU21" i="112"/>
  <c r="BT21" i="112"/>
  <c r="BS21" i="112"/>
  <c r="BR21" i="112"/>
  <c r="BQ21" i="112"/>
  <c r="O21" i="112"/>
  <c r="K21" i="112"/>
  <c r="B21" i="112"/>
  <c r="BU20" i="112"/>
  <c r="BT20" i="112"/>
  <c r="BS20" i="112"/>
  <c r="BR20" i="112"/>
  <c r="BQ20" i="112"/>
  <c r="O20" i="112"/>
  <c r="K20" i="112"/>
  <c r="B20" i="112"/>
  <c r="BU19" i="112"/>
  <c r="BT19" i="112"/>
  <c r="BS19" i="112"/>
  <c r="BR19" i="112"/>
  <c r="BQ19" i="112"/>
  <c r="O19" i="112"/>
  <c r="K19" i="112"/>
  <c r="B19" i="112"/>
  <c r="BU18" i="112"/>
  <c r="BT18" i="112"/>
  <c r="BS18" i="112"/>
  <c r="BR18" i="112"/>
  <c r="BQ18" i="112"/>
  <c r="O18" i="112"/>
  <c r="K18" i="112"/>
  <c r="B18" i="112"/>
  <c r="BU17" i="112"/>
  <c r="BT17" i="112"/>
  <c r="BS17" i="112"/>
  <c r="BR17" i="112"/>
  <c r="BQ17" i="112"/>
  <c r="O17" i="112"/>
  <c r="K17" i="112"/>
  <c r="B17" i="112"/>
  <c r="BU16" i="112"/>
  <c r="BT16" i="112"/>
  <c r="BS16" i="112"/>
  <c r="BR16" i="112"/>
  <c r="BQ16" i="112"/>
  <c r="O16" i="112"/>
  <c r="K16" i="112"/>
  <c r="B16" i="112"/>
  <c r="BU15" i="112"/>
  <c r="BT15" i="112"/>
  <c r="BS15" i="112"/>
  <c r="BR15" i="112"/>
  <c r="BQ15" i="112"/>
  <c r="O15" i="112"/>
  <c r="K15" i="112"/>
  <c r="B15" i="112"/>
  <c r="BU14" i="112"/>
  <c r="BT14" i="112"/>
  <c r="BS14" i="112"/>
  <c r="BR14" i="112"/>
  <c r="BQ14" i="112"/>
  <c r="V13" i="112"/>
  <c r="BC13" i="112" s="1"/>
  <c r="U13" i="112"/>
  <c r="BB13" i="112" s="1"/>
  <c r="D13" i="112"/>
  <c r="C13" i="112"/>
  <c r="F11" i="112"/>
  <c r="F10" i="112"/>
  <c r="H9" i="112"/>
  <c r="F9" i="112"/>
  <c r="H8" i="112"/>
  <c r="F8" i="112"/>
  <c r="H7" i="112"/>
  <c r="F7" i="112"/>
  <c r="H6" i="112"/>
  <c r="F6" i="112"/>
  <c r="H5" i="112"/>
  <c r="F5" i="112"/>
  <c r="F4" i="112"/>
  <c r="AK3" i="112"/>
  <c r="T3" i="112"/>
  <c r="S3" i="112"/>
  <c r="AT2" i="112"/>
  <c r="AS2" i="112"/>
  <c r="AR2" i="112"/>
  <c r="AQ2" i="112"/>
  <c r="AP2" i="112"/>
  <c r="AO2" i="112"/>
  <c r="AN2" i="112"/>
  <c r="T2" i="112"/>
  <c r="S2" i="112"/>
  <c r="F1" i="112"/>
  <c r="S45" i="111"/>
  <c r="R45" i="111"/>
  <c r="P45" i="111"/>
  <c r="N45" i="111"/>
  <c r="L45" i="111"/>
  <c r="J45" i="111"/>
  <c r="I45" i="111"/>
  <c r="H45" i="111"/>
  <c r="BU44" i="111"/>
  <c r="BT44" i="111"/>
  <c r="BS44" i="111"/>
  <c r="BR44" i="111"/>
  <c r="BQ44" i="111"/>
  <c r="O44" i="111"/>
  <c r="K44" i="111"/>
  <c r="B44" i="111"/>
  <c r="BU43" i="111"/>
  <c r="BT43" i="111"/>
  <c r="BS43" i="111"/>
  <c r="BR43" i="111"/>
  <c r="BQ43" i="111"/>
  <c r="O43" i="111"/>
  <c r="K43" i="111"/>
  <c r="B43" i="111"/>
  <c r="BU42" i="111"/>
  <c r="BT42" i="111"/>
  <c r="BS42" i="111"/>
  <c r="BR42" i="111"/>
  <c r="BQ42" i="111"/>
  <c r="O42" i="111"/>
  <c r="K42" i="111"/>
  <c r="B42" i="111"/>
  <c r="BU41" i="111"/>
  <c r="BT41" i="111"/>
  <c r="BS41" i="111"/>
  <c r="BR41" i="111"/>
  <c r="BQ41" i="111"/>
  <c r="O41" i="111"/>
  <c r="K41" i="111"/>
  <c r="B41" i="111"/>
  <c r="BU40" i="111"/>
  <c r="BT40" i="111"/>
  <c r="BS40" i="111"/>
  <c r="BR40" i="111"/>
  <c r="BQ40" i="111"/>
  <c r="O40" i="111"/>
  <c r="K40" i="111"/>
  <c r="B40" i="111"/>
  <c r="BU39" i="111"/>
  <c r="BT39" i="111"/>
  <c r="BS39" i="111"/>
  <c r="BR39" i="111"/>
  <c r="BQ39" i="111"/>
  <c r="O39" i="111"/>
  <c r="K39" i="111"/>
  <c r="B39" i="111"/>
  <c r="BU38" i="111"/>
  <c r="BT38" i="111"/>
  <c r="BS38" i="111"/>
  <c r="BR38" i="111"/>
  <c r="BQ38" i="111"/>
  <c r="O38" i="111"/>
  <c r="K38" i="111"/>
  <c r="B38" i="111"/>
  <c r="BU37" i="111"/>
  <c r="BT37" i="111"/>
  <c r="BS37" i="111"/>
  <c r="BR37" i="111"/>
  <c r="BQ37" i="111"/>
  <c r="O37" i="111"/>
  <c r="K37" i="111"/>
  <c r="B37" i="111"/>
  <c r="BU36" i="111"/>
  <c r="BT36" i="111"/>
  <c r="BS36" i="111"/>
  <c r="BR36" i="111"/>
  <c r="BQ36" i="111"/>
  <c r="O36" i="111"/>
  <c r="K36" i="111"/>
  <c r="B36" i="111"/>
  <c r="BU35" i="111"/>
  <c r="BT35" i="111"/>
  <c r="BS35" i="111"/>
  <c r="BR35" i="111"/>
  <c r="BQ35" i="111"/>
  <c r="O35" i="111"/>
  <c r="K35" i="111"/>
  <c r="B35" i="111"/>
  <c r="BU34" i="111"/>
  <c r="BT34" i="111"/>
  <c r="BS34" i="111"/>
  <c r="BR34" i="111"/>
  <c r="BQ34" i="111"/>
  <c r="O34" i="111"/>
  <c r="K34" i="111"/>
  <c r="B34" i="111"/>
  <c r="BU33" i="111"/>
  <c r="BT33" i="111"/>
  <c r="BS33" i="111"/>
  <c r="BR33" i="111"/>
  <c r="BQ33" i="111"/>
  <c r="O33" i="111"/>
  <c r="K33" i="111"/>
  <c r="B33" i="111"/>
  <c r="BU32" i="111"/>
  <c r="BT32" i="111"/>
  <c r="BS32" i="111"/>
  <c r="BR32" i="111"/>
  <c r="BQ32" i="111"/>
  <c r="O32" i="111"/>
  <c r="K32" i="111"/>
  <c r="B32" i="111"/>
  <c r="BU31" i="111"/>
  <c r="BT31" i="111"/>
  <c r="BS31" i="111"/>
  <c r="BR31" i="111"/>
  <c r="BQ31" i="111"/>
  <c r="O31" i="111"/>
  <c r="K31" i="111"/>
  <c r="B31" i="111"/>
  <c r="BU30" i="111"/>
  <c r="BT30" i="111"/>
  <c r="BS30" i="111"/>
  <c r="BR30" i="111"/>
  <c r="BQ30" i="111"/>
  <c r="O30" i="111"/>
  <c r="K30" i="111"/>
  <c r="B30" i="111"/>
  <c r="BU29" i="111"/>
  <c r="BT29" i="111"/>
  <c r="BS29" i="111"/>
  <c r="BR29" i="111"/>
  <c r="BQ29" i="111"/>
  <c r="O29" i="111"/>
  <c r="K29" i="111"/>
  <c r="B29" i="111"/>
  <c r="BU28" i="111"/>
  <c r="BT28" i="111"/>
  <c r="BS28" i="111"/>
  <c r="BR28" i="111"/>
  <c r="BQ28" i="111"/>
  <c r="O28" i="111"/>
  <c r="K28" i="111"/>
  <c r="B28" i="111"/>
  <c r="BU27" i="111"/>
  <c r="BT27" i="111"/>
  <c r="BS27" i="111"/>
  <c r="BR27" i="111"/>
  <c r="BQ27" i="111"/>
  <c r="O27" i="111"/>
  <c r="K27" i="111"/>
  <c r="B27" i="111"/>
  <c r="BU26" i="111"/>
  <c r="BT26" i="111"/>
  <c r="BS26" i="111"/>
  <c r="BR26" i="111"/>
  <c r="BQ26" i="111"/>
  <c r="O26" i="111"/>
  <c r="K26" i="111"/>
  <c r="B26" i="111"/>
  <c r="BU25" i="111"/>
  <c r="BT25" i="111"/>
  <c r="BS25" i="111"/>
  <c r="BR25" i="111"/>
  <c r="BQ25" i="111"/>
  <c r="O25" i="111"/>
  <c r="K25" i="111"/>
  <c r="B25" i="111"/>
  <c r="BU24" i="111"/>
  <c r="BT24" i="111"/>
  <c r="BS24" i="111"/>
  <c r="BR24" i="111"/>
  <c r="BQ24" i="111"/>
  <c r="O24" i="111"/>
  <c r="K24" i="111"/>
  <c r="B24" i="111"/>
  <c r="BU23" i="111"/>
  <c r="BT23" i="111"/>
  <c r="BS23" i="111"/>
  <c r="BR23" i="111"/>
  <c r="BQ23" i="111"/>
  <c r="O23" i="111"/>
  <c r="K23" i="111"/>
  <c r="B23" i="111"/>
  <c r="BU22" i="111"/>
  <c r="BT22" i="111"/>
  <c r="BS22" i="111"/>
  <c r="BR22" i="111"/>
  <c r="BQ22" i="111"/>
  <c r="O22" i="111"/>
  <c r="K22" i="111"/>
  <c r="B22" i="111"/>
  <c r="BU21" i="111"/>
  <c r="BT21" i="111"/>
  <c r="BS21" i="111"/>
  <c r="BR21" i="111"/>
  <c r="BQ21" i="111"/>
  <c r="O21" i="111"/>
  <c r="K21" i="111"/>
  <c r="B21" i="111"/>
  <c r="BU20" i="111"/>
  <c r="BT20" i="111"/>
  <c r="BS20" i="111"/>
  <c r="BR20" i="111"/>
  <c r="BQ20" i="111"/>
  <c r="O20" i="111"/>
  <c r="K20" i="111"/>
  <c r="B20" i="111"/>
  <c r="BU19" i="111"/>
  <c r="BT19" i="111"/>
  <c r="BS19" i="111"/>
  <c r="BR19" i="111"/>
  <c r="BQ19" i="111"/>
  <c r="O19" i="111"/>
  <c r="K19" i="111"/>
  <c r="B19" i="111"/>
  <c r="BU18" i="111"/>
  <c r="BT18" i="111"/>
  <c r="BS18" i="111"/>
  <c r="BR18" i="111"/>
  <c r="BQ18" i="111"/>
  <c r="O18" i="111"/>
  <c r="K18" i="111"/>
  <c r="B18" i="111"/>
  <c r="BU17" i="111"/>
  <c r="BT17" i="111"/>
  <c r="BS17" i="111"/>
  <c r="BR17" i="111"/>
  <c r="BQ17" i="111"/>
  <c r="O17" i="111"/>
  <c r="K17" i="111"/>
  <c r="B17" i="111"/>
  <c r="O16" i="111"/>
  <c r="K16" i="111"/>
  <c r="B16" i="111"/>
  <c r="O15" i="111"/>
  <c r="K15" i="111"/>
  <c r="B15" i="111"/>
  <c r="BU14" i="111"/>
  <c r="BU16" i="111" s="1"/>
  <c r="BT14" i="111"/>
  <c r="BT15" i="111" s="1"/>
  <c r="BS14" i="111"/>
  <c r="BS15" i="111" s="1"/>
  <c r="BR14" i="111"/>
  <c r="BR16" i="111" s="1"/>
  <c r="BQ14" i="111"/>
  <c r="BQ15" i="111" s="1"/>
  <c r="V13" i="111"/>
  <c r="BC13" i="111" s="1"/>
  <c r="U13" i="111"/>
  <c r="BB13" i="111" s="1"/>
  <c r="D13" i="111"/>
  <c r="C13" i="111"/>
  <c r="F11" i="111"/>
  <c r="F10" i="111"/>
  <c r="H9" i="111"/>
  <c r="F9" i="111"/>
  <c r="H8" i="111"/>
  <c r="F8" i="111"/>
  <c r="H7" i="111"/>
  <c r="F7" i="111"/>
  <c r="H6" i="111"/>
  <c r="F6" i="111"/>
  <c r="H5" i="111"/>
  <c r="F5" i="111"/>
  <c r="F4" i="111"/>
  <c r="AK3" i="111"/>
  <c r="T3" i="111"/>
  <c r="S3" i="111"/>
  <c r="AT2" i="111"/>
  <c r="AS2" i="111"/>
  <c r="AR2" i="111"/>
  <c r="AQ2" i="111"/>
  <c r="AP2" i="111"/>
  <c r="AO2" i="111"/>
  <c r="AN2" i="111"/>
  <c r="T2" i="111"/>
  <c r="S2" i="111"/>
  <c r="F1" i="111"/>
  <c r="S45" i="110"/>
  <c r="R45" i="110"/>
  <c r="P45" i="110"/>
  <c r="N45" i="110"/>
  <c r="L45" i="110"/>
  <c r="J45" i="110"/>
  <c r="I45" i="110"/>
  <c r="H45" i="110"/>
  <c r="BU44" i="110"/>
  <c r="BT44" i="110"/>
  <c r="BS44" i="110"/>
  <c r="BR44" i="110"/>
  <c r="BQ44" i="110"/>
  <c r="O44" i="110"/>
  <c r="K44" i="110"/>
  <c r="B44" i="110"/>
  <c r="BU43" i="110"/>
  <c r="BT43" i="110"/>
  <c r="BS43" i="110"/>
  <c r="BR43" i="110"/>
  <c r="BQ43" i="110"/>
  <c r="O43" i="110"/>
  <c r="K43" i="110"/>
  <c r="B43" i="110"/>
  <c r="BU42" i="110"/>
  <c r="BT42" i="110"/>
  <c r="BS42" i="110"/>
  <c r="BR42" i="110"/>
  <c r="BQ42" i="110"/>
  <c r="O42" i="110"/>
  <c r="K42" i="110"/>
  <c r="B42" i="110"/>
  <c r="BU41" i="110"/>
  <c r="BT41" i="110"/>
  <c r="BS41" i="110"/>
  <c r="BR41" i="110"/>
  <c r="BQ41" i="110"/>
  <c r="O41" i="110"/>
  <c r="K41" i="110"/>
  <c r="B41" i="110"/>
  <c r="BU40" i="110"/>
  <c r="BT40" i="110"/>
  <c r="BS40" i="110"/>
  <c r="BR40" i="110"/>
  <c r="BQ40" i="110"/>
  <c r="O40" i="110"/>
  <c r="K40" i="110"/>
  <c r="B40" i="110"/>
  <c r="BU39" i="110"/>
  <c r="BT39" i="110"/>
  <c r="BS39" i="110"/>
  <c r="BR39" i="110"/>
  <c r="BQ39" i="110"/>
  <c r="O39" i="110"/>
  <c r="K39" i="110"/>
  <c r="B39" i="110"/>
  <c r="BU38" i="110"/>
  <c r="BT38" i="110"/>
  <c r="BS38" i="110"/>
  <c r="BR38" i="110"/>
  <c r="BQ38" i="110"/>
  <c r="O38" i="110"/>
  <c r="K38" i="110"/>
  <c r="B38" i="110"/>
  <c r="BU37" i="110"/>
  <c r="BT37" i="110"/>
  <c r="BS37" i="110"/>
  <c r="BR37" i="110"/>
  <c r="BQ37" i="110"/>
  <c r="O37" i="110"/>
  <c r="K37" i="110"/>
  <c r="B37" i="110"/>
  <c r="BU36" i="110"/>
  <c r="BT36" i="110"/>
  <c r="BS36" i="110"/>
  <c r="BR36" i="110"/>
  <c r="BQ36" i="110"/>
  <c r="O36" i="110"/>
  <c r="K36" i="110"/>
  <c r="B36" i="110"/>
  <c r="BU35" i="110"/>
  <c r="BT35" i="110"/>
  <c r="BS35" i="110"/>
  <c r="BR35" i="110"/>
  <c r="BQ35" i="110"/>
  <c r="O35" i="110"/>
  <c r="K35" i="110"/>
  <c r="B35" i="110"/>
  <c r="BU34" i="110"/>
  <c r="BT34" i="110"/>
  <c r="BS34" i="110"/>
  <c r="BR34" i="110"/>
  <c r="BQ34" i="110"/>
  <c r="O34" i="110"/>
  <c r="K34" i="110"/>
  <c r="B34" i="110"/>
  <c r="BU33" i="110"/>
  <c r="BT33" i="110"/>
  <c r="BS33" i="110"/>
  <c r="BR33" i="110"/>
  <c r="BQ33" i="110"/>
  <c r="O33" i="110"/>
  <c r="K33" i="110"/>
  <c r="B33" i="110"/>
  <c r="BU32" i="110"/>
  <c r="BT32" i="110"/>
  <c r="BS32" i="110"/>
  <c r="BR32" i="110"/>
  <c r="BQ32" i="110"/>
  <c r="O32" i="110"/>
  <c r="K32" i="110"/>
  <c r="B32" i="110"/>
  <c r="BU31" i="110"/>
  <c r="BT31" i="110"/>
  <c r="BS31" i="110"/>
  <c r="BR31" i="110"/>
  <c r="BQ31" i="110"/>
  <c r="O31" i="110"/>
  <c r="K31" i="110"/>
  <c r="B31" i="110"/>
  <c r="BU30" i="110"/>
  <c r="BT30" i="110"/>
  <c r="BS30" i="110"/>
  <c r="BR30" i="110"/>
  <c r="BQ30" i="110"/>
  <c r="O30" i="110"/>
  <c r="K30" i="110"/>
  <c r="B30" i="110"/>
  <c r="BU29" i="110"/>
  <c r="BT29" i="110"/>
  <c r="BS29" i="110"/>
  <c r="BR29" i="110"/>
  <c r="BQ29" i="110"/>
  <c r="O29" i="110"/>
  <c r="K29" i="110"/>
  <c r="B29" i="110"/>
  <c r="BU28" i="110"/>
  <c r="BT28" i="110"/>
  <c r="BS28" i="110"/>
  <c r="BR28" i="110"/>
  <c r="BQ28" i="110"/>
  <c r="O28" i="110"/>
  <c r="K28" i="110"/>
  <c r="B28" i="110"/>
  <c r="BU27" i="110"/>
  <c r="BT27" i="110"/>
  <c r="BS27" i="110"/>
  <c r="BR27" i="110"/>
  <c r="BQ27" i="110"/>
  <c r="O27" i="110"/>
  <c r="K27" i="110"/>
  <c r="B27" i="110"/>
  <c r="BU26" i="110"/>
  <c r="BT26" i="110"/>
  <c r="BS26" i="110"/>
  <c r="BR26" i="110"/>
  <c r="BQ26" i="110"/>
  <c r="O26" i="110"/>
  <c r="K26" i="110"/>
  <c r="B26" i="110"/>
  <c r="BU25" i="110"/>
  <c r="BT25" i="110"/>
  <c r="BS25" i="110"/>
  <c r="BR25" i="110"/>
  <c r="BQ25" i="110"/>
  <c r="O25" i="110"/>
  <c r="K25" i="110"/>
  <c r="B25" i="110"/>
  <c r="BU24" i="110"/>
  <c r="BT24" i="110"/>
  <c r="BS24" i="110"/>
  <c r="BR24" i="110"/>
  <c r="BQ24" i="110"/>
  <c r="O24" i="110"/>
  <c r="K24" i="110"/>
  <c r="B24" i="110"/>
  <c r="BU23" i="110"/>
  <c r="BT23" i="110"/>
  <c r="BS23" i="110"/>
  <c r="BR23" i="110"/>
  <c r="BQ23" i="110"/>
  <c r="O23" i="110"/>
  <c r="K23" i="110"/>
  <c r="B23" i="110"/>
  <c r="BU22" i="110"/>
  <c r="BT22" i="110"/>
  <c r="BS22" i="110"/>
  <c r="BR22" i="110"/>
  <c r="BQ22" i="110"/>
  <c r="O22" i="110"/>
  <c r="K22" i="110"/>
  <c r="B22" i="110"/>
  <c r="BU21" i="110"/>
  <c r="BT21" i="110"/>
  <c r="BS21" i="110"/>
  <c r="BR21" i="110"/>
  <c r="BQ21" i="110"/>
  <c r="O21" i="110"/>
  <c r="K21" i="110"/>
  <c r="B21" i="110"/>
  <c r="BU20" i="110"/>
  <c r="BT20" i="110"/>
  <c r="BS20" i="110"/>
  <c r="BR20" i="110"/>
  <c r="BQ20" i="110"/>
  <c r="O20" i="110"/>
  <c r="K20" i="110"/>
  <c r="B20" i="110"/>
  <c r="BU19" i="110"/>
  <c r="BT19" i="110"/>
  <c r="BS19" i="110"/>
  <c r="BR19" i="110"/>
  <c r="BQ19" i="110"/>
  <c r="O19" i="110"/>
  <c r="K19" i="110"/>
  <c r="B19" i="110"/>
  <c r="BU18" i="110"/>
  <c r="BT18" i="110"/>
  <c r="BS18" i="110"/>
  <c r="BR18" i="110"/>
  <c r="BQ18" i="110"/>
  <c r="O18" i="110"/>
  <c r="K18" i="110"/>
  <c r="B18" i="110"/>
  <c r="BU17" i="110"/>
  <c r="BT17" i="110"/>
  <c r="BS17" i="110"/>
  <c r="BR17" i="110"/>
  <c r="BQ17" i="110"/>
  <c r="O17" i="110"/>
  <c r="K17" i="110"/>
  <c r="B17" i="110"/>
  <c r="O16" i="110"/>
  <c r="K16" i="110"/>
  <c r="B16" i="110"/>
  <c r="O15" i="110"/>
  <c r="K15" i="110"/>
  <c r="B15" i="110"/>
  <c r="BU14" i="110"/>
  <c r="BU15" i="110" s="1"/>
  <c r="BT14" i="110"/>
  <c r="BT16" i="110" s="1"/>
  <c r="BS14" i="110"/>
  <c r="BS16" i="110" s="1"/>
  <c r="BR14" i="110"/>
  <c r="BR16" i="110" s="1"/>
  <c r="BQ14" i="110"/>
  <c r="BQ15" i="110" s="1"/>
  <c r="V13" i="110"/>
  <c r="BC13" i="110" s="1"/>
  <c r="U13" i="110"/>
  <c r="BB13" i="110" s="1"/>
  <c r="D13" i="110"/>
  <c r="C13" i="110"/>
  <c r="F11" i="110"/>
  <c r="F10" i="110"/>
  <c r="H9" i="110"/>
  <c r="F9" i="110"/>
  <c r="H8" i="110"/>
  <c r="F8" i="110"/>
  <c r="H7" i="110"/>
  <c r="F7" i="110"/>
  <c r="H6" i="110"/>
  <c r="F6" i="110"/>
  <c r="H5" i="110"/>
  <c r="F5" i="110"/>
  <c r="F4" i="110"/>
  <c r="AK3" i="110"/>
  <c r="T3" i="110"/>
  <c r="S3" i="110"/>
  <c r="AT2" i="110"/>
  <c r="AS2" i="110"/>
  <c r="AR2" i="110"/>
  <c r="AQ2" i="110"/>
  <c r="AP2" i="110"/>
  <c r="AO2" i="110"/>
  <c r="AN2" i="110"/>
  <c r="T2" i="110"/>
  <c r="S2" i="110"/>
  <c r="F1" i="110"/>
  <c r="S45" i="109"/>
  <c r="R45" i="109"/>
  <c r="P45" i="109"/>
  <c r="N45" i="109"/>
  <c r="L45" i="109"/>
  <c r="J45" i="109"/>
  <c r="I45" i="109"/>
  <c r="H45" i="109"/>
  <c r="BU44" i="109"/>
  <c r="BT44" i="109"/>
  <c r="BS44" i="109"/>
  <c r="BR44" i="109"/>
  <c r="BQ44" i="109"/>
  <c r="O44" i="109"/>
  <c r="K44" i="109"/>
  <c r="B44" i="109"/>
  <c r="BU43" i="109"/>
  <c r="BT43" i="109"/>
  <c r="BS43" i="109"/>
  <c r="BR43" i="109"/>
  <c r="BQ43" i="109"/>
  <c r="O43" i="109"/>
  <c r="K43" i="109"/>
  <c r="B43" i="109"/>
  <c r="BU42" i="109"/>
  <c r="BT42" i="109"/>
  <c r="BS42" i="109"/>
  <c r="BR42" i="109"/>
  <c r="BQ42" i="109"/>
  <c r="O42" i="109"/>
  <c r="K42" i="109"/>
  <c r="B42" i="109"/>
  <c r="BU41" i="109"/>
  <c r="BT41" i="109"/>
  <c r="BS41" i="109"/>
  <c r="BR41" i="109"/>
  <c r="BQ41" i="109"/>
  <c r="O41" i="109"/>
  <c r="K41" i="109"/>
  <c r="B41" i="109"/>
  <c r="BU40" i="109"/>
  <c r="BT40" i="109"/>
  <c r="BS40" i="109"/>
  <c r="BR40" i="109"/>
  <c r="BQ40" i="109"/>
  <c r="O40" i="109"/>
  <c r="K40" i="109"/>
  <c r="B40" i="109"/>
  <c r="BU39" i="109"/>
  <c r="BT39" i="109"/>
  <c r="BS39" i="109"/>
  <c r="BR39" i="109"/>
  <c r="BQ39" i="109"/>
  <c r="O39" i="109"/>
  <c r="K39" i="109"/>
  <c r="B39" i="109"/>
  <c r="BU38" i="109"/>
  <c r="BT38" i="109"/>
  <c r="BS38" i="109"/>
  <c r="BR38" i="109"/>
  <c r="BQ38" i="109"/>
  <c r="O38" i="109"/>
  <c r="K38" i="109"/>
  <c r="B38" i="109"/>
  <c r="BU37" i="109"/>
  <c r="BT37" i="109"/>
  <c r="BS37" i="109"/>
  <c r="BR37" i="109"/>
  <c r="BQ37" i="109"/>
  <c r="O37" i="109"/>
  <c r="K37" i="109"/>
  <c r="B37" i="109"/>
  <c r="BU36" i="109"/>
  <c r="BT36" i="109"/>
  <c r="BS36" i="109"/>
  <c r="BR36" i="109"/>
  <c r="BQ36" i="109"/>
  <c r="O36" i="109"/>
  <c r="K36" i="109"/>
  <c r="B36" i="109"/>
  <c r="BU35" i="109"/>
  <c r="BT35" i="109"/>
  <c r="BS35" i="109"/>
  <c r="BR35" i="109"/>
  <c r="BQ35" i="109"/>
  <c r="O35" i="109"/>
  <c r="K35" i="109"/>
  <c r="B35" i="109"/>
  <c r="BU34" i="109"/>
  <c r="BT34" i="109"/>
  <c r="BS34" i="109"/>
  <c r="BR34" i="109"/>
  <c r="BQ34" i="109"/>
  <c r="O34" i="109"/>
  <c r="K34" i="109"/>
  <c r="B34" i="109"/>
  <c r="BU33" i="109"/>
  <c r="BT33" i="109"/>
  <c r="BS33" i="109"/>
  <c r="BR33" i="109"/>
  <c r="BQ33" i="109"/>
  <c r="O33" i="109"/>
  <c r="K33" i="109"/>
  <c r="B33" i="109"/>
  <c r="BU32" i="109"/>
  <c r="BT32" i="109"/>
  <c r="BS32" i="109"/>
  <c r="BR32" i="109"/>
  <c r="BQ32" i="109"/>
  <c r="O32" i="109"/>
  <c r="K32" i="109"/>
  <c r="B32" i="109"/>
  <c r="BU31" i="109"/>
  <c r="BT31" i="109"/>
  <c r="BS31" i="109"/>
  <c r="BR31" i="109"/>
  <c r="BQ31" i="109"/>
  <c r="O31" i="109"/>
  <c r="K31" i="109"/>
  <c r="B31" i="109"/>
  <c r="BU30" i="109"/>
  <c r="BT30" i="109"/>
  <c r="BS30" i="109"/>
  <c r="BR30" i="109"/>
  <c r="BQ30" i="109"/>
  <c r="O30" i="109"/>
  <c r="K30" i="109"/>
  <c r="B30" i="109"/>
  <c r="BU29" i="109"/>
  <c r="BT29" i="109"/>
  <c r="BS29" i="109"/>
  <c r="BR29" i="109"/>
  <c r="BQ29" i="109"/>
  <c r="O29" i="109"/>
  <c r="K29" i="109"/>
  <c r="B29" i="109"/>
  <c r="BU28" i="109"/>
  <c r="BT28" i="109"/>
  <c r="BS28" i="109"/>
  <c r="BR28" i="109"/>
  <c r="BQ28" i="109"/>
  <c r="O28" i="109"/>
  <c r="K28" i="109"/>
  <c r="B28" i="109"/>
  <c r="BU27" i="109"/>
  <c r="BT27" i="109"/>
  <c r="BS27" i="109"/>
  <c r="BR27" i="109"/>
  <c r="BQ27" i="109"/>
  <c r="O27" i="109"/>
  <c r="K27" i="109"/>
  <c r="B27" i="109"/>
  <c r="BU26" i="109"/>
  <c r="BT26" i="109"/>
  <c r="BS26" i="109"/>
  <c r="BR26" i="109"/>
  <c r="BQ26" i="109"/>
  <c r="O26" i="109"/>
  <c r="K26" i="109"/>
  <c r="B26" i="109"/>
  <c r="BU25" i="109"/>
  <c r="BT25" i="109"/>
  <c r="BS25" i="109"/>
  <c r="BR25" i="109"/>
  <c r="BQ25" i="109"/>
  <c r="O25" i="109"/>
  <c r="K25" i="109"/>
  <c r="B25" i="109"/>
  <c r="BU24" i="109"/>
  <c r="BT24" i="109"/>
  <c r="BS24" i="109"/>
  <c r="BR24" i="109"/>
  <c r="BQ24" i="109"/>
  <c r="O24" i="109"/>
  <c r="K24" i="109"/>
  <c r="B24" i="109"/>
  <c r="BU23" i="109"/>
  <c r="BT23" i="109"/>
  <c r="BS23" i="109"/>
  <c r="BR23" i="109"/>
  <c r="BQ23" i="109"/>
  <c r="O23" i="109"/>
  <c r="K23" i="109"/>
  <c r="B23" i="109"/>
  <c r="BU22" i="109"/>
  <c r="BT22" i="109"/>
  <c r="BS22" i="109"/>
  <c r="BR22" i="109"/>
  <c r="BQ22" i="109"/>
  <c r="O22" i="109"/>
  <c r="K22" i="109"/>
  <c r="B22" i="109"/>
  <c r="BU21" i="109"/>
  <c r="BT21" i="109"/>
  <c r="BS21" i="109"/>
  <c r="BR21" i="109"/>
  <c r="BQ21" i="109"/>
  <c r="O21" i="109"/>
  <c r="K21" i="109"/>
  <c r="B21" i="109"/>
  <c r="BU20" i="109"/>
  <c r="BT20" i="109"/>
  <c r="BS20" i="109"/>
  <c r="BR20" i="109"/>
  <c r="BQ20" i="109"/>
  <c r="O20" i="109"/>
  <c r="K20" i="109"/>
  <c r="B20" i="109"/>
  <c r="BU19" i="109"/>
  <c r="BT19" i="109"/>
  <c r="BS19" i="109"/>
  <c r="BR19" i="109"/>
  <c r="BQ19" i="109"/>
  <c r="O19" i="109"/>
  <c r="K19" i="109"/>
  <c r="B19" i="109"/>
  <c r="O18" i="109"/>
  <c r="K18" i="109"/>
  <c r="B18" i="109"/>
  <c r="O17" i="109"/>
  <c r="K17" i="109"/>
  <c r="B17" i="109"/>
  <c r="O16" i="109"/>
  <c r="K16" i="109"/>
  <c r="B16" i="109"/>
  <c r="O15" i="109"/>
  <c r="K15" i="109"/>
  <c r="B15" i="109"/>
  <c r="BU14" i="109"/>
  <c r="BU18" i="109" s="1"/>
  <c r="BT14" i="109"/>
  <c r="BT17" i="109" s="1"/>
  <c r="BS14" i="109"/>
  <c r="BS18" i="109" s="1"/>
  <c r="BR14" i="109"/>
  <c r="BR17" i="109" s="1"/>
  <c r="BQ14" i="109"/>
  <c r="BQ16" i="109" s="1"/>
  <c r="V13" i="109"/>
  <c r="BC13" i="109" s="1"/>
  <c r="U13" i="109"/>
  <c r="BB13" i="109" s="1"/>
  <c r="D13" i="109"/>
  <c r="C13" i="109"/>
  <c r="F11" i="109"/>
  <c r="F10" i="109"/>
  <c r="H9" i="109"/>
  <c r="F9" i="109"/>
  <c r="H8" i="109"/>
  <c r="F8" i="109"/>
  <c r="H7" i="109"/>
  <c r="F7" i="109"/>
  <c r="H6" i="109"/>
  <c r="F6" i="109"/>
  <c r="H5" i="109"/>
  <c r="F5" i="109"/>
  <c r="F4" i="109"/>
  <c r="AK3" i="109"/>
  <c r="T3" i="109"/>
  <c r="S3" i="109"/>
  <c r="AT2" i="109"/>
  <c r="AS2" i="109"/>
  <c r="AR2" i="109"/>
  <c r="AQ2" i="109"/>
  <c r="AP2" i="109"/>
  <c r="AO2" i="109"/>
  <c r="AN2" i="109"/>
  <c r="T2" i="109"/>
  <c r="S2" i="109"/>
  <c r="F1" i="109"/>
  <c r="S45" i="108"/>
  <c r="R45" i="108"/>
  <c r="P45" i="108"/>
  <c r="N45" i="108"/>
  <c r="L45" i="108"/>
  <c r="J45" i="108"/>
  <c r="I45" i="108"/>
  <c r="H45" i="108"/>
  <c r="BU44" i="108"/>
  <c r="BT44" i="108"/>
  <c r="BS44" i="108"/>
  <c r="BR44" i="108"/>
  <c r="BQ44" i="108"/>
  <c r="O44" i="108"/>
  <c r="K44" i="108"/>
  <c r="B44" i="108"/>
  <c r="BU43" i="108"/>
  <c r="BT43" i="108"/>
  <c r="BS43" i="108"/>
  <c r="BR43" i="108"/>
  <c r="BQ43" i="108"/>
  <c r="O43" i="108"/>
  <c r="K43" i="108"/>
  <c r="B43" i="108"/>
  <c r="BU42" i="108"/>
  <c r="BT42" i="108"/>
  <c r="BS42" i="108"/>
  <c r="BR42" i="108"/>
  <c r="BQ42" i="108"/>
  <c r="O42" i="108"/>
  <c r="K42" i="108"/>
  <c r="B42" i="108"/>
  <c r="BU41" i="108"/>
  <c r="BT41" i="108"/>
  <c r="BS41" i="108"/>
  <c r="BR41" i="108"/>
  <c r="BQ41" i="108"/>
  <c r="O41" i="108"/>
  <c r="K41" i="108"/>
  <c r="B41" i="108"/>
  <c r="BU40" i="108"/>
  <c r="BT40" i="108"/>
  <c r="BS40" i="108"/>
  <c r="BR40" i="108"/>
  <c r="BQ40" i="108"/>
  <c r="O40" i="108"/>
  <c r="K40" i="108"/>
  <c r="B40" i="108"/>
  <c r="BU39" i="108"/>
  <c r="BT39" i="108"/>
  <c r="BS39" i="108"/>
  <c r="BR39" i="108"/>
  <c r="BQ39" i="108"/>
  <c r="O39" i="108"/>
  <c r="K39" i="108"/>
  <c r="B39" i="108"/>
  <c r="BU38" i="108"/>
  <c r="BT38" i="108"/>
  <c r="BS38" i="108"/>
  <c r="BR38" i="108"/>
  <c r="BQ38" i="108"/>
  <c r="O38" i="108"/>
  <c r="K38" i="108"/>
  <c r="B38" i="108"/>
  <c r="BU37" i="108"/>
  <c r="BT37" i="108"/>
  <c r="BS37" i="108"/>
  <c r="BR37" i="108"/>
  <c r="BQ37" i="108"/>
  <c r="O37" i="108"/>
  <c r="K37" i="108"/>
  <c r="B37" i="108"/>
  <c r="BU36" i="108"/>
  <c r="BT36" i="108"/>
  <c r="BS36" i="108"/>
  <c r="BR36" i="108"/>
  <c r="BQ36" i="108"/>
  <c r="O36" i="108"/>
  <c r="K36" i="108"/>
  <c r="B36" i="108"/>
  <c r="BU35" i="108"/>
  <c r="BT35" i="108"/>
  <c r="BS35" i="108"/>
  <c r="BR35" i="108"/>
  <c r="BQ35" i="108"/>
  <c r="O35" i="108"/>
  <c r="K35" i="108"/>
  <c r="B35" i="108"/>
  <c r="BU34" i="108"/>
  <c r="BT34" i="108"/>
  <c r="BS34" i="108"/>
  <c r="BR34" i="108"/>
  <c r="BQ34" i="108"/>
  <c r="O34" i="108"/>
  <c r="K34" i="108"/>
  <c r="B34" i="108"/>
  <c r="BU33" i="108"/>
  <c r="BT33" i="108"/>
  <c r="BS33" i="108"/>
  <c r="BR33" i="108"/>
  <c r="BQ33" i="108"/>
  <c r="O33" i="108"/>
  <c r="K33" i="108"/>
  <c r="B33" i="108"/>
  <c r="BU32" i="108"/>
  <c r="BT32" i="108"/>
  <c r="BS32" i="108"/>
  <c r="BR32" i="108"/>
  <c r="BQ32" i="108"/>
  <c r="O32" i="108"/>
  <c r="K32" i="108"/>
  <c r="B32" i="108"/>
  <c r="BU31" i="108"/>
  <c r="BT31" i="108"/>
  <c r="BS31" i="108"/>
  <c r="BR31" i="108"/>
  <c r="BQ31" i="108"/>
  <c r="O31" i="108"/>
  <c r="K31" i="108"/>
  <c r="B31" i="108"/>
  <c r="BU30" i="108"/>
  <c r="BT30" i="108"/>
  <c r="BS30" i="108"/>
  <c r="BR30" i="108"/>
  <c r="BQ30" i="108"/>
  <c r="O30" i="108"/>
  <c r="K30" i="108"/>
  <c r="B30" i="108"/>
  <c r="BU29" i="108"/>
  <c r="BT29" i="108"/>
  <c r="BS29" i="108"/>
  <c r="BR29" i="108"/>
  <c r="BQ29" i="108"/>
  <c r="O29" i="108"/>
  <c r="K29" i="108"/>
  <c r="B29" i="108"/>
  <c r="BU28" i="108"/>
  <c r="BT28" i="108"/>
  <c r="BS28" i="108"/>
  <c r="BR28" i="108"/>
  <c r="BQ28" i="108"/>
  <c r="O28" i="108"/>
  <c r="K28" i="108"/>
  <c r="B28" i="108"/>
  <c r="BU27" i="108"/>
  <c r="BT27" i="108"/>
  <c r="BS27" i="108"/>
  <c r="BR27" i="108"/>
  <c r="BQ27" i="108"/>
  <c r="O27" i="108"/>
  <c r="K27" i="108"/>
  <c r="B27" i="108"/>
  <c r="BU26" i="108"/>
  <c r="BT26" i="108"/>
  <c r="BS26" i="108"/>
  <c r="BR26" i="108"/>
  <c r="BQ26" i="108"/>
  <c r="O26" i="108"/>
  <c r="K26" i="108"/>
  <c r="B26" i="108"/>
  <c r="BU25" i="108"/>
  <c r="BT25" i="108"/>
  <c r="BS25" i="108"/>
  <c r="BR25" i="108"/>
  <c r="BQ25" i="108"/>
  <c r="O25" i="108"/>
  <c r="K25" i="108"/>
  <c r="B25" i="108"/>
  <c r="BU24" i="108"/>
  <c r="BT24" i="108"/>
  <c r="BS24" i="108"/>
  <c r="BR24" i="108"/>
  <c r="BQ24" i="108"/>
  <c r="O24" i="108"/>
  <c r="K24" i="108"/>
  <c r="B24" i="108"/>
  <c r="BU23" i="108"/>
  <c r="BT23" i="108"/>
  <c r="BS23" i="108"/>
  <c r="BR23" i="108"/>
  <c r="BQ23" i="108"/>
  <c r="O23" i="108"/>
  <c r="K23" i="108"/>
  <c r="B23" i="108"/>
  <c r="BU22" i="108"/>
  <c r="BT22" i="108"/>
  <c r="BS22" i="108"/>
  <c r="BR22" i="108"/>
  <c r="BQ22" i="108"/>
  <c r="O22" i="108"/>
  <c r="K22" i="108"/>
  <c r="B22" i="108"/>
  <c r="BU21" i="108"/>
  <c r="BT21" i="108"/>
  <c r="BS21" i="108"/>
  <c r="BR21" i="108"/>
  <c r="BQ21" i="108"/>
  <c r="O21" i="108"/>
  <c r="K21" i="108"/>
  <c r="B21" i="108"/>
  <c r="BU20" i="108"/>
  <c r="BT20" i="108"/>
  <c r="BS20" i="108"/>
  <c r="BR20" i="108"/>
  <c r="BQ20" i="108"/>
  <c r="O20" i="108"/>
  <c r="K20" i="108"/>
  <c r="B20" i="108"/>
  <c r="BU19" i="108"/>
  <c r="BT19" i="108"/>
  <c r="BS19" i="108"/>
  <c r="BR19" i="108"/>
  <c r="BQ19" i="108"/>
  <c r="O19" i="108"/>
  <c r="K19" i="108"/>
  <c r="B19" i="108"/>
  <c r="BU18" i="108"/>
  <c r="BT18" i="108"/>
  <c r="BS18" i="108"/>
  <c r="BR18" i="108"/>
  <c r="BQ18" i="108"/>
  <c r="O18" i="108"/>
  <c r="K18" i="108"/>
  <c r="B18" i="108"/>
  <c r="BU17" i="108"/>
  <c r="BT17" i="108"/>
  <c r="BS17" i="108"/>
  <c r="BR17" i="108"/>
  <c r="BQ17" i="108"/>
  <c r="O17" i="108"/>
  <c r="K17" i="108"/>
  <c r="B17" i="108"/>
  <c r="BU16" i="108"/>
  <c r="BT16" i="108"/>
  <c r="BS16" i="108"/>
  <c r="BR16" i="108"/>
  <c r="BQ16" i="108"/>
  <c r="O16" i="108"/>
  <c r="K16" i="108"/>
  <c r="B16" i="108"/>
  <c r="O15" i="108"/>
  <c r="K15" i="108"/>
  <c r="B15" i="108"/>
  <c r="BU14" i="108"/>
  <c r="BU15" i="108" s="1"/>
  <c r="BT14" i="108"/>
  <c r="BT15" i="108" s="1"/>
  <c r="BS14" i="108"/>
  <c r="BS15" i="108" s="1"/>
  <c r="BR14" i="108"/>
  <c r="BR15" i="108" s="1"/>
  <c r="BQ14" i="108"/>
  <c r="BQ15" i="108" s="1"/>
  <c r="V13" i="108"/>
  <c r="BC13" i="108" s="1"/>
  <c r="U13" i="108"/>
  <c r="BB13" i="108" s="1"/>
  <c r="D13" i="108"/>
  <c r="C13" i="108"/>
  <c r="F11" i="108"/>
  <c r="F10" i="108"/>
  <c r="H9" i="108"/>
  <c r="F9" i="108"/>
  <c r="H8" i="108"/>
  <c r="F8" i="108"/>
  <c r="H7" i="108"/>
  <c r="F7" i="108"/>
  <c r="H6" i="108"/>
  <c r="F6" i="108"/>
  <c r="H5" i="108"/>
  <c r="F5" i="108"/>
  <c r="F4" i="108"/>
  <c r="AK3" i="108"/>
  <c r="T3" i="108"/>
  <c r="S3" i="108"/>
  <c r="AT2" i="108"/>
  <c r="AS2" i="108"/>
  <c r="AR2" i="108"/>
  <c r="AQ2" i="108"/>
  <c r="AP2" i="108"/>
  <c r="AO2" i="108"/>
  <c r="AN2" i="108"/>
  <c r="T2" i="108"/>
  <c r="S2" i="108"/>
  <c r="F1" i="108"/>
  <c r="S45" i="107"/>
  <c r="R45" i="107"/>
  <c r="P45" i="107"/>
  <c r="N45" i="107"/>
  <c r="L45" i="107"/>
  <c r="J45" i="107"/>
  <c r="I45" i="107"/>
  <c r="H45" i="107"/>
  <c r="BU44" i="107"/>
  <c r="BT44" i="107"/>
  <c r="BS44" i="107"/>
  <c r="BR44" i="107"/>
  <c r="BQ44" i="107"/>
  <c r="O44" i="107"/>
  <c r="K44" i="107"/>
  <c r="B44" i="107"/>
  <c r="BU43" i="107"/>
  <c r="BT43" i="107"/>
  <c r="BS43" i="107"/>
  <c r="BR43" i="107"/>
  <c r="BQ43" i="107"/>
  <c r="O43" i="107"/>
  <c r="K43" i="107"/>
  <c r="B43" i="107"/>
  <c r="BU42" i="107"/>
  <c r="BT42" i="107"/>
  <c r="BS42" i="107"/>
  <c r="BR42" i="107"/>
  <c r="BQ42" i="107"/>
  <c r="O42" i="107"/>
  <c r="K42" i="107"/>
  <c r="B42" i="107"/>
  <c r="BU41" i="107"/>
  <c r="BT41" i="107"/>
  <c r="BS41" i="107"/>
  <c r="BR41" i="107"/>
  <c r="BQ41" i="107"/>
  <c r="O41" i="107"/>
  <c r="K41" i="107"/>
  <c r="B41" i="107"/>
  <c r="BU40" i="107"/>
  <c r="BT40" i="107"/>
  <c r="BS40" i="107"/>
  <c r="BR40" i="107"/>
  <c r="BQ40" i="107"/>
  <c r="O40" i="107"/>
  <c r="K40" i="107"/>
  <c r="B40" i="107"/>
  <c r="BU39" i="107"/>
  <c r="BT39" i="107"/>
  <c r="BS39" i="107"/>
  <c r="BR39" i="107"/>
  <c r="BQ39" i="107"/>
  <c r="O39" i="107"/>
  <c r="K39" i="107"/>
  <c r="B39" i="107"/>
  <c r="BU38" i="107"/>
  <c r="BT38" i="107"/>
  <c r="BS38" i="107"/>
  <c r="BR38" i="107"/>
  <c r="BQ38" i="107"/>
  <c r="O38" i="107"/>
  <c r="K38" i="107"/>
  <c r="B38" i="107"/>
  <c r="BU37" i="107"/>
  <c r="BT37" i="107"/>
  <c r="BS37" i="107"/>
  <c r="BR37" i="107"/>
  <c r="BQ37" i="107"/>
  <c r="O37" i="107"/>
  <c r="K37" i="107"/>
  <c r="B37" i="107"/>
  <c r="BU36" i="107"/>
  <c r="BT36" i="107"/>
  <c r="BS36" i="107"/>
  <c r="BR36" i="107"/>
  <c r="BQ36" i="107"/>
  <c r="O36" i="107"/>
  <c r="K36" i="107"/>
  <c r="B36" i="107"/>
  <c r="BU35" i="107"/>
  <c r="BT35" i="107"/>
  <c r="BS35" i="107"/>
  <c r="BR35" i="107"/>
  <c r="BQ35" i="107"/>
  <c r="O35" i="107"/>
  <c r="K35" i="107"/>
  <c r="B35" i="107"/>
  <c r="BU34" i="107"/>
  <c r="BT34" i="107"/>
  <c r="BS34" i="107"/>
  <c r="BR34" i="107"/>
  <c r="BQ34" i="107"/>
  <c r="O34" i="107"/>
  <c r="K34" i="107"/>
  <c r="B34" i="107"/>
  <c r="BU33" i="107"/>
  <c r="BT33" i="107"/>
  <c r="BS33" i="107"/>
  <c r="BR33" i="107"/>
  <c r="BQ33" i="107"/>
  <c r="O33" i="107"/>
  <c r="K33" i="107"/>
  <c r="B33" i="107"/>
  <c r="BU32" i="107"/>
  <c r="BT32" i="107"/>
  <c r="BS32" i="107"/>
  <c r="BR32" i="107"/>
  <c r="BQ32" i="107"/>
  <c r="O32" i="107"/>
  <c r="K32" i="107"/>
  <c r="B32" i="107"/>
  <c r="BU31" i="107"/>
  <c r="BT31" i="107"/>
  <c r="BS31" i="107"/>
  <c r="BR31" i="107"/>
  <c r="BQ31" i="107"/>
  <c r="O31" i="107"/>
  <c r="K31" i="107"/>
  <c r="B31" i="107"/>
  <c r="BU30" i="107"/>
  <c r="BT30" i="107"/>
  <c r="BS30" i="107"/>
  <c r="BR30" i="107"/>
  <c r="BQ30" i="107"/>
  <c r="O30" i="107"/>
  <c r="K30" i="107"/>
  <c r="B30" i="107"/>
  <c r="BU29" i="107"/>
  <c r="BT29" i="107"/>
  <c r="BS29" i="107"/>
  <c r="BR29" i="107"/>
  <c r="BQ29" i="107"/>
  <c r="O29" i="107"/>
  <c r="K29" i="107"/>
  <c r="B29" i="107"/>
  <c r="BU28" i="107"/>
  <c r="BT28" i="107"/>
  <c r="BS28" i="107"/>
  <c r="BR28" i="107"/>
  <c r="BQ28" i="107"/>
  <c r="O28" i="107"/>
  <c r="K28" i="107"/>
  <c r="B28" i="107"/>
  <c r="BU27" i="107"/>
  <c r="BT27" i="107"/>
  <c r="BS27" i="107"/>
  <c r="BR27" i="107"/>
  <c r="BQ27" i="107"/>
  <c r="O27" i="107"/>
  <c r="K27" i="107"/>
  <c r="B27" i="107"/>
  <c r="BU26" i="107"/>
  <c r="BT26" i="107"/>
  <c r="BS26" i="107"/>
  <c r="BR26" i="107"/>
  <c r="BQ26" i="107"/>
  <c r="O26" i="107"/>
  <c r="K26" i="107"/>
  <c r="B26" i="107"/>
  <c r="BU25" i="107"/>
  <c r="BT25" i="107"/>
  <c r="BS25" i="107"/>
  <c r="BR25" i="107"/>
  <c r="BQ25" i="107"/>
  <c r="O25" i="107"/>
  <c r="K25" i="107"/>
  <c r="B25" i="107"/>
  <c r="BU24" i="107"/>
  <c r="BT24" i="107"/>
  <c r="BS24" i="107"/>
  <c r="BR24" i="107"/>
  <c r="BQ24" i="107"/>
  <c r="O24" i="107"/>
  <c r="K24" i="107"/>
  <c r="B24" i="107"/>
  <c r="BU23" i="107"/>
  <c r="BT23" i="107"/>
  <c r="BS23" i="107"/>
  <c r="BR23" i="107"/>
  <c r="BQ23" i="107"/>
  <c r="O23" i="107"/>
  <c r="K23" i="107"/>
  <c r="B23" i="107"/>
  <c r="BU22" i="107"/>
  <c r="BT22" i="107"/>
  <c r="BS22" i="107"/>
  <c r="BR22" i="107"/>
  <c r="BQ22" i="107"/>
  <c r="O22" i="107"/>
  <c r="K22" i="107"/>
  <c r="B22" i="107"/>
  <c r="BU21" i="107"/>
  <c r="BT21" i="107"/>
  <c r="BS21" i="107"/>
  <c r="BR21" i="107"/>
  <c r="BQ21" i="107"/>
  <c r="O21" i="107"/>
  <c r="K21" i="107"/>
  <c r="B21" i="107"/>
  <c r="BU20" i="107"/>
  <c r="BT20" i="107"/>
  <c r="BS20" i="107"/>
  <c r="BR20" i="107"/>
  <c r="BQ20" i="107"/>
  <c r="O20" i="107"/>
  <c r="K20" i="107"/>
  <c r="B20" i="107"/>
  <c r="BU19" i="107"/>
  <c r="BT19" i="107"/>
  <c r="BS19" i="107"/>
  <c r="BR19" i="107"/>
  <c r="BQ19" i="107"/>
  <c r="O19" i="107"/>
  <c r="K19" i="107"/>
  <c r="B19" i="107"/>
  <c r="BU18" i="107"/>
  <c r="BT18" i="107"/>
  <c r="BS18" i="107"/>
  <c r="BR18" i="107"/>
  <c r="BQ18" i="107"/>
  <c r="O18" i="107"/>
  <c r="K18" i="107"/>
  <c r="B18" i="107"/>
  <c r="BU17" i="107"/>
  <c r="BT17" i="107"/>
  <c r="BS17" i="107"/>
  <c r="BR17" i="107"/>
  <c r="BQ17" i="107"/>
  <c r="O17" i="107"/>
  <c r="K17" i="107"/>
  <c r="B17" i="107"/>
  <c r="O16" i="107"/>
  <c r="K16" i="107"/>
  <c r="B16" i="107"/>
  <c r="O15" i="107"/>
  <c r="K15" i="107"/>
  <c r="B15" i="107"/>
  <c r="BU14" i="107"/>
  <c r="BU15" i="107" s="1"/>
  <c r="BT14" i="107"/>
  <c r="BT16" i="107" s="1"/>
  <c r="BS14" i="107"/>
  <c r="BS15" i="107" s="1"/>
  <c r="BR14" i="107"/>
  <c r="BR15" i="107" s="1"/>
  <c r="BQ14" i="107"/>
  <c r="BQ15" i="107" s="1"/>
  <c r="V13" i="107"/>
  <c r="BC13" i="107" s="1"/>
  <c r="U13" i="107"/>
  <c r="BB13" i="107" s="1"/>
  <c r="D13" i="107"/>
  <c r="C13" i="107"/>
  <c r="F11" i="107"/>
  <c r="F10" i="107"/>
  <c r="H9" i="107"/>
  <c r="F9" i="107"/>
  <c r="H8" i="107"/>
  <c r="F8" i="107"/>
  <c r="H7" i="107"/>
  <c r="F7" i="107"/>
  <c r="H6" i="107"/>
  <c r="F6" i="107"/>
  <c r="H5" i="107"/>
  <c r="F5" i="107"/>
  <c r="F4" i="107"/>
  <c r="AK3" i="107"/>
  <c r="T3" i="107"/>
  <c r="S3" i="107"/>
  <c r="AT2" i="107"/>
  <c r="AS2" i="107"/>
  <c r="AR2" i="107"/>
  <c r="AQ2" i="107"/>
  <c r="AP2" i="107"/>
  <c r="AO2" i="107"/>
  <c r="AN2" i="107"/>
  <c r="T2" i="107"/>
  <c r="S2" i="107"/>
  <c r="F1" i="107"/>
  <c r="S45" i="106"/>
  <c r="R45" i="106"/>
  <c r="P45" i="106"/>
  <c r="N45" i="106"/>
  <c r="L45" i="106"/>
  <c r="J45" i="106"/>
  <c r="I45" i="106"/>
  <c r="H45" i="106"/>
  <c r="BU44" i="106"/>
  <c r="BT44" i="106"/>
  <c r="BS44" i="106"/>
  <c r="BR44" i="106"/>
  <c r="BQ44" i="106"/>
  <c r="O44" i="106"/>
  <c r="K44" i="106"/>
  <c r="B44" i="106"/>
  <c r="BU43" i="106"/>
  <c r="BT43" i="106"/>
  <c r="BS43" i="106"/>
  <c r="BR43" i="106"/>
  <c r="BQ43" i="106"/>
  <c r="O43" i="106"/>
  <c r="K43" i="106"/>
  <c r="B43" i="106"/>
  <c r="BU42" i="106"/>
  <c r="BT42" i="106"/>
  <c r="BS42" i="106"/>
  <c r="BR42" i="106"/>
  <c r="BQ42" i="106"/>
  <c r="O42" i="106"/>
  <c r="K42" i="106"/>
  <c r="B42" i="106"/>
  <c r="BU41" i="106"/>
  <c r="BT41" i="106"/>
  <c r="BS41" i="106"/>
  <c r="BR41" i="106"/>
  <c r="BQ41" i="106"/>
  <c r="O41" i="106"/>
  <c r="K41" i="106"/>
  <c r="B41" i="106"/>
  <c r="BU40" i="106"/>
  <c r="BT40" i="106"/>
  <c r="BS40" i="106"/>
  <c r="BR40" i="106"/>
  <c r="BQ40" i="106"/>
  <c r="O40" i="106"/>
  <c r="K40" i="106"/>
  <c r="B40" i="106"/>
  <c r="BU39" i="106"/>
  <c r="BT39" i="106"/>
  <c r="BS39" i="106"/>
  <c r="BR39" i="106"/>
  <c r="BQ39" i="106"/>
  <c r="O39" i="106"/>
  <c r="K39" i="106"/>
  <c r="B39" i="106"/>
  <c r="BU38" i="106"/>
  <c r="BT38" i="106"/>
  <c r="BS38" i="106"/>
  <c r="BR38" i="106"/>
  <c r="BQ38" i="106"/>
  <c r="O38" i="106"/>
  <c r="K38" i="106"/>
  <c r="B38" i="106"/>
  <c r="BU37" i="106"/>
  <c r="BT37" i="106"/>
  <c r="BS37" i="106"/>
  <c r="BR37" i="106"/>
  <c r="BQ37" i="106"/>
  <c r="O37" i="106"/>
  <c r="K37" i="106"/>
  <c r="B37" i="106"/>
  <c r="BU36" i="106"/>
  <c r="BT36" i="106"/>
  <c r="BS36" i="106"/>
  <c r="BR36" i="106"/>
  <c r="BQ36" i="106"/>
  <c r="O36" i="106"/>
  <c r="K36" i="106"/>
  <c r="B36" i="106"/>
  <c r="BU35" i="106"/>
  <c r="BT35" i="106"/>
  <c r="BS35" i="106"/>
  <c r="BR35" i="106"/>
  <c r="BQ35" i="106"/>
  <c r="O35" i="106"/>
  <c r="K35" i="106"/>
  <c r="B35" i="106"/>
  <c r="BU34" i="106"/>
  <c r="BT34" i="106"/>
  <c r="BS34" i="106"/>
  <c r="BR34" i="106"/>
  <c r="BQ34" i="106"/>
  <c r="O34" i="106"/>
  <c r="K34" i="106"/>
  <c r="B34" i="106"/>
  <c r="BU33" i="106"/>
  <c r="BT33" i="106"/>
  <c r="BS33" i="106"/>
  <c r="BR33" i="106"/>
  <c r="BQ33" i="106"/>
  <c r="O33" i="106"/>
  <c r="K33" i="106"/>
  <c r="B33" i="106"/>
  <c r="BU32" i="106"/>
  <c r="BT32" i="106"/>
  <c r="BS32" i="106"/>
  <c r="BR32" i="106"/>
  <c r="BQ32" i="106"/>
  <c r="O32" i="106"/>
  <c r="K32" i="106"/>
  <c r="B32" i="106"/>
  <c r="BU31" i="106"/>
  <c r="BT31" i="106"/>
  <c r="BS31" i="106"/>
  <c r="BR31" i="106"/>
  <c r="BQ31" i="106"/>
  <c r="O31" i="106"/>
  <c r="K31" i="106"/>
  <c r="B31" i="106"/>
  <c r="BU30" i="106"/>
  <c r="BT30" i="106"/>
  <c r="BS30" i="106"/>
  <c r="BR30" i="106"/>
  <c r="BQ30" i="106"/>
  <c r="O30" i="106"/>
  <c r="K30" i="106"/>
  <c r="B30" i="106"/>
  <c r="BU29" i="106"/>
  <c r="BT29" i="106"/>
  <c r="BS29" i="106"/>
  <c r="BR29" i="106"/>
  <c r="BQ29" i="106"/>
  <c r="O29" i="106"/>
  <c r="K29" i="106"/>
  <c r="B29" i="106"/>
  <c r="BU28" i="106"/>
  <c r="BT28" i="106"/>
  <c r="BS28" i="106"/>
  <c r="BR28" i="106"/>
  <c r="BQ28" i="106"/>
  <c r="O28" i="106"/>
  <c r="K28" i="106"/>
  <c r="B28" i="106"/>
  <c r="BU27" i="106"/>
  <c r="BT27" i="106"/>
  <c r="BS27" i="106"/>
  <c r="BR27" i="106"/>
  <c r="BQ27" i="106"/>
  <c r="O27" i="106"/>
  <c r="K27" i="106"/>
  <c r="B27" i="106"/>
  <c r="BU26" i="106"/>
  <c r="BT26" i="106"/>
  <c r="BS26" i="106"/>
  <c r="BR26" i="106"/>
  <c r="BQ26" i="106"/>
  <c r="O26" i="106"/>
  <c r="K26" i="106"/>
  <c r="B26" i="106"/>
  <c r="BU25" i="106"/>
  <c r="BT25" i="106"/>
  <c r="BS25" i="106"/>
  <c r="BR25" i="106"/>
  <c r="BQ25" i="106"/>
  <c r="O25" i="106"/>
  <c r="K25" i="106"/>
  <c r="B25" i="106"/>
  <c r="BU24" i="106"/>
  <c r="BT24" i="106"/>
  <c r="BS24" i="106"/>
  <c r="BR24" i="106"/>
  <c r="BQ24" i="106"/>
  <c r="O24" i="106"/>
  <c r="K24" i="106"/>
  <c r="B24" i="106"/>
  <c r="BU23" i="106"/>
  <c r="BT23" i="106"/>
  <c r="BS23" i="106"/>
  <c r="BR23" i="106"/>
  <c r="BQ23" i="106"/>
  <c r="O23" i="106"/>
  <c r="K23" i="106"/>
  <c r="B23" i="106"/>
  <c r="O22" i="106"/>
  <c r="K22" i="106"/>
  <c r="B22" i="106"/>
  <c r="O21" i="106"/>
  <c r="K21" i="106"/>
  <c r="B21" i="106"/>
  <c r="O20" i="106"/>
  <c r="K20" i="106"/>
  <c r="B20" i="106"/>
  <c r="O19" i="106"/>
  <c r="K19" i="106"/>
  <c r="B19" i="106"/>
  <c r="O18" i="106"/>
  <c r="K18" i="106"/>
  <c r="B18" i="106"/>
  <c r="O17" i="106"/>
  <c r="K17" i="106"/>
  <c r="B17" i="106"/>
  <c r="O16" i="106"/>
  <c r="K16" i="106"/>
  <c r="B16" i="106"/>
  <c r="O15" i="106"/>
  <c r="K15" i="106"/>
  <c r="B15" i="106"/>
  <c r="BU14" i="106"/>
  <c r="BU22" i="106" s="1"/>
  <c r="BT14" i="106"/>
  <c r="BT22" i="106" s="1"/>
  <c r="BS14" i="106"/>
  <c r="BS22" i="106" s="1"/>
  <c r="BR14" i="106"/>
  <c r="BR22" i="106" s="1"/>
  <c r="BQ14" i="106"/>
  <c r="V13" i="106"/>
  <c r="BC13" i="106" s="1"/>
  <c r="U13" i="106"/>
  <c r="BB13" i="106" s="1"/>
  <c r="D13" i="106"/>
  <c r="C13" i="106"/>
  <c r="F11" i="106"/>
  <c r="F10" i="106"/>
  <c r="H9" i="106"/>
  <c r="F9" i="106"/>
  <c r="H8" i="106"/>
  <c r="F8" i="106"/>
  <c r="H7" i="106"/>
  <c r="F7" i="106"/>
  <c r="H6" i="106"/>
  <c r="F6" i="106"/>
  <c r="H5" i="106"/>
  <c r="F5" i="106"/>
  <c r="F4" i="106"/>
  <c r="AK3" i="106"/>
  <c r="T3" i="106"/>
  <c r="S3" i="106"/>
  <c r="AT2" i="106"/>
  <c r="AS2" i="106"/>
  <c r="AR2" i="106"/>
  <c r="AQ2" i="106"/>
  <c r="AP2" i="106"/>
  <c r="AO2" i="106"/>
  <c r="AN2" i="106"/>
  <c r="T2" i="106"/>
  <c r="S2" i="106"/>
  <c r="F1" i="106"/>
  <c r="S45" i="105"/>
  <c r="R45" i="105"/>
  <c r="P45" i="105"/>
  <c r="N45" i="105"/>
  <c r="L45" i="105"/>
  <c r="J45" i="105"/>
  <c r="I45" i="105"/>
  <c r="H45" i="105"/>
  <c r="BU44" i="105"/>
  <c r="BT44" i="105"/>
  <c r="BS44" i="105"/>
  <c r="BR44" i="105"/>
  <c r="BQ44" i="105"/>
  <c r="O44" i="105"/>
  <c r="K44" i="105"/>
  <c r="B44" i="105"/>
  <c r="BU43" i="105"/>
  <c r="BT43" i="105"/>
  <c r="BS43" i="105"/>
  <c r="BR43" i="105"/>
  <c r="BQ43" i="105"/>
  <c r="O43" i="105"/>
  <c r="K43" i="105"/>
  <c r="B43" i="105"/>
  <c r="BU42" i="105"/>
  <c r="BT42" i="105"/>
  <c r="BS42" i="105"/>
  <c r="BR42" i="105"/>
  <c r="BQ42" i="105"/>
  <c r="O42" i="105"/>
  <c r="K42" i="105"/>
  <c r="B42" i="105"/>
  <c r="BU41" i="105"/>
  <c r="BT41" i="105"/>
  <c r="BS41" i="105"/>
  <c r="BR41" i="105"/>
  <c r="BQ41" i="105"/>
  <c r="O41" i="105"/>
  <c r="K41" i="105"/>
  <c r="B41" i="105"/>
  <c r="BU40" i="105"/>
  <c r="BT40" i="105"/>
  <c r="BS40" i="105"/>
  <c r="BR40" i="105"/>
  <c r="BQ40" i="105"/>
  <c r="O40" i="105"/>
  <c r="K40" i="105"/>
  <c r="B40" i="105"/>
  <c r="BU39" i="105"/>
  <c r="BT39" i="105"/>
  <c r="BS39" i="105"/>
  <c r="BR39" i="105"/>
  <c r="BQ39" i="105"/>
  <c r="O39" i="105"/>
  <c r="K39" i="105"/>
  <c r="B39" i="105"/>
  <c r="BU38" i="105"/>
  <c r="BT38" i="105"/>
  <c r="BS38" i="105"/>
  <c r="BR38" i="105"/>
  <c r="BQ38" i="105"/>
  <c r="O38" i="105"/>
  <c r="K38" i="105"/>
  <c r="B38" i="105"/>
  <c r="BU37" i="105"/>
  <c r="BT37" i="105"/>
  <c r="BS37" i="105"/>
  <c r="BR37" i="105"/>
  <c r="BQ37" i="105"/>
  <c r="O37" i="105"/>
  <c r="K37" i="105"/>
  <c r="B37" i="105"/>
  <c r="BU36" i="105"/>
  <c r="BT36" i="105"/>
  <c r="BS36" i="105"/>
  <c r="BR36" i="105"/>
  <c r="BQ36" i="105"/>
  <c r="O36" i="105"/>
  <c r="K36" i="105"/>
  <c r="B36" i="105"/>
  <c r="BU35" i="105"/>
  <c r="BT35" i="105"/>
  <c r="BS35" i="105"/>
  <c r="BR35" i="105"/>
  <c r="BQ35" i="105"/>
  <c r="O35" i="105"/>
  <c r="K35" i="105"/>
  <c r="B35" i="105"/>
  <c r="BU34" i="105"/>
  <c r="BT34" i="105"/>
  <c r="BS34" i="105"/>
  <c r="BR34" i="105"/>
  <c r="BQ34" i="105"/>
  <c r="O34" i="105"/>
  <c r="K34" i="105"/>
  <c r="B34" i="105"/>
  <c r="BU33" i="105"/>
  <c r="BT33" i="105"/>
  <c r="BS33" i="105"/>
  <c r="BR33" i="105"/>
  <c r="BQ33" i="105"/>
  <c r="O33" i="105"/>
  <c r="K33" i="105"/>
  <c r="B33" i="105"/>
  <c r="BU32" i="105"/>
  <c r="BT32" i="105"/>
  <c r="BS32" i="105"/>
  <c r="BR32" i="105"/>
  <c r="BQ32" i="105"/>
  <c r="O32" i="105"/>
  <c r="K32" i="105"/>
  <c r="B32" i="105"/>
  <c r="BU31" i="105"/>
  <c r="BT31" i="105"/>
  <c r="BS31" i="105"/>
  <c r="BR31" i="105"/>
  <c r="BQ31" i="105"/>
  <c r="O31" i="105"/>
  <c r="K31" i="105"/>
  <c r="B31" i="105"/>
  <c r="BU30" i="105"/>
  <c r="BT30" i="105"/>
  <c r="BS30" i="105"/>
  <c r="BR30" i="105"/>
  <c r="BQ30" i="105"/>
  <c r="O30" i="105"/>
  <c r="K30" i="105"/>
  <c r="B30" i="105"/>
  <c r="BU29" i="105"/>
  <c r="BT29" i="105"/>
  <c r="BS29" i="105"/>
  <c r="BR29" i="105"/>
  <c r="BQ29" i="105"/>
  <c r="O29" i="105"/>
  <c r="K29" i="105"/>
  <c r="B29" i="105"/>
  <c r="BU28" i="105"/>
  <c r="BT28" i="105"/>
  <c r="BS28" i="105"/>
  <c r="BR28" i="105"/>
  <c r="BQ28" i="105"/>
  <c r="O28" i="105"/>
  <c r="K28" i="105"/>
  <c r="B28" i="105"/>
  <c r="BU27" i="105"/>
  <c r="BT27" i="105"/>
  <c r="BS27" i="105"/>
  <c r="BR27" i="105"/>
  <c r="BQ27" i="105"/>
  <c r="O27" i="105"/>
  <c r="K27" i="105"/>
  <c r="B27" i="105"/>
  <c r="BU26" i="105"/>
  <c r="BT26" i="105"/>
  <c r="BS26" i="105"/>
  <c r="BR26" i="105"/>
  <c r="BQ26" i="105"/>
  <c r="O26" i="105"/>
  <c r="K26" i="105"/>
  <c r="B26" i="105"/>
  <c r="BU25" i="105"/>
  <c r="BT25" i="105"/>
  <c r="BS25" i="105"/>
  <c r="BR25" i="105"/>
  <c r="BQ25" i="105"/>
  <c r="O25" i="105"/>
  <c r="K25" i="105"/>
  <c r="B25" i="105"/>
  <c r="BU24" i="105"/>
  <c r="BT24" i="105"/>
  <c r="BS24" i="105"/>
  <c r="BR24" i="105"/>
  <c r="BQ24" i="105"/>
  <c r="O24" i="105"/>
  <c r="K24" i="105"/>
  <c r="B24" i="105"/>
  <c r="BU23" i="105"/>
  <c r="BT23" i="105"/>
  <c r="BS23" i="105"/>
  <c r="BR23" i="105"/>
  <c r="BQ23" i="105"/>
  <c r="O23" i="105"/>
  <c r="K23" i="105"/>
  <c r="B23" i="105"/>
  <c r="BU22" i="105"/>
  <c r="BT22" i="105"/>
  <c r="BS22" i="105"/>
  <c r="BR22" i="105"/>
  <c r="BQ22" i="105"/>
  <c r="O22" i="105"/>
  <c r="K22" i="105"/>
  <c r="B22" i="105"/>
  <c r="BU21" i="105"/>
  <c r="BT21" i="105"/>
  <c r="BS21" i="105"/>
  <c r="BR21" i="105"/>
  <c r="BQ21" i="105"/>
  <c r="O21" i="105"/>
  <c r="K21" i="105"/>
  <c r="B21" i="105"/>
  <c r="BU20" i="105"/>
  <c r="BT20" i="105"/>
  <c r="BS20" i="105"/>
  <c r="BR20" i="105"/>
  <c r="BQ20" i="105"/>
  <c r="O20" i="105"/>
  <c r="K20" i="105"/>
  <c r="B20" i="105"/>
  <c r="BU19" i="105"/>
  <c r="BT19" i="105"/>
  <c r="BS19" i="105"/>
  <c r="BR19" i="105"/>
  <c r="BQ19" i="105"/>
  <c r="O19" i="105"/>
  <c r="K19" i="105"/>
  <c r="B19" i="105"/>
  <c r="BU18" i="105"/>
  <c r="BT18" i="105"/>
  <c r="BS18" i="105"/>
  <c r="BR18" i="105"/>
  <c r="BQ18" i="105"/>
  <c r="O18" i="105"/>
  <c r="K18" i="105"/>
  <c r="B18" i="105"/>
  <c r="BU17" i="105"/>
  <c r="BT17" i="105"/>
  <c r="BS17" i="105"/>
  <c r="BR17" i="105"/>
  <c r="BQ17" i="105"/>
  <c r="O17" i="105"/>
  <c r="K17" i="105"/>
  <c r="B17" i="105"/>
  <c r="BU16" i="105"/>
  <c r="BT16" i="105"/>
  <c r="BS16" i="105"/>
  <c r="BR16" i="105"/>
  <c r="BQ16" i="105"/>
  <c r="O16" i="105"/>
  <c r="K16" i="105"/>
  <c r="B16" i="105"/>
  <c r="O15" i="105"/>
  <c r="K15" i="105"/>
  <c r="B15" i="105"/>
  <c r="BU14" i="105"/>
  <c r="BU15" i="105" s="1"/>
  <c r="BT14" i="105"/>
  <c r="BT15" i="105" s="1"/>
  <c r="BS14" i="105"/>
  <c r="BR14" i="105"/>
  <c r="BR15" i="105" s="1"/>
  <c r="BQ14" i="105"/>
  <c r="BQ15" i="105" s="1"/>
  <c r="V13" i="105"/>
  <c r="BC13" i="105" s="1"/>
  <c r="U13" i="105"/>
  <c r="BB13" i="105" s="1"/>
  <c r="D13" i="105"/>
  <c r="C13" i="105"/>
  <c r="F11" i="105"/>
  <c r="F10" i="105"/>
  <c r="H9" i="105"/>
  <c r="F9" i="105"/>
  <c r="H8" i="105"/>
  <c r="F8" i="105"/>
  <c r="H7" i="105"/>
  <c r="F7" i="105"/>
  <c r="H6" i="105"/>
  <c r="F6" i="105"/>
  <c r="H5" i="105"/>
  <c r="F5" i="105"/>
  <c r="F4" i="105"/>
  <c r="AK3" i="105"/>
  <c r="T3" i="105"/>
  <c r="S3" i="105"/>
  <c r="AT2" i="105"/>
  <c r="AS2" i="105"/>
  <c r="AR2" i="105"/>
  <c r="AQ2" i="105"/>
  <c r="AP2" i="105"/>
  <c r="AO2" i="105"/>
  <c r="AN2" i="105"/>
  <c r="T2" i="105"/>
  <c r="S2" i="105"/>
  <c r="F1" i="105"/>
  <c r="S45" i="104"/>
  <c r="R45" i="104"/>
  <c r="P45" i="104"/>
  <c r="N45" i="104"/>
  <c r="L45" i="104"/>
  <c r="J45" i="104"/>
  <c r="I45" i="104"/>
  <c r="H45" i="104"/>
  <c r="BU44" i="104"/>
  <c r="BT44" i="104"/>
  <c r="BS44" i="104"/>
  <c r="BR44" i="104"/>
  <c r="BQ44" i="104"/>
  <c r="O44" i="104"/>
  <c r="K44" i="104"/>
  <c r="B44" i="104"/>
  <c r="BU43" i="104"/>
  <c r="BT43" i="104"/>
  <c r="BS43" i="104"/>
  <c r="BR43" i="104"/>
  <c r="BQ43" i="104"/>
  <c r="O43" i="104"/>
  <c r="K43" i="104"/>
  <c r="B43" i="104"/>
  <c r="BU42" i="104"/>
  <c r="BT42" i="104"/>
  <c r="BS42" i="104"/>
  <c r="BR42" i="104"/>
  <c r="BQ42" i="104"/>
  <c r="O42" i="104"/>
  <c r="K42" i="104"/>
  <c r="B42" i="104"/>
  <c r="BU41" i="104"/>
  <c r="BT41" i="104"/>
  <c r="BS41" i="104"/>
  <c r="BR41" i="104"/>
  <c r="BQ41" i="104"/>
  <c r="O41" i="104"/>
  <c r="K41" i="104"/>
  <c r="B41" i="104"/>
  <c r="BU40" i="104"/>
  <c r="BT40" i="104"/>
  <c r="BS40" i="104"/>
  <c r="BR40" i="104"/>
  <c r="BQ40" i="104"/>
  <c r="O40" i="104"/>
  <c r="K40" i="104"/>
  <c r="B40" i="104"/>
  <c r="BU39" i="104"/>
  <c r="BT39" i="104"/>
  <c r="BS39" i="104"/>
  <c r="BR39" i="104"/>
  <c r="BQ39" i="104"/>
  <c r="O39" i="104"/>
  <c r="K39" i="104"/>
  <c r="B39" i="104"/>
  <c r="BU38" i="104"/>
  <c r="BT38" i="104"/>
  <c r="BS38" i="104"/>
  <c r="BR38" i="104"/>
  <c r="BQ38" i="104"/>
  <c r="O38" i="104"/>
  <c r="K38" i="104"/>
  <c r="B38" i="104"/>
  <c r="BU37" i="104"/>
  <c r="BT37" i="104"/>
  <c r="BS37" i="104"/>
  <c r="BR37" i="104"/>
  <c r="BQ37" i="104"/>
  <c r="O37" i="104"/>
  <c r="K37" i="104"/>
  <c r="B37" i="104"/>
  <c r="BU36" i="104"/>
  <c r="BT36" i="104"/>
  <c r="BS36" i="104"/>
  <c r="BR36" i="104"/>
  <c r="BQ36" i="104"/>
  <c r="O36" i="104"/>
  <c r="K36" i="104"/>
  <c r="B36" i="104"/>
  <c r="BU35" i="104"/>
  <c r="BT35" i="104"/>
  <c r="BS35" i="104"/>
  <c r="BR35" i="104"/>
  <c r="BQ35" i="104"/>
  <c r="O35" i="104"/>
  <c r="K35" i="104"/>
  <c r="B35" i="104"/>
  <c r="BU34" i="104"/>
  <c r="BT34" i="104"/>
  <c r="BS34" i="104"/>
  <c r="BR34" i="104"/>
  <c r="BQ34" i="104"/>
  <c r="O34" i="104"/>
  <c r="K34" i="104"/>
  <c r="B34" i="104"/>
  <c r="BU33" i="104"/>
  <c r="BT33" i="104"/>
  <c r="BS33" i="104"/>
  <c r="BR33" i="104"/>
  <c r="BQ33" i="104"/>
  <c r="O33" i="104"/>
  <c r="K33" i="104"/>
  <c r="B33" i="104"/>
  <c r="BU32" i="104"/>
  <c r="BT32" i="104"/>
  <c r="BS32" i="104"/>
  <c r="BR32" i="104"/>
  <c r="BQ32" i="104"/>
  <c r="O32" i="104"/>
  <c r="K32" i="104"/>
  <c r="B32" i="104"/>
  <c r="BU31" i="104"/>
  <c r="BT31" i="104"/>
  <c r="BS31" i="104"/>
  <c r="BR31" i="104"/>
  <c r="BQ31" i="104"/>
  <c r="O31" i="104"/>
  <c r="K31" i="104"/>
  <c r="B31" i="104"/>
  <c r="BU30" i="104"/>
  <c r="BT30" i="104"/>
  <c r="BS30" i="104"/>
  <c r="BR30" i="104"/>
  <c r="BQ30" i="104"/>
  <c r="O30" i="104"/>
  <c r="K30" i="104"/>
  <c r="B30" i="104"/>
  <c r="BU29" i="104"/>
  <c r="BT29" i="104"/>
  <c r="BS29" i="104"/>
  <c r="BR29" i="104"/>
  <c r="BQ29" i="104"/>
  <c r="O29" i="104"/>
  <c r="K29" i="104"/>
  <c r="B29" i="104"/>
  <c r="BU28" i="104"/>
  <c r="BT28" i="104"/>
  <c r="BS28" i="104"/>
  <c r="BR28" i="104"/>
  <c r="BQ28" i="104"/>
  <c r="O28" i="104"/>
  <c r="K28" i="104"/>
  <c r="B28" i="104"/>
  <c r="BU27" i="104"/>
  <c r="BT27" i="104"/>
  <c r="BS27" i="104"/>
  <c r="BR27" i="104"/>
  <c r="BQ27" i="104"/>
  <c r="O27" i="104"/>
  <c r="K27" i="104"/>
  <c r="B27" i="104"/>
  <c r="BU26" i="104"/>
  <c r="BT26" i="104"/>
  <c r="BS26" i="104"/>
  <c r="BR26" i="104"/>
  <c r="BQ26" i="104"/>
  <c r="O26" i="104"/>
  <c r="K26" i="104"/>
  <c r="B26" i="104"/>
  <c r="BU25" i="104"/>
  <c r="BT25" i="104"/>
  <c r="BS25" i="104"/>
  <c r="BR25" i="104"/>
  <c r="BQ25" i="104"/>
  <c r="O25" i="104"/>
  <c r="K25" i="104"/>
  <c r="B25" i="104"/>
  <c r="BU24" i="104"/>
  <c r="BT24" i="104"/>
  <c r="BS24" i="104"/>
  <c r="BR24" i="104"/>
  <c r="BQ24" i="104"/>
  <c r="O24" i="104"/>
  <c r="K24" i="104"/>
  <c r="B24" i="104"/>
  <c r="BU23" i="104"/>
  <c r="BT23" i="104"/>
  <c r="BS23" i="104"/>
  <c r="BR23" i="104"/>
  <c r="BQ23" i="104"/>
  <c r="O23" i="104"/>
  <c r="K23" i="104"/>
  <c r="B23" i="104"/>
  <c r="BU22" i="104"/>
  <c r="BT22" i="104"/>
  <c r="BS22" i="104"/>
  <c r="BR22" i="104"/>
  <c r="BQ22" i="104"/>
  <c r="O22" i="104"/>
  <c r="K22" i="104"/>
  <c r="B22" i="104"/>
  <c r="BU21" i="104"/>
  <c r="BT21" i="104"/>
  <c r="BS21" i="104"/>
  <c r="BR21" i="104"/>
  <c r="BQ21" i="104"/>
  <c r="O21" i="104"/>
  <c r="K21" i="104"/>
  <c r="B21" i="104"/>
  <c r="BU20" i="104"/>
  <c r="BT20" i="104"/>
  <c r="BS20" i="104"/>
  <c r="BR20" i="104"/>
  <c r="BQ20" i="104"/>
  <c r="O20" i="104"/>
  <c r="K20" i="104"/>
  <c r="B20" i="104"/>
  <c r="BU19" i="104"/>
  <c r="BT19" i="104"/>
  <c r="BS19" i="104"/>
  <c r="BR19" i="104"/>
  <c r="BQ19" i="104"/>
  <c r="O19" i="104"/>
  <c r="K19" i="104"/>
  <c r="B19" i="104"/>
  <c r="BU18" i="104"/>
  <c r="BT18" i="104"/>
  <c r="BS18" i="104"/>
  <c r="BR18" i="104"/>
  <c r="BQ18" i="104"/>
  <c r="O18" i="104"/>
  <c r="K18" i="104"/>
  <c r="B18" i="104"/>
  <c r="BU17" i="104"/>
  <c r="BT17" i="104"/>
  <c r="BS17" i="104"/>
  <c r="BR17" i="104"/>
  <c r="BQ17" i="104"/>
  <c r="O17" i="104"/>
  <c r="K17" i="104"/>
  <c r="B17" i="104"/>
  <c r="BU16" i="104"/>
  <c r="BT16" i="104"/>
  <c r="BS16" i="104"/>
  <c r="BR16" i="104"/>
  <c r="BQ16" i="104"/>
  <c r="O16" i="104"/>
  <c r="K16" i="104"/>
  <c r="B16" i="104"/>
  <c r="O15" i="104"/>
  <c r="K15" i="104"/>
  <c r="B15" i="104"/>
  <c r="BU14" i="104"/>
  <c r="BU15" i="104" s="1"/>
  <c r="BT14" i="104"/>
  <c r="BT15" i="104" s="1"/>
  <c r="BS14" i="104"/>
  <c r="BS15" i="104" s="1"/>
  <c r="BR14" i="104"/>
  <c r="BR15" i="104" s="1"/>
  <c r="BQ14" i="104"/>
  <c r="BQ15" i="104" s="1"/>
  <c r="V13" i="104"/>
  <c r="BC13" i="104" s="1"/>
  <c r="U13" i="104"/>
  <c r="BB13" i="104" s="1"/>
  <c r="D13" i="104"/>
  <c r="C13" i="104"/>
  <c r="F11" i="104"/>
  <c r="F10" i="104"/>
  <c r="H9" i="104"/>
  <c r="F9" i="104"/>
  <c r="H8" i="104"/>
  <c r="F8" i="104"/>
  <c r="H7" i="104"/>
  <c r="F7" i="104"/>
  <c r="H6" i="104"/>
  <c r="F6" i="104"/>
  <c r="H5" i="104"/>
  <c r="F5" i="104"/>
  <c r="F4" i="104"/>
  <c r="AK3" i="104"/>
  <c r="T3" i="104"/>
  <c r="S3" i="104"/>
  <c r="AT2" i="104"/>
  <c r="AS2" i="104"/>
  <c r="AR2" i="104"/>
  <c r="AQ2" i="104"/>
  <c r="AP2" i="104"/>
  <c r="AO2" i="104"/>
  <c r="AN2" i="104"/>
  <c r="T2" i="104"/>
  <c r="S2" i="104"/>
  <c r="F1" i="104"/>
  <c r="S45" i="103"/>
  <c r="R45" i="103"/>
  <c r="P45" i="103"/>
  <c r="N45" i="103"/>
  <c r="L45" i="103"/>
  <c r="J45" i="103"/>
  <c r="I45" i="103"/>
  <c r="H45" i="103"/>
  <c r="BU44" i="103"/>
  <c r="BT44" i="103"/>
  <c r="BS44" i="103"/>
  <c r="BR44" i="103"/>
  <c r="BQ44" i="103"/>
  <c r="O44" i="103"/>
  <c r="K44" i="103"/>
  <c r="B44" i="103"/>
  <c r="BU43" i="103"/>
  <c r="BT43" i="103"/>
  <c r="BS43" i="103"/>
  <c r="BR43" i="103"/>
  <c r="BQ43" i="103"/>
  <c r="O43" i="103"/>
  <c r="K43" i="103"/>
  <c r="B43" i="103"/>
  <c r="BU42" i="103"/>
  <c r="BT42" i="103"/>
  <c r="BS42" i="103"/>
  <c r="BR42" i="103"/>
  <c r="BQ42" i="103"/>
  <c r="O42" i="103"/>
  <c r="K42" i="103"/>
  <c r="B42" i="103"/>
  <c r="BU41" i="103"/>
  <c r="BT41" i="103"/>
  <c r="BS41" i="103"/>
  <c r="BR41" i="103"/>
  <c r="BQ41" i="103"/>
  <c r="O41" i="103"/>
  <c r="K41" i="103"/>
  <c r="B41" i="103"/>
  <c r="BU40" i="103"/>
  <c r="BT40" i="103"/>
  <c r="BS40" i="103"/>
  <c r="BR40" i="103"/>
  <c r="BQ40" i="103"/>
  <c r="O40" i="103"/>
  <c r="K40" i="103"/>
  <c r="B40" i="103"/>
  <c r="BU39" i="103"/>
  <c r="BT39" i="103"/>
  <c r="BS39" i="103"/>
  <c r="BR39" i="103"/>
  <c r="BQ39" i="103"/>
  <c r="O39" i="103"/>
  <c r="K39" i="103"/>
  <c r="B39" i="103"/>
  <c r="BU38" i="103"/>
  <c r="BT38" i="103"/>
  <c r="BS38" i="103"/>
  <c r="BR38" i="103"/>
  <c r="BQ38" i="103"/>
  <c r="O38" i="103"/>
  <c r="K38" i="103"/>
  <c r="B38" i="103"/>
  <c r="BU37" i="103"/>
  <c r="BT37" i="103"/>
  <c r="BS37" i="103"/>
  <c r="BR37" i="103"/>
  <c r="BQ37" i="103"/>
  <c r="O37" i="103"/>
  <c r="K37" i="103"/>
  <c r="B37" i="103"/>
  <c r="BU36" i="103"/>
  <c r="BT36" i="103"/>
  <c r="BS36" i="103"/>
  <c r="BR36" i="103"/>
  <c r="BQ36" i="103"/>
  <c r="O36" i="103"/>
  <c r="K36" i="103"/>
  <c r="B36" i="103"/>
  <c r="BU35" i="103"/>
  <c r="BT35" i="103"/>
  <c r="BS35" i="103"/>
  <c r="BR35" i="103"/>
  <c r="BQ35" i="103"/>
  <c r="O35" i="103"/>
  <c r="K35" i="103"/>
  <c r="B35" i="103"/>
  <c r="BU34" i="103"/>
  <c r="BT34" i="103"/>
  <c r="BS34" i="103"/>
  <c r="BR34" i="103"/>
  <c r="BQ34" i="103"/>
  <c r="O34" i="103"/>
  <c r="K34" i="103"/>
  <c r="B34" i="103"/>
  <c r="BU33" i="103"/>
  <c r="BT33" i="103"/>
  <c r="BS33" i="103"/>
  <c r="BR33" i="103"/>
  <c r="BQ33" i="103"/>
  <c r="O33" i="103"/>
  <c r="K33" i="103"/>
  <c r="B33" i="103"/>
  <c r="BU32" i="103"/>
  <c r="BT32" i="103"/>
  <c r="BS32" i="103"/>
  <c r="BR32" i="103"/>
  <c r="BQ32" i="103"/>
  <c r="O32" i="103"/>
  <c r="K32" i="103"/>
  <c r="B32" i="103"/>
  <c r="BU31" i="103"/>
  <c r="BT31" i="103"/>
  <c r="BS31" i="103"/>
  <c r="BR31" i="103"/>
  <c r="BQ31" i="103"/>
  <c r="O31" i="103"/>
  <c r="K31" i="103"/>
  <c r="B31" i="103"/>
  <c r="BU30" i="103"/>
  <c r="BT30" i="103"/>
  <c r="BS30" i="103"/>
  <c r="BR30" i="103"/>
  <c r="BQ30" i="103"/>
  <c r="O30" i="103"/>
  <c r="K30" i="103"/>
  <c r="B30" i="103"/>
  <c r="BU29" i="103"/>
  <c r="BT29" i="103"/>
  <c r="BS29" i="103"/>
  <c r="BR29" i="103"/>
  <c r="BQ29" i="103"/>
  <c r="O29" i="103"/>
  <c r="K29" i="103"/>
  <c r="B29" i="103"/>
  <c r="BU28" i="103"/>
  <c r="BT28" i="103"/>
  <c r="BS28" i="103"/>
  <c r="BR28" i="103"/>
  <c r="BQ28" i="103"/>
  <c r="O28" i="103"/>
  <c r="K28" i="103"/>
  <c r="B28" i="103"/>
  <c r="BU27" i="103"/>
  <c r="BT27" i="103"/>
  <c r="BS27" i="103"/>
  <c r="BR27" i="103"/>
  <c r="BQ27" i="103"/>
  <c r="O27" i="103"/>
  <c r="K27" i="103"/>
  <c r="B27" i="103"/>
  <c r="BU26" i="103"/>
  <c r="BT26" i="103"/>
  <c r="BS26" i="103"/>
  <c r="BR26" i="103"/>
  <c r="BQ26" i="103"/>
  <c r="O26" i="103"/>
  <c r="K26" i="103"/>
  <c r="B26" i="103"/>
  <c r="BU25" i="103"/>
  <c r="BT25" i="103"/>
  <c r="BS25" i="103"/>
  <c r="BR25" i="103"/>
  <c r="BQ25" i="103"/>
  <c r="O25" i="103"/>
  <c r="K25" i="103"/>
  <c r="B25" i="103"/>
  <c r="BU24" i="103"/>
  <c r="BT24" i="103"/>
  <c r="BS24" i="103"/>
  <c r="BR24" i="103"/>
  <c r="BQ24" i="103"/>
  <c r="O24" i="103"/>
  <c r="K24" i="103"/>
  <c r="B24" i="103"/>
  <c r="BU23" i="103"/>
  <c r="BT23" i="103"/>
  <c r="BS23" i="103"/>
  <c r="BR23" i="103"/>
  <c r="BQ23" i="103"/>
  <c r="O23" i="103"/>
  <c r="K23" i="103"/>
  <c r="B23" i="103"/>
  <c r="BU22" i="103"/>
  <c r="BT22" i="103"/>
  <c r="BS22" i="103"/>
  <c r="BR22" i="103"/>
  <c r="BQ22" i="103"/>
  <c r="O22" i="103"/>
  <c r="K22" i="103"/>
  <c r="B22" i="103"/>
  <c r="BU21" i="103"/>
  <c r="BT21" i="103"/>
  <c r="BS21" i="103"/>
  <c r="BR21" i="103"/>
  <c r="BQ21" i="103"/>
  <c r="O21" i="103"/>
  <c r="K21" i="103"/>
  <c r="B21" i="103"/>
  <c r="BU20" i="103"/>
  <c r="BT20" i="103"/>
  <c r="BS20" i="103"/>
  <c r="BR20" i="103"/>
  <c r="BQ20" i="103"/>
  <c r="O20" i="103"/>
  <c r="K20" i="103"/>
  <c r="B20" i="103"/>
  <c r="BU19" i="103"/>
  <c r="BT19" i="103"/>
  <c r="BS19" i="103"/>
  <c r="BR19" i="103"/>
  <c r="BQ19" i="103"/>
  <c r="O19" i="103"/>
  <c r="K19" i="103"/>
  <c r="B19" i="103"/>
  <c r="BU18" i="103"/>
  <c r="BT18" i="103"/>
  <c r="BS18" i="103"/>
  <c r="BR18" i="103"/>
  <c r="BQ18" i="103"/>
  <c r="O18" i="103"/>
  <c r="K18" i="103"/>
  <c r="B18" i="103"/>
  <c r="BU17" i="103"/>
  <c r="BT17" i="103"/>
  <c r="BS17" i="103"/>
  <c r="BR17" i="103"/>
  <c r="BQ17" i="103"/>
  <c r="O17" i="103"/>
  <c r="K17" i="103"/>
  <c r="B17" i="103"/>
  <c r="BU16" i="103"/>
  <c r="BT16" i="103"/>
  <c r="BS16" i="103"/>
  <c r="BR16" i="103"/>
  <c r="BQ16" i="103"/>
  <c r="O16" i="103"/>
  <c r="K16" i="103"/>
  <c r="B16" i="103"/>
  <c r="O15" i="103"/>
  <c r="K15" i="103"/>
  <c r="B15" i="103"/>
  <c r="BU14" i="103"/>
  <c r="BU15" i="103" s="1"/>
  <c r="BT14" i="103"/>
  <c r="BT15" i="103" s="1"/>
  <c r="BS14" i="103"/>
  <c r="BS15" i="103" s="1"/>
  <c r="BR14" i="103"/>
  <c r="BR15" i="103" s="1"/>
  <c r="BQ14" i="103"/>
  <c r="BQ15" i="103" s="1"/>
  <c r="V13" i="103"/>
  <c r="BC13" i="103" s="1"/>
  <c r="U13" i="103"/>
  <c r="BB13" i="103" s="1"/>
  <c r="D13" i="103"/>
  <c r="C13" i="103"/>
  <c r="F11" i="103"/>
  <c r="F10" i="103"/>
  <c r="H9" i="103"/>
  <c r="F9" i="103"/>
  <c r="H8" i="103"/>
  <c r="F8" i="103"/>
  <c r="H7" i="103"/>
  <c r="F7" i="103"/>
  <c r="H6" i="103"/>
  <c r="F6" i="103"/>
  <c r="H5" i="103"/>
  <c r="F5" i="103"/>
  <c r="F4" i="103"/>
  <c r="AK3" i="103"/>
  <c r="T3" i="103"/>
  <c r="S3" i="103"/>
  <c r="AT2" i="103"/>
  <c r="AS2" i="103"/>
  <c r="AR2" i="103"/>
  <c r="AQ2" i="103"/>
  <c r="AP2" i="103"/>
  <c r="AO2" i="103"/>
  <c r="AN2" i="103"/>
  <c r="T2" i="103"/>
  <c r="S2" i="103"/>
  <c r="F1" i="103"/>
  <c r="S45" i="102"/>
  <c r="R45" i="102"/>
  <c r="P45" i="102"/>
  <c r="N45" i="102"/>
  <c r="L45" i="102"/>
  <c r="J45" i="102"/>
  <c r="I45" i="102"/>
  <c r="H45" i="102"/>
  <c r="BU44" i="102"/>
  <c r="BT44" i="102"/>
  <c r="BS44" i="102"/>
  <c r="BR44" i="102"/>
  <c r="BQ44" i="102"/>
  <c r="O44" i="102"/>
  <c r="K44" i="102"/>
  <c r="B44" i="102"/>
  <c r="BU43" i="102"/>
  <c r="BT43" i="102"/>
  <c r="BS43" i="102"/>
  <c r="BR43" i="102"/>
  <c r="BQ43" i="102"/>
  <c r="O43" i="102"/>
  <c r="K43" i="102"/>
  <c r="B43" i="102"/>
  <c r="BU42" i="102"/>
  <c r="BT42" i="102"/>
  <c r="BS42" i="102"/>
  <c r="BR42" i="102"/>
  <c r="BQ42" i="102"/>
  <c r="O42" i="102"/>
  <c r="K42" i="102"/>
  <c r="B42" i="102"/>
  <c r="BU41" i="102"/>
  <c r="BT41" i="102"/>
  <c r="BS41" i="102"/>
  <c r="BR41" i="102"/>
  <c r="BQ41" i="102"/>
  <c r="O41" i="102"/>
  <c r="K41" i="102"/>
  <c r="B41" i="102"/>
  <c r="BU40" i="102"/>
  <c r="BT40" i="102"/>
  <c r="BS40" i="102"/>
  <c r="BR40" i="102"/>
  <c r="BQ40" i="102"/>
  <c r="O40" i="102"/>
  <c r="K40" i="102"/>
  <c r="B40" i="102"/>
  <c r="BU39" i="102"/>
  <c r="BT39" i="102"/>
  <c r="BS39" i="102"/>
  <c r="BR39" i="102"/>
  <c r="BQ39" i="102"/>
  <c r="O39" i="102"/>
  <c r="K39" i="102"/>
  <c r="B39" i="102"/>
  <c r="BU38" i="102"/>
  <c r="BT38" i="102"/>
  <c r="BS38" i="102"/>
  <c r="BR38" i="102"/>
  <c r="BQ38" i="102"/>
  <c r="O38" i="102"/>
  <c r="K38" i="102"/>
  <c r="B38" i="102"/>
  <c r="BU37" i="102"/>
  <c r="BT37" i="102"/>
  <c r="BS37" i="102"/>
  <c r="BR37" i="102"/>
  <c r="BQ37" i="102"/>
  <c r="O37" i="102"/>
  <c r="K37" i="102"/>
  <c r="B37" i="102"/>
  <c r="BU36" i="102"/>
  <c r="BT36" i="102"/>
  <c r="BS36" i="102"/>
  <c r="BR36" i="102"/>
  <c r="BQ36" i="102"/>
  <c r="O36" i="102"/>
  <c r="K36" i="102"/>
  <c r="B36" i="102"/>
  <c r="BU35" i="102"/>
  <c r="BT35" i="102"/>
  <c r="BS35" i="102"/>
  <c r="BR35" i="102"/>
  <c r="BQ35" i="102"/>
  <c r="O35" i="102"/>
  <c r="K35" i="102"/>
  <c r="B35" i="102"/>
  <c r="BU34" i="102"/>
  <c r="BT34" i="102"/>
  <c r="BS34" i="102"/>
  <c r="BR34" i="102"/>
  <c r="BQ34" i="102"/>
  <c r="O34" i="102"/>
  <c r="K34" i="102"/>
  <c r="B34" i="102"/>
  <c r="BU33" i="102"/>
  <c r="BT33" i="102"/>
  <c r="BS33" i="102"/>
  <c r="BR33" i="102"/>
  <c r="BQ33" i="102"/>
  <c r="O33" i="102"/>
  <c r="K33" i="102"/>
  <c r="B33" i="102"/>
  <c r="BU32" i="102"/>
  <c r="BT32" i="102"/>
  <c r="BS32" i="102"/>
  <c r="BR32" i="102"/>
  <c r="BQ32" i="102"/>
  <c r="O32" i="102"/>
  <c r="K32" i="102"/>
  <c r="B32" i="102"/>
  <c r="BU31" i="102"/>
  <c r="BT31" i="102"/>
  <c r="BS31" i="102"/>
  <c r="BR31" i="102"/>
  <c r="BQ31" i="102"/>
  <c r="O31" i="102"/>
  <c r="K31" i="102"/>
  <c r="B31" i="102"/>
  <c r="BU30" i="102"/>
  <c r="BT30" i="102"/>
  <c r="BS30" i="102"/>
  <c r="BR30" i="102"/>
  <c r="BQ30" i="102"/>
  <c r="O30" i="102"/>
  <c r="K30" i="102"/>
  <c r="B30" i="102"/>
  <c r="BU29" i="102"/>
  <c r="BT29" i="102"/>
  <c r="BS29" i="102"/>
  <c r="BR29" i="102"/>
  <c r="BQ29" i="102"/>
  <c r="O29" i="102"/>
  <c r="K29" i="102"/>
  <c r="B29" i="102"/>
  <c r="BU28" i="102"/>
  <c r="BT28" i="102"/>
  <c r="BS28" i="102"/>
  <c r="BR28" i="102"/>
  <c r="BQ28" i="102"/>
  <c r="O28" i="102"/>
  <c r="K28" i="102"/>
  <c r="B28" i="102"/>
  <c r="BU27" i="102"/>
  <c r="BT27" i="102"/>
  <c r="BS27" i="102"/>
  <c r="BR27" i="102"/>
  <c r="BQ27" i="102"/>
  <c r="O27" i="102"/>
  <c r="K27" i="102"/>
  <c r="B27" i="102"/>
  <c r="BU26" i="102"/>
  <c r="BT26" i="102"/>
  <c r="BS26" i="102"/>
  <c r="BR26" i="102"/>
  <c r="BQ26" i="102"/>
  <c r="O26" i="102"/>
  <c r="K26" i="102"/>
  <c r="B26" i="102"/>
  <c r="BU25" i="102"/>
  <c r="BT25" i="102"/>
  <c r="BS25" i="102"/>
  <c r="BR25" i="102"/>
  <c r="BQ25" i="102"/>
  <c r="O25" i="102"/>
  <c r="K25" i="102"/>
  <c r="B25" i="102"/>
  <c r="BU24" i="102"/>
  <c r="BT24" i="102"/>
  <c r="BS24" i="102"/>
  <c r="BR24" i="102"/>
  <c r="BQ24" i="102"/>
  <c r="O24" i="102"/>
  <c r="K24" i="102"/>
  <c r="B24" i="102"/>
  <c r="BU23" i="102"/>
  <c r="BT23" i="102"/>
  <c r="BS23" i="102"/>
  <c r="BR23" i="102"/>
  <c r="BQ23" i="102"/>
  <c r="O23" i="102"/>
  <c r="K23" i="102"/>
  <c r="B23" i="102"/>
  <c r="BU22" i="102"/>
  <c r="BT22" i="102"/>
  <c r="BS22" i="102"/>
  <c r="BR22" i="102"/>
  <c r="BQ22" i="102"/>
  <c r="O22" i="102"/>
  <c r="K22" i="102"/>
  <c r="B22" i="102"/>
  <c r="BU21" i="102"/>
  <c r="BT21" i="102"/>
  <c r="BS21" i="102"/>
  <c r="BR21" i="102"/>
  <c r="BQ21" i="102"/>
  <c r="O21" i="102"/>
  <c r="K21" i="102"/>
  <c r="B21" i="102"/>
  <c r="BU20" i="102"/>
  <c r="BT20" i="102"/>
  <c r="BS20" i="102"/>
  <c r="BR20" i="102"/>
  <c r="BQ20" i="102"/>
  <c r="O20" i="102"/>
  <c r="K20" i="102"/>
  <c r="B20" i="102"/>
  <c r="BU19" i="102"/>
  <c r="BT19" i="102"/>
  <c r="BS19" i="102"/>
  <c r="BR19" i="102"/>
  <c r="BQ19" i="102"/>
  <c r="O19" i="102"/>
  <c r="K19" i="102"/>
  <c r="B19" i="102"/>
  <c r="BU18" i="102"/>
  <c r="BT18" i="102"/>
  <c r="BS18" i="102"/>
  <c r="BR18" i="102"/>
  <c r="BQ18" i="102"/>
  <c r="O18" i="102"/>
  <c r="K18" i="102"/>
  <c r="B18" i="102"/>
  <c r="BU17" i="102"/>
  <c r="BT17" i="102"/>
  <c r="BS17" i="102"/>
  <c r="BR17" i="102"/>
  <c r="BQ17" i="102"/>
  <c r="O17" i="102"/>
  <c r="K17" i="102"/>
  <c r="B17" i="102"/>
  <c r="O16" i="102"/>
  <c r="K16" i="102"/>
  <c r="B16" i="102"/>
  <c r="O15" i="102"/>
  <c r="K15" i="102"/>
  <c r="B15" i="102"/>
  <c r="BU14" i="102"/>
  <c r="BU16" i="102" s="1"/>
  <c r="BT14" i="102"/>
  <c r="BT16" i="102" s="1"/>
  <c r="BS14" i="102"/>
  <c r="BS16" i="102" s="1"/>
  <c r="BR14" i="102"/>
  <c r="BR16" i="102" s="1"/>
  <c r="BQ14" i="102"/>
  <c r="BQ16" i="102" s="1"/>
  <c r="V13" i="102"/>
  <c r="BC13" i="102" s="1"/>
  <c r="U13" i="102"/>
  <c r="BB13" i="102" s="1"/>
  <c r="D13" i="102"/>
  <c r="C13" i="102"/>
  <c r="F11" i="102"/>
  <c r="F10" i="102"/>
  <c r="H9" i="102"/>
  <c r="F9" i="102"/>
  <c r="H8" i="102"/>
  <c r="F8" i="102"/>
  <c r="H7" i="102"/>
  <c r="F7" i="102"/>
  <c r="H6" i="102"/>
  <c r="F6" i="102"/>
  <c r="H5" i="102"/>
  <c r="F5" i="102"/>
  <c r="F4" i="102"/>
  <c r="AK3" i="102"/>
  <c r="T3" i="102"/>
  <c r="S3" i="102"/>
  <c r="AT2" i="102"/>
  <c r="AS2" i="102"/>
  <c r="AR2" i="102"/>
  <c r="AQ2" i="102"/>
  <c r="AP2" i="102"/>
  <c r="AO2" i="102"/>
  <c r="AN2" i="102"/>
  <c r="T2" i="102"/>
  <c r="S2" i="102"/>
  <c r="F1" i="102"/>
  <c r="S45" i="101"/>
  <c r="R45" i="101"/>
  <c r="P45" i="101"/>
  <c r="N45" i="101"/>
  <c r="L45" i="101"/>
  <c r="J45" i="101"/>
  <c r="I45" i="101"/>
  <c r="H45" i="101"/>
  <c r="BU44" i="101"/>
  <c r="BT44" i="101"/>
  <c r="BS44" i="101"/>
  <c r="BR44" i="101"/>
  <c r="BQ44" i="101"/>
  <c r="O44" i="101"/>
  <c r="K44" i="101"/>
  <c r="B44" i="101"/>
  <c r="BU43" i="101"/>
  <c r="BT43" i="101"/>
  <c r="BS43" i="101"/>
  <c r="BR43" i="101"/>
  <c r="BQ43" i="101"/>
  <c r="O43" i="101"/>
  <c r="K43" i="101"/>
  <c r="B43" i="101"/>
  <c r="BU42" i="101"/>
  <c r="BT42" i="101"/>
  <c r="BS42" i="101"/>
  <c r="BR42" i="101"/>
  <c r="BQ42" i="101"/>
  <c r="O42" i="101"/>
  <c r="K42" i="101"/>
  <c r="B42" i="101"/>
  <c r="BU41" i="101"/>
  <c r="BT41" i="101"/>
  <c r="BS41" i="101"/>
  <c r="BR41" i="101"/>
  <c r="BQ41" i="101"/>
  <c r="O41" i="101"/>
  <c r="K41" i="101"/>
  <c r="B41" i="101"/>
  <c r="BU40" i="101"/>
  <c r="BT40" i="101"/>
  <c r="BS40" i="101"/>
  <c r="BR40" i="101"/>
  <c r="BQ40" i="101"/>
  <c r="O40" i="101"/>
  <c r="K40" i="101"/>
  <c r="B40" i="101"/>
  <c r="BU39" i="101"/>
  <c r="BT39" i="101"/>
  <c r="BS39" i="101"/>
  <c r="BR39" i="101"/>
  <c r="BQ39" i="101"/>
  <c r="O39" i="101"/>
  <c r="K39" i="101"/>
  <c r="B39" i="101"/>
  <c r="BU38" i="101"/>
  <c r="BT38" i="101"/>
  <c r="BS38" i="101"/>
  <c r="BR38" i="101"/>
  <c r="BQ38" i="101"/>
  <c r="O38" i="101"/>
  <c r="K38" i="101"/>
  <c r="B38" i="101"/>
  <c r="BU37" i="101"/>
  <c r="BT37" i="101"/>
  <c r="BS37" i="101"/>
  <c r="BR37" i="101"/>
  <c r="BQ37" i="101"/>
  <c r="O37" i="101"/>
  <c r="K37" i="101"/>
  <c r="B37" i="101"/>
  <c r="BU36" i="101"/>
  <c r="BT36" i="101"/>
  <c r="BS36" i="101"/>
  <c r="BR36" i="101"/>
  <c r="BQ36" i="101"/>
  <c r="O36" i="101"/>
  <c r="K36" i="101"/>
  <c r="B36" i="101"/>
  <c r="BU35" i="101"/>
  <c r="BT35" i="101"/>
  <c r="BS35" i="101"/>
  <c r="BR35" i="101"/>
  <c r="BQ35" i="101"/>
  <c r="O35" i="101"/>
  <c r="K35" i="101"/>
  <c r="B35" i="101"/>
  <c r="BU34" i="101"/>
  <c r="BT34" i="101"/>
  <c r="BS34" i="101"/>
  <c r="BR34" i="101"/>
  <c r="BQ34" i="101"/>
  <c r="O34" i="101"/>
  <c r="K34" i="101"/>
  <c r="B34" i="101"/>
  <c r="BU33" i="101"/>
  <c r="BT33" i="101"/>
  <c r="BS33" i="101"/>
  <c r="BR33" i="101"/>
  <c r="BQ33" i="101"/>
  <c r="O33" i="101"/>
  <c r="K33" i="101"/>
  <c r="B33" i="101"/>
  <c r="BU32" i="101"/>
  <c r="BT32" i="101"/>
  <c r="BS32" i="101"/>
  <c r="BR32" i="101"/>
  <c r="BQ32" i="101"/>
  <c r="O32" i="101"/>
  <c r="K32" i="101"/>
  <c r="B32" i="101"/>
  <c r="BU31" i="101"/>
  <c r="BT31" i="101"/>
  <c r="BS31" i="101"/>
  <c r="BR31" i="101"/>
  <c r="BQ31" i="101"/>
  <c r="O31" i="101"/>
  <c r="K31" i="101"/>
  <c r="B31" i="101"/>
  <c r="BU30" i="101"/>
  <c r="BT30" i="101"/>
  <c r="BS30" i="101"/>
  <c r="BR30" i="101"/>
  <c r="BQ30" i="101"/>
  <c r="O30" i="101"/>
  <c r="K30" i="101"/>
  <c r="B30" i="101"/>
  <c r="BU29" i="101"/>
  <c r="BT29" i="101"/>
  <c r="BS29" i="101"/>
  <c r="BR29" i="101"/>
  <c r="BQ29" i="101"/>
  <c r="O29" i="101"/>
  <c r="K29" i="101"/>
  <c r="B29" i="101"/>
  <c r="BU28" i="101"/>
  <c r="BT28" i="101"/>
  <c r="BS28" i="101"/>
  <c r="BR28" i="101"/>
  <c r="BQ28" i="101"/>
  <c r="O28" i="101"/>
  <c r="K28" i="101"/>
  <c r="B28" i="101"/>
  <c r="BU27" i="101"/>
  <c r="BT27" i="101"/>
  <c r="BS27" i="101"/>
  <c r="BR27" i="101"/>
  <c r="BQ27" i="101"/>
  <c r="O27" i="101"/>
  <c r="K27" i="101"/>
  <c r="B27" i="101"/>
  <c r="BU26" i="101"/>
  <c r="BT26" i="101"/>
  <c r="BS26" i="101"/>
  <c r="BR26" i="101"/>
  <c r="BQ26" i="101"/>
  <c r="O26" i="101"/>
  <c r="K26" i="101"/>
  <c r="B26" i="101"/>
  <c r="BU25" i="101"/>
  <c r="BT25" i="101"/>
  <c r="BS25" i="101"/>
  <c r="BR25" i="101"/>
  <c r="BQ25" i="101"/>
  <c r="O25" i="101"/>
  <c r="K25" i="101"/>
  <c r="B25" i="101"/>
  <c r="BU24" i="101"/>
  <c r="BT24" i="101"/>
  <c r="BS24" i="101"/>
  <c r="BR24" i="101"/>
  <c r="BQ24" i="101"/>
  <c r="O24" i="101"/>
  <c r="K24" i="101"/>
  <c r="B24" i="101"/>
  <c r="BU23" i="101"/>
  <c r="BT23" i="101"/>
  <c r="BS23" i="101"/>
  <c r="BR23" i="101"/>
  <c r="BQ23" i="101"/>
  <c r="O23" i="101"/>
  <c r="K23" i="101"/>
  <c r="B23" i="101"/>
  <c r="BU22" i="101"/>
  <c r="BT22" i="101"/>
  <c r="BS22" i="101"/>
  <c r="BR22" i="101"/>
  <c r="BQ22" i="101"/>
  <c r="O22" i="101"/>
  <c r="K22" i="101"/>
  <c r="B22" i="101"/>
  <c r="BU21" i="101"/>
  <c r="BT21" i="101"/>
  <c r="BS21" i="101"/>
  <c r="BR21" i="101"/>
  <c r="BQ21" i="101"/>
  <c r="O21" i="101"/>
  <c r="K21" i="101"/>
  <c r="B21" i="101"/>
  <c r="BU20" i="101"/>
  <c r="BT20" i="101"/>
  <c r="BS20" i="101"/>
  <c r="BR20" i="101"/>
  <c r="BQ20" i="101"/>
  <c r="O20" i="101"/>
  <c r="K20" i="101"/>
  <c r="B20" i="101"/>
  <c r="BU19" i="101"/>
  <c r="BT19" i="101"/>
  <c r="BS19" i="101"/>
  <c r="BR19" i="101"/>
  <c r="BQ19" i="101"/>
  <c r="O19" i="101"/>
  <c r="K19" i="101"/>
  <c r="B19" i="101"/>
  <c r="BU18" i="101"/>
  <c r="BT18" i="101"/>
  <c r="BS18" i="101"/>
  <c r="BR18" i="101"/>
  <c r="BQ18" i="101"/>
  <c r="O18" i="101"/>
  <c r="K18" i="101"/>
  <c r="B18" i="101"/>
  <c r="BU17" i="101"/>
  <c r="BT17" i="101"/>
  <c r="BS17" i="101"/>
  <c r="BR17" i="101"/>
  <c r="BQ17" i="101"/>
  <c r="O17" i="101"/>
  <c r="K17" i="101"/>
  <c r="B17" i="101"/>
  <c r="O16" i="101"/>
  <c r="K16" i="101"/>
  <c r="B16" i="101"/>
  <c r="O15" i="101"/>
  <c r="K15" i="101"/>
  <c r="B15" i="101"/>
  <c r="BU14" i="101"/>
  <c r="BU15" i="101" s="1"/>
  <c r="BT14" i="101"/>
  <c r="BT15" i="101" s="1"/>
  <c r="BS14" i="101"/>
  <c r="BS15" i="101" s="1"/>
  <c r="BR14" i="101"/>
  <c r="BR15" i="101" s="1"/>
  <c r="BQ14" i="101"/>
  <c r="BQ16" i="101" s="1"/>
  <c r="V13" i="101"/>
  <c r="BC13" i="101" s="1"/>
  <c r="U13" i="101"/>
  <c r="BB13" i="101" s="1"/>
  <c r="D13" i="101"/>
  <c r="C13" i="101"/>
  <c r="F11" i="101"/>
  <c r="F10" i="101"/>
  <c r="H9" i="101"/>
  <c r="F9" i="101"/>
  <c r="H8" i="101"/>
  <c r="F8" i="101"/>
  <c r="H7" i="101"/>
  <c r="F7" i="101"/>
  <c r="H6" i="101"/>
  <c r="F6" i="101"/>
  <c r="H5" i="101"/>
  <c r="F5" i="101"/>
  <c r="F4" i="101"/>
  <c r="AK3" i="101"/>
  <c r="T3" i="101"/>
  <c r="S3" i="101"/>
  <c r="AT2" i="101"/>
  <c r="AS2" i="101"/>
  <c r="AR2" i="101"/>
  <c r="AQ2" i="101"/>
  <c r="AP2" i="101"/>
  <c r="AO2" i="101"/>
  <c r="AN2" i="101"/>
  <c r="T2" i="101"/>
  <c r="S2" i="101"/>
  <c r="F1" i="101"/>
  <c r="S45" i="100"/>
  <c r="R45" i="100"/>
  <c r="P45" i="100"/>
  <c r="N45" i="100"/>
  <c r="L45" i="100"/>
  <c r="J45" i="100"/>
  <c r="I45" i="100"/>
  <c r="H45" i="100"/>
  <c r="BU44" i="100"/>
  <c r="BT44" i="100"/>
  <c r="BS44" i="100"/>
  <c r="BR44" i="100"/>
  <c r="BQ44" i="100"/>
  <c r="O44" i="100"/>
  <c r="K44" i="100"/>
  <c r="B44" i="100"/>
  <c r="BU43" i="100"/>
  <c r="BT43" i="100"/>
  <c r="BS43" i="100"/>
  <c r="BR43" i="100"/>
  <c r="BQ43" i="100"/>
  <c r="O43" i="100"/>
  <c r="K43" i="100"/>
  <c r="B43" i="100"/>
  <c r="BU42" i="100"/>
  <c r="BT42" i="100"/>
  <c r="BS42" i="100"/>
  <c r="BR42" i="100"/>
  <c r="BQ42" i="100"/>
  <c r="O42" i="100"/>
  <c r="K42" i="100"/>
  <c r="B42" i="100"/>
  <c r="BU41" i="100"/>
  <c r="BT41" i="100"/>
  <c r="BS41" i="100"/>
  <c r="BR41" i="100"/>
  <c r="BQ41" i="100"/>
  <c r="O41" i="100"/>
  <c r="K41" i="100"/>
  <c r="B41" i="100"/>
  <c r="BU40" i="100"/>
  <c r="BT40" i="100"/>
  <c r="BS40" i="100"/>
  <c r="BR40" i="100"/>
  <c r="BQ40" i="100"/>
  <c r="O40" i="100"/>
  <c r="K40" i="100"/>
  <c r="B40" i="100"/>
  <c r="BU39" i="100"/>
  <c r="BT39" i="100"/>
  <c r="BS39" i="100"/>
  <c r="BR39" i="100"/>
  <c r="BQ39" i="100"/>
  <c r="O39" i="100"/>
  <c r="K39" i="100"/>
  <c r="B39" i="100"/>
  <c r="BU38" i="100"/>
  <c r="BT38" i="100"/>
  <c r="BS38" i="100"/>
  <c r="BR38" i="100"/>
  <c r="BQ38" i="100"/>
  <c r="O38" i="100"/>
  <c r="K38" i="100"/>
  <c r="B38" i="100"/>
  <c r="BU37" i="100"/>
  <c r="BT37" i="100"/>
  <c r="BS37" i="100"/>
  <c r="BR37" i="100"/>
  <c r="BQ37" i="100"/>
  <c r="O37" i="100"/>
  <c r="K37" i="100"/>
  <c r="B37" i="100"/>
  <c r="BU36" i="100"/>
  <c r="BT36" i="100"/>
  <c r="BS36" i="100"/>
  <c r="BR36" i="100"/>
  <c r="BQ36" i="100"/>
  <c r="O36" i="100"/>
  <c r="K36" i="100"/>
  <c r="B36" i="100"/>
  <c r="BU35" i="100"/>
  <c r="BT35" i="100"/>
  <c r="BS35" i="100"/>
  <c r="BR35" i="100"/>
  <c r="BQ35" i="100"/>
  <c r="O35" i="100"/>
  <c r="K35" i="100"/>
  <c r="B35" i="100"/>
  <c r="BU34" i="100"/>
  <c r="BT34" i="100"/>
  <c r="BS34" i="100"/>
  <c r="BR34" i="100"/>
  <c r="BQ34" i="100"/>
  <c r="O34" i="100"/>
  <c r="K34" i="100"/>
  <c r="B34" i="100"/>
  <c r="BU33" i="100"/>
  <c r="BT33" i="100"/>
  <c r="BS33" i="100"/>
  <c r="BR33" i="100"/>
  <c r="BQ33" i="100"/>
  <c r="O33" i="100"/>
  <c r="K33" i="100"/>
  <c r="B33" i="100"/>
  <c r="BU32" i="100"/>
  <c r="BT32" i="100"/>
  <c r="BS32" i="100"/>
  <c r="BR32" i="100"/>
  <c r="BQ32" i="100"/>
  <c r="O32" i="100"/>
  <c r="K32" i="100"/>
  <c r="B32" i="100"/>
  <c r="BU31" i="100"/>
  <c r="BT31" i="100"/>
  <c r="BS31" i="100"/>
  <c r="BR31" i="100"/>
  <c r="BQ31" i="100"/>
  <c r="O31" i="100"/>
  <c r="K31" i="100"/>
  <c r="B31" i="100"/>
  <c r="BU30" i="100"/>
  <c r="BT30" i="100"/>
  <c r="BS30" i="100"/>
  <c r="BR30" i="100"/>
  <c r="BQ30" i="100"/>
  <c r="O30" i="100"/>
  <c r="K30" i="100"/>
  <c r="B30" i="100"/>
  <c r="BU29" i="100"/>
  <c r="BT29" i="100"/>
  <c r="BS29" i="100"/>
  <c r="BR29" i="100"/>
  <c r="BQ29" i="100"/>
  <c r="O29" i="100"/>
  <c r="K29" i="100"/>
  <c r="B29" i="100"/>
  <c r="BU28" i="100"/>
  <c r="BT28" i="100"/>
  <c r="BS28" i="100"/>
  <c r="BR28" i="100"/>
  <c r="BQ28" i="100"/>
  <c r="O28" i="100"/>
  <c r="K28" i="100"/>
  <c r="B28" i="100"/>
  <c r="BU27" i="100"/>
  <c r="BT27" i="100"/>
  <c r="BS27" i="100"/>
  <c r="BR27" i="100"/>
  <c r="BQ27" i="100"/>
  <c r="O27" i="100"/>
  <c r="K27" i="100"/>
  <c r="B27" i="100"/>
  <c r="BU26" i="100"/>
  <c r="BT26" i="100"/>
  <c r="BS26" i="100"/>
  <c r="BR26" i="100"/>
  <c r="BQ26" i="100"/>
  <c r="O26" i="100"/>
  <c r="K26" i="100"/>
  <c r="B26" i="100"/>
  <c r="BU25" i="100"/>
  <c r="BT25" i="100"/>
  <c r="BS25" i="100"/>
  <c r="BR25" i="100"/>
  <c r="BQ25" i="100"/>
  <c r="O25" i="100"/>
  <c r="K25" i="100"/>
  <c r="B25" i="100"/>
  <c r="BU24" i="100"/>
  <c r="BT24" i="100"/>
  <c r="BS24" i="100"/>
  <c r="BR24" i="100"/>
  <c r="BQ24" i="100"/>
  <c r="O24" i="100"/>
  <c r="K24" i="100"/>
  <c r="B24" i="100"/>
  <c r="BU23" i="100"/>
  <c r="BT23" i="100"/>
  <c r="BS23" i="100"/>
  <c r="BR23" i="100"/>
  <c r="BQ23" i="100"/>
  <c r="O23" i="100"/>
  <c r="K23" i="100"/>
  <c r="B23" i="100"/>
  <c r="BU22" i="100"/>
  <c r="BT22" i="100"/>
  <c r="BS22" i="100"/>
  <c r="BR22" i="100"/>
  <c r="BQ22" i="100"/>
  <c r="O22" i="100"/>
  <c r="K22" i="100"/>
  <c r="B22" i="100"/>
  <c r="BU21" i="100"/>
  <c r="BT21" i="100"/>
  <c r="BS21" i="100"/>
  <c r="BR21" i="100"/>
  <c r="BQ21" i="100"/>
  <c r="O21" i="100"/>
  <c r="K21" i="100"/>
  <c r="B21" i="100"/>
  <c r="BU20" i="100"/>
  <c r="BT20" i="100"/>
  <c r="BS20" i="100"/>
  <c r="BR20" i="100"/>
  <c r="BQ20" i="100"/>
  <c r="O20" i="100"/>
  <c r="K20" i="100"/>
  <c r="B20" i="100"/>
  <c r="BU19" i="100"/>
  <c r="BT19" i="100"/>
  <c r="BS19" i="100"/>
  <c r="BR19" i="100"/>
  <c r="BQ19" i="100"/>
  <c r="O19" i="100"/>
  <c r="K19" i="100"/>
  <c r="B19" i="100"/>
  <c r="BU18" i="100"/>
  <c r="BT18" i="100"/>
  <c r="BS18" i="100"/>
  <c r="BR18" i="100"/>
  <c r="BQ18" i="100"/>
  <c r="O18" i="100"/>
  <c r="K18" i="100"/>
  <c r="B18" i="100"/>
  <c r="BU17" i="100"/>
  <c r="BT17" i="100"/>
  <c r="BS17" i="100"/>
  <c r="BR17" i="100"/>
  <c r="BQ17" i="100"/>
  <c r="O17" i="100"/>
  <c r="K17" i="100"/>
  <c r="B17" i="100"/>
  <c r="O16" i="100"/>
  <c r="K16" i="100"/>
  <c r="B16" i="100"/>
  <c r="O15" i="100"/>
  <c r="K15" i="100"/>
  <c r="B15" i="100"/>
  <c r="BU14" i="100"/>
  <c r="BU16" i="100" s="1"/>
  <c r="BT14" i="100"/>
  <c r="BT16" i="100" s="1"/>
  <c r="BS14" i="100"/>
  <c r="BS16" i="100" s="1"/>
  <c r="BR14" i="100"/>
  <c r="BR16" i="100" s="1"/>
  <c r="BQ14" i="100"/>
  <c r="BQ16" i="100" s="1"/>
  <c r="V13" i="100"/>
  <c r="BC13" i="100" s="1"/>
  <c r="U13" i="100"/>
  <c r="BB13" i="100" s="1"/>
  <c r="D13" i="100"/>
  <c r="C13" i="100"/>
  <c r="F11" i="100"/>
  <c r="F10" i="100"/>
  <c r="H9" i="100"/>
  <c r="F9" i="100"/>
  <c r="H8" i="100"/>
  <c r="F8" i="100"/>
  <c r="H7" i="100"/>
  <c r="F7" i="100"/>
  <c r="H6" i="100"/>
  <c r="F6" i="100"/>
  <c r="H5" i="100"/>
  <c r="F5" i="100"/>
  <c r="F4" i="100"/>
  <c r="AK3" i="100"/>
  <c r="T3" i="100"/>
  <c r="S3" i="100"/>
  <c r="AT2" i="100"/>
  <c r="AS2" i="100"/>
  <c r="AR2" i="100"/>
  <c r="AQ2" i="100"/>
  <c r="AP2" i="100"/>
  <c r="AO2" i="100"/>
  <c r="AN2" i="100"/>
  <c r="T2" i="100"/>
  <c r="S2" i="100"/>
  <c r="F1" i="100"/>
  <c r="S45" i="99"/>
  <c r="R45" i="99"/>
  <c r="P45" i="99"/>
  <c r="N45" i="99"/>
  <c r="L45" i="99"/>
  <c r="J45" i="99"/>
  <c r="I45" i="99"/>
  <c r="H45" i="99"/>
  <c r="BU44" i="99"/>
  <c r="BT44" i="99"/>
  <c r="BS44" i="99"/>
  <c r="BR44" i="99"/>
  <c r="BQ44" i="99"/>
  <c r="O44" i="99"/>
  <c r="K44" i="99"/>
  <c r="B44" i="99"/>
  <c r="BU43" i="99"/>
  <c r="BT43" i="99"/>
  <c r="BS43" i="99"/>
  <c r="BR43" i="99"/>
  <c r="BQ43" i="99"/>
  <c r="O43" i="99"/>
  <c r="K43" i="99"/>
  <c r="B43" i="99"/>
  <c r="BU42" i="99"/>
  <c r="BT42" i="99"/>
  <c r="BS42" i="99"/>
  <c r="BR42" i="99"/>
  <c r="BQ42" i="99"/>
  <c r="O42" i="99"/>
  <c r="K42" i="99"/>
  <c r="B42" i="99"/>
  <c r="BU41" i="99"/>
  <c r="BT41" i="99"/>
  <c r="BS41" i="99"/>
  <c r="BR41" i="99"/>
  <c r="BQ41" i="99"/>
  <c r="O41" i="99"/>
  <c r="K41" i="99"/>
  <c r="B41" i="99"/>
  <c r="BU40" i="99"/>
  <c r="BT40" i="99"/>
  <c r="BS40" i="99"/>
  <c r="BR40" i="99"/>
  <c r="BQ40" i="99"/>
  <c r="O40" i="99"/>
  <c r="K40" i="99"/>
  <c r="B40" i="99"/>
  <c r="BU39" i="99"/>
  <c r="BT39" i="99"/>
  <c r="BS39" i="99"/>
  <c r="BR39" i="99"/>
  <c r="BQ39" i="99"/>
  <c r="O39" i="99"/>
  <c r="K39" i="99"/>
  <c r="B39" i="99"/>
  <c r="BU38" i="99"/>
  <c r="BT38" i="99"/>
  <c r="BS38" i="99"/>
  <c r="BR38" i="99"/>
  <c r="BQ38" i="99"/>
  <c r="O38" i="99"/>
  <c r="K38" i="99"/>
  <c r="B38" i="99"/>
  <c r="BU37" i="99"/>
  <c r="BT37" i="99"/>
  <c r="BS37" i="99"/>
  <c r="BR37" i="99"/>
  <c r="BQ37" i="99"/>
  <c r="O37" i="99"/>
  <c r="K37" i="99"/>
  <c r="B37" i="99"/>
  <c r="BU36" i="99"/>
  <c r="BT36" i="99"/>
  <c r="BS36" i="99"/>
  <c r="BR36" i="99"/>
  <c r="BQ36" i="99"/>
  <c r="O36" i="99"/>
  <c r="K36" i="99"/>
  <c r="B36" i="99"/>
  <c r="BU35" i="99"/>
  <c r="BT35" i="99"/>
  <c r="BS35" i="99"/>
  <c r="BR35" i="99"/>
  <c r="BQ35" i="99"/>
  <c r="O35" i="99"/>
  <c r="K35" i="99"/>
  <c r="B35" i="99"/>
  <c r="BU34" i="99"/>
  <c r="BT34" i="99"/>
  <c r="BS34" i="99"/>
  <c r="BR34" i="99"/>
  <c r="BQ34" i="99"/>
  <c r="O34" i="99"/>
  <c r="K34" i="99"/>
  <c r="B34" i="99"/>
  <c r="BU33" i="99"/>
  <c r="BT33" i="99"/>
  <c r="BS33" i="99"/>
  <c r="BR33" i="99"/>
  <c r="BQ33" i="99"/>
  <c r="O33" i="99"/>
  <c r="K33" i="99"/>
  <c r="B33" i="99"/>
  <c r="BU32" i="99"/>
  <c r="BT32" i="99"/>
  <c r="BS32" i="99"/>
  <c r="BR32" i="99"/>
  <c r="BQ32" i="99"/>
  <c r="O32" i="99"/>
  <c r="K32" i="99"/>
  <c r="B32" i="99"/>
  <c r="BU31" i="99"/>
  <c r="BT31" i="99"/>
  <c r="BS31" i="99"/>
  <c r="BR31" i="99"/>
  <c r="BQ31" i="99"/>
  <c r="O31" i="99"/>
  <c r="K31" i="99"/>
  <c r="B31" i="99"/>
  <c r="BU30" i="99"/>
  <c r="BT30" i="99"/>
  <c r="BS30" i="99"/>
  <c r="BR30" i="99"/>
  <c r="BQ30" i="99"/>
  <c r="O30" i="99"/>
  <c r="K30" i="99"/>
  <c r="B30" i="99"/>
  <c r="BU29" i="99"/>
  <c r="BT29" i="99"/>
  <c r="BS29" i="99"/>
  <c r="BR29" i="99"/>
  <c r="BQ29" i="99"/>
  <c r="O29" i="99"/>
  <c r="K29" i="99"/>
  <c r="B29" i="99"/>
  <c r="BU28" i="99"/>
  <c r="BT28" i="99"/>
  <c r="BS28" i="99"/>
  <c r="BR28" i="99"/>
  <c r="BQ28" i="99"/>
  <c r="O28" i="99"/>
  <c r="K28" i="99"/>
  <c r="B28" i="99"/>
  <c r="BU27" i="99"/>
  <c r="BT27" i="99"/>
  <c r="BS27" i="99"/>
  <c r="BR27" i="99"/>
  <c r="BQ27" i="99"/>
  <c r="O27" i="99"/>
  <c r="K27" i="99"/>
  <c r="B27" i="99"/>
  <c r="BU26" i="99"/>
  <c r="BT26" i="99"/>
  <c r="BS26" i="99"/>
  <c r="BR26" i="99"/>
  <c r="BQ26" i="99"/>
  <c r="O26" i="99"/>
  <c r="K26" i="99"/>
  <c r="B26" i="99"/>
  <c r="BU25" i="99"/>
  <c r="BT25" i="99"/>
  <c r="BS25" i="99"/>
  <c r="BR25" i="99"/>
  <c r="BQ25" i="99"/>
  <c r="O25" i="99"/>
  <c r="K25" i="99"/>
  <c r="B25" i="99"/>
  <c r="BU24" i="99"/>
  <c r="BT24" i="99"/>
  <c r="BS24" i="99"/>
  <c r="BR24" i="99"/>
  <c r="BQ24" i="99"/>
  <c r="O24" i="99"/>
  <c r="K24" i="99"/>
  <c r="B24" i="99"/>
  <c r="BU23" i="99"/>
  <c r="BT23" i="99"/>
  <c r="BS23" i="99"/>
  <c r="BR23" i="99"/>
  <c r="BQ23" i="99"/>
  <c r="O23" i="99"/>
  <c r="K23" i="99"/>
  <c r="B23" i="99"/>
  <c r="BU22" i="99"/>
  <c r="BT22" i="99"/>
  <c r="BS22" i="99"/>
  <c r="BR22" i="99"/>
  <c r="BQ22" i="99"/>
  <c r="O22" i="99"/>
  <c r="K22" i="99"/>
  <c r="B22" i="99"/>
  <c r="BU21" i="99"/>
  <c r="BT21" i="99"/>
  <c r="BS21" i="99"/>
  <c r="BR21" i="99"/>
  <c r="BQ21" i="99"/>
  <c r="O21" i="99"/>
  <c r="K21" i="99"/>
  <c r="B21" i="99"/>
  <c r="BU20" i="99"/>
  <c r="BT20" i="99"/>
  <c r="BS20" i="99"/>
  <c r="BR20" i="99"/>
  <c r="BQ20" i="99"/>
  <c r="O20" i="99"/>
  <c r="K20" i="99"/>
  <c r="B20" i="99"/>
  <c r="BU19" i="99"/>
  <c r="BT19" i="99"/>
  <c r="BS19" i="99"/>
  <c r="BR19" i="99"/>
  <c r="BQ19" i="99"/>
  <c r="O19" i="99"/>
  <c r="K19" i="99"/>
  <c r="B19" i="99"/>
  <c r="BU18" i="99"/>
  <c r="BT18" i="99"/>
  <c r="BS18" i="99"/>
  <c r="BR18" i="99"/>
  <c r="BQ18" i="99"/>
  <c r="O18" i="99"/>
  <c r="K18" i="99"/>
  <c r="B18" i="99"/>
  <c r="BU17" i="99"/>
  <c r="BT17" i="99"/>
  <c r="BS17" i="99"/>
  <c r="BR17" i="99"/>
  <c r="BQ17" i="99"/>
  <c r="O17" i="99"/>
  <c r="K17" i="99"/>
  <c r="B17" i="99"/>
  <c r="O16" i="99"/>
  <c r="K16" i="99"/>
  <c r="B16" i="99"/>
  <c r="O15" i="99"/>
  <c r="K15" i="99"/>
  <c r="B15" i="99"/>
  <c r="BU14" i="99"/>
  <c r="BU16" i="99" s="1"/>
  <c r="BT14" i="99"/>
  <c r="BT16" i="99" s="1"/>
  <c r="BS14" i="99"/>
  <c r="BS16" i="99" s="1"/>
  <c r="BR14" i="99"/>
  <c r="BR16" i="99" s="1"/>
  <c r="BQ14" i="99"/>
  <c r="BQ16" i="99" s="1"/>
  <c r="V13" i="99"/>
  <c r="BC13" i="99" s="1"/>
  <c r="U13" i="99"/>
  <c r="BB13" i="99" s="1"/>
  <c r="D13" i="99"/>
  <c r="C13" i="99"/>
  <c r="F11" i="99"/>
  <c r="F10" i="99"/>
  <c r="H9" i="99"/>
  <c r="F9" i="99"/>
  <c r="H8" i="99"/>
  <c r="F8" i="99"/>
  <c r="H7" i="99"/>
  <c r="F7" i="99"/>
  <c r="H6" i="99"/>
  <c r="F6" i="99"/>
  <c r="H5" i="99"/>
  <c r="F5" i="99"/>
  <c r="F4" i="99"/>
  <c r="AK3" i="99"/>
  <c r="T3" i="99"/>
  <c r="S3" i="99"/>
  <c r="AT2" i="99"/>
  <c r="AS2" i="99"/>
  <c r="AR2" i="99"/>
  <c r="AQ2" i="99"/>
  <c r="AP2" i="99"/>
  <c r="AO2" i="99"/>
  <c r="AN2" i="99"/>
  <c r="T2" i="99"/>
  <c r="S2" i="99"/>
  <c r="F1" i="99"/>
  <c r="S45" i="98"/>
  <c r="R45" i="98"/>
  <c r="P45" i="98"/>
  <c r="N45" i="98"/>
  <c r="L45" i="98"/>
  <c r="J45" i="98"/>
  <c r="I45" i="98"/>
  <c r="H45" i="98"/>
  <c r="BU44" i="98"/>
  <c r="BT44" i="98"/>
  <c r="BS44" i="98"/>
  <c r="BR44" i="98"/>
  <c r="BQ44" i="98"/>
  <c r="O44" i="98"/>
  <c r="K44" i="98"/>
  <c r="B44" i="98"/>
  <c r="BU43" i="98"/>
  <c r="BT43" i="98"/>
  <c r="BS43" i="98"/>
  <c r="BR43" i="98"/>
  <c r="BQ43" i="98"/>
  <c r="O43" i="98"/>
  <c r="K43" i="98"/>
  <c r="B43" i="98"/>
  <c r="BU42" i="98"/>
  <c r="BT42" i="98"/>
  <c r="BS42" i="98"/>
  <c r="BR42" i="98"/>
  <c r="BQ42" i="98"/>
  <c r="O42" i="98"/>
  <c r="K42" i="98"/>
  <c r="B42" i="98"/>
  <c r="BU41" i="98"/>
  <c r="BT41" i="98"/>
  <c r="BS41" i="98"/>
  <c r="BR41" i="98"/>
  <c r="BQ41" i="98"/>
  <c r="O41" i="98"/>
  <c r="K41" i="98"/>
  <c r="B41" i="98"/>
  <c r="BU40" i="98"/>
  <c r="BT40" i="98"/>
  <c r="BS40" i="98"/>
  <c r="BR40" i="98"/>
  <c r="BQ40" i="98"/>
  <c r="O40" i="98"/>
  <c r="K40" i="98"/>
  <c r="B40" i="98"/>
  <c r="BU39" i="98"/>
  <c r="BT39" i="98"/>
  <c r="BS39" i="98"/>
  <c r="BR39" i="98"/>
  <c r="BQ39" i="98"/>
  <c r="O39" i="98"/>
  <c r="K39" i="98"/>
  <c r="B39" i="98"/>
  <c r="BU38" i="98"/>
  <c r="BT38" i="98"/>
  <c r="BS38" i="98"/>
  <c r="BR38" i="98"/>
  <c r="BQ38" i="98"/>
  <c r="O38" i="98"/>
  <c r="K38" i="98"/>
  <c r="B38" i="98"/>
  <c r="BU37" i="98"/>
  <c r="BT37" i="98"/>
  <c r="BS37" i="98"/>
  <c r="BR37" i="98"/>
  <c r="BQ37" i="98"/>
  <c r="O37" i="98"/>
  <c r="K37" i="98"/>
  <c r="B37" i="98"/>
  <c r="BU36" i="98"/>
  <c r="BT36" i="98"/>
  <c r="BS36" i="98"/>
  <c r="BR36" i="98"/>
  <c r="BQ36" i="98"/>
  <c r="O36" i="98"/>
  <c r="K36" i="98"/>
  <c r="B36" i="98"/>
  <c r="BU35" i="98"/>
  <c r="BT35" i="98"/>
  <c r="BS35" i="98"/>
  <c r="BR35" i="98"/>
  <c r="BQ35" i="98"/>
  <c r="O35" i="98"/>
  <c r="K35" i="98"/>
  <c r="B35" i="98"/>
  <c r="BU34" i="98"/>
  <c r="BT34" i="98"/>
  <c r="BS34" i="98"/>
  <c r="BR34" i="98"/>
  <c r="BQ34" i="98"/>
  <c r="O34" i="98"/>
  <c r="K34" i="98"/>
  <c r="B34" i="98"/>
  <c r="BU33" i="98"/>
  <c r="BT33" i="98"/>
  <c r="BS33" i="98"/>
  <c r="BR33" i="98"/>
  <c r="BQ33" i="98"/>
  <c r="O33" i="98"/>
  <c r="K33" i="98"/>
  <c r="B33" i="98"/>
  <c r="BU32" i="98"/>
  <c r="BT32" i="98"/>
  <c r="BS32" i="98"/>
  <c r="BR32" i="98"/>
  <c r="BQ32" i="98"/>
  <c r="O32" i="98"/>
  <c r="K32" i="98"/>
  <c r="B32" i="98"/>
  <c r="BU31" i="98"/>
  <c r="BT31" i="98"/>
  <c r="BS31" i="98"/>
  <c r="BR31" i="98"/>
  <c r="BQ31" i="98"/>
  <c r="O31" i="98"/>
  <c r="K31" i="98"/>
  <c r="B31" i="98"/>
  <c r="BU30" i="98"/>
  <c r="BT30" i="98"/>
  <c r="BS30" i="98"/>
  <c r="BR30" i="98"/>
  <c r="BQ30" i="98"/>
  <c r="O30" i="98"/>
  <c r="K30" i="98"/>
  <c r="B30" i="98"/>
  <c r="BU29" i="98"/>
  <c r="BT29" i="98"/>
  <c r="BS29" i="98"/>
  <c r="BR29" i="98"/>
  <c r="BQ29" i="98"/>
  <c r="O29" i="98"/>
  <c r="K29" i="98"/>
  <c r="B29" i="98"/>
  <c r="BU28" i="98"/>
  <c r="BT28" i="98"/>
  <c r="BS28" i="98"/>
  <c r="BR28" i="98"/>
  <c r="BQ28" i="98"/>
  <c r="O28" i="98"/>
  <c r="K28" i="98"/>
  <c r="B28" i="98"/>
  <c r="BU27" i="98"/>
  <c r="BT27" i="98"/>
  <c r="BS27" i="98"/>
  <c r="BR27" i="98"/>
  <c r="BQ27" i="98"/>
  <c r="O27" i="98"/>
  <c r="K27" i="98"/>
  <c r="B27" i="98"/>
  <c r="BU26" i="98"/>
  <c r="BT26" i="98"/>
  <c r="BS26" i="98"/>
  <c r="BR26" i="98"/>
  <c r="BQ26" i="98"/>
  <c r="O26" i="98"/>
  <c r="K26" i="98"/>
  <c r="B26" i="98"/>
  <c r="BU25" i="98"/>
  <c r="BT25" i="98"/>
  <c r="BS25" i="98"/>
  <c r="BR25" i="98"/>
  <c r="BQ25" i="98"/>
  <c r="O25" i="98"/>
  <c r="K25" i="98"/>
  <c r="B25" i="98"/>
  <c r="BU24" i="98"/>
  <c r="BT24" i="98"/>
  <c r="BS24" i="98"/>
  <c r="BR24" i="98"/>
  <c r="BQ24" i="98"/>
  <c r="O24" i="98"/>
  <c r="K24" i="98"/>
  <c r="B24" i="98"/>
  <c r="BU23" i="98"/>
  <c r="BT23" i="98"/>
  <c r="BS23" i="98"/>
  <c r="BR23" i="98"/>
  <c r="BQ23" i="98"/>
  <c r="O23" i="98"/>
  <c r="K23" i="98"/>
  <c r="B23" i="98"/>
  <c r="BU22" i="98"/>
  <c r="BT22" i="98"/>
  <c r="BS22" i="98"/>
  <c r="BR22" i="98"/>
  <c r="BQ22" i="98"/>
  <c r="O22" i="98"/>
  <c r="K22" i="98"/>
  <c r="B22" i="98"/>
  <c r="BU21" i="98"/>
  <c r="BT21" i="98"/>
  <c r="BS21" i="98"/>
  <c r="BR21" i="98"/>
  <c r="BQ21" i="98"/>
  <c r="O21" i="98"/>
  <c r="K21" i="98"/>
  <c r="B21" i="98"/>
  <c r="BU20" i="98"/>
  <c r="BT20" i="98"/>
  <c r="BS20" i="98"/>
  <c r="BR20" i="98"/>
  <c r="BQ20" i="98"/>
  <c r="O20" i="98"/>
  <c r="K20" i="98"/>
  <c r="B20" i="98"/>
  <c r="BU19" i="98"/>
  <c r="BT19" i="98"/>
  <c r="BS19" i="98"/>
  <c r="BR19" i="98"/>
  <c r="BQ19" i="98"/>
  <c r="O19" i="98"/>
  <c r="K19" i="98"/>
  <c r="B19" i="98"/>
  <c r="BU18" i="98"/>
  <c r="BT18" i="98"/>
  <c r="BS18" i="98"/>
  <c r="BR18" i="98"/>
  <c r="BQ18" i="98"/>
  <c r="O18" i="98"/>
  <c r="K18" i="98"/>
  <c r="B18" i="98"/>
  <c r="BU17" i="98"/>
  <c r="BT17" i="98"/>
  <c r="BS17" i="98"/>
  <c r="BR17" i="98"/>
  <c r="BQ17" i="98"/>
  <c r="O17" i="98"/>
  <c r="K17" i="98"/>
  <c r="B17" i="98"/>
  <c r="O16" i="98"/>
  <c r="K16" i="98"/>
  <c r="B16" i="98"/>
  <c r="O15" i="98"/>
  <c r="K15" i="98"/>
  <c r="B15" i="98"/>
  <c r="BU14" i="98"/>
  <c r="BU16" i="98" s="1"/>
  <c r="BT14" i="98"/>
  <c r="BT16" i="98" s="1"/>
  <c r="BS14" i="98"/>
  <c r="BS16" i="98" s="1"/>
  <c r="BR14" i="98"/>
  <c r="BR16" i="98" s="1"/>
  <c r="BQ14" i="98"/>
  <c r="V13" i="98"/>
  <c r="BC13" i="98" s="1"/>
  <c r="U13" i="98"/>
  <c r="BB13" i="98" s="1"/>
  <c r="D13" i="98"/>
  <c r="C13" i="98"/>
  <c r="F11" i="98"/>
  <c r="F10" i="98"/>
  <c r="H9" i="98"/>
  <c r="F9" i="98"/>
  <c r="H8" i="98"/>
  <c r="F8" i="98"/>
  <c r="H7" i="98"/>
  <c r="F7" i="98"/>
  <c r="H6" i="98"/>
  <c r="F6" i="98"/>
  <c r="H5" i="98"/>
  <c r="F5" i="98"/>
  <c r="F4" i="98"/>
  <c r="AK3" i="98"/>
  <c r="T3" i="98"/>
  <c r="S3" i="98"/>
  <c r="AT2" i="98"/>
  <c r="AS2" i="98"/>
  <c r="AR2" i="98"/>
  <c r="AQ2" i="98"/>
  <c r="AP2" i="98"/>
  <c r="AO2" i="98"/>
  <c r="AN2" i="98"/>
  <c r="T2" i="98"/>
  <c r="S2" i="98"/>
  <c r="F1" i="98"/>
  <c r="S45" i="97"/>
  <c r="R45" i="97"/>
  <c r="P45" i="97"/>
  <c r="N45" i="97"/>
  <c r="L45" i="97"/>
  <c r="J45" i="97"/>
  <c r="I45" i="97"/>
  <c r="H45" i="97"/>
  <c r="BU44" i="97"/>
  <c r="BT44" i="97"/>
  <c r="BS44" i="97"/>
  <c r="BR44" i="97"/>
  <c r="BQ44" i="97"/>
  <c r="O44" i="97"/>
  <c r="K44" i="97"/>
  <c r="B44" i="97"/>
  <c r="BU43" i="97"/>
  <c r="BT43" i="97"/>
  <c r="BS43" i="97"/>
  <c r="BR43" i="97"/>
  <c r="BQ43" i="97"/>
  <c r="O43" i="97"/>
  <c r="K43" i="97"/>
  <c r="B43" i="97"/>
  <c r="BU42" i="97"/>
  <c r="BT42" i="97"/>
  <c r="BS42" i="97"/>
  <c r="BR42" i="97"/>
  <c r="BQ42" i="97"/>
  <c r="O42" i="97"/>
  <c r="K42" i="97"/>
  <c r="B42" i="97"/>
  <c r="BU41" i="97"/>
  <c r="BT41" i="97"/>
  <c r="BS41" i="97"/>
  <c r="BR41" i="97"/>
  <c r="BQ41" i="97"/>
  <c r="O41" i="97"/>
  <c r="K41" i="97"/>
  <c r="B41" i="97"/>
  <c r="BU40" i="97"/>
  <c r="BT40" i="97"/>
  <c r="BS40" i="97"/>
  <c r="BR40" i="97"/>
  <c r="BQ40" i="97"/>
  <c r="O40" i="97"/>
  <c r="K40" i="97"/>
  <c r="B40" i="97"/>
  <c r="BU39" i="97"/>
  <c r="BT39" i="97"/>
  <c r="BS39" i="97"/>
  <c r="BR39" i="97"/>
  <c r="BQ39" i="97"/>
  <c r="O39" i="97"/>
  <c r="K39" i="97"/>
  <c r="B39" i="97"/>
  <c r="BU38" i="97"/>
  <c r="BT38" i="97"/>
  <c r="BS38" i="97"/>
  <c r="BR38" i="97"/>
  <c r="BQ38" i="97"/>
  <c r="O38" i="97"/>
  <c r="K38" i="97"/>
  <c r="B38" i="97"/>
  <c r="BU37" i="97"/>
  <c r="BT37" i="97"/>
  <c r="BS37" i="97"/>
  <c r="BR37" i="97"/>
  <c r="BQ37" i="97"/>
  <c r="O37" i="97"/>
  <c r="K37" i="97"/>
  <c r="B37" i="97"/>
  <c r="BU36" i="97"/>
  <c r="BT36" i="97"/>
  <c r="BS36" i="97"/>
  <c r="BR36" i="97"/>
  <c r="BQ36" i="97"/>
  <c r="O36" i="97"/>
  <c r="K36" i="97"/>
  <c r="B36" i="97"/>
  <c r="BU35" i="97"/>
  <c r="BT35" i="97"/>
  <c r="BS35" i="97"/>
  <c r="BR35" i="97"/>
  <c r="BQ35" i="97"/>
  <c r="O35" i="97"/>
  <c r="K35" i="97"/>
  <c r="B35" i="97"/>
  <c r="BU34" i="97"/>
  <c r="BT34" i="97"/>
  <c r="BS34" i="97"/>
  <c r="BR34" i="97"/>
  <c r="BQ34" i="97"/>
  <c r="O34" i="97"/>
  <c r="K34" i="97"/>
  <c r="B34" i="97"/>
  <c r="BU33" i="97"/>
  <c r="BT33" i="97"/>
  <c r="BS33" i="97"/>
  <c r="BR33" i="97"/>
  <c r="BQ33" i="97"/>
  <c r="O33" i="97"/>
  <c r="K33" i="97"/>
  <c r="B33" i="97"/>
  <c r="BU32" i="97"/>
  <c r="BT32" i="97"/>
  <c r="BS32" i="97"/>
  <c r="BR32" i="97"/>
  <c r="BQ32" i="97"/>
  <c r="O32" i="97"/>
  <c r="K32" i="97"/>
  <c r="B32" i="97"/>
  <c r="BU31" i="97"/>
  <c r="BT31" i="97"/>
  <c r="BS31" i="97"/>
  <c r="BR31" i="97"/>
  <c r="BQ31" i="97"/>
  <c r="O31" i="97"/>
  <c r="K31" i="97"/>
  <c r="B31" i="97"/>
  <c r="BU30" i="97"/>
  <c r="BT30" i="97"/>
  <c r="BS30" i="97"/>
  <c r="BR30" i="97"/>
  <c r="BQ30" i="97"/>
  <c r="O30" i="97"/>
  <c r="K30" i="97"/>
  <c r="B30" i="97"/>
  <c r="BU29" i="97"/>
  <c r="BT29" i="97"/>
  <c r="BS29" i="97"/>
  <c r="BR29" i="97"/>
  <c r="BQ29" i="97"/>
  <c r="O29" i="97"/>
  <c r="K29" i="97"/>
  <c r="B29" i="97"/>
  <c r="BU28" i="97"/>
  <c r="BT28" i="97"/>
  <c r="BS28" i="97"/>
  <c r="BR28" i="97"/>
  <c r="BQ28" i="97"/>
  <c r="O28" i="97"/>
  <c r="K28" i="97"/>
  <c r="B28" i="97"/>
  <c r="BU27" i="97"/>
  <c r="BT27" i="97"/>
  <c r="BS27" i="97"/>
  <c r="BR27" i="97"/>
  <c r="BQ27" i="97"/>
  <c r="O27" i="97"/>
  <c r="K27" i="97"/>
  <c r="B27" i="97"/>
  <c r="BU26" i="97"/>
  <c r="BT26" i="97"/>
  <c r="BS26" i="97"/>
  <c r="BR26" i="97"/>
  <c r="BQ26" i="97"/>
  <c r="O26" i="97"/>
  <c r="K26" i="97"/>
  <c r="B26" i="97"/>
  <c r="BU25" i="97"/>
  <c r="BT25" i="97"/>
  <c r="BS25" i="97"/>
  <c r="BR25" i="97"/>
  <c r="BQ25" i="97"/>
  <c r="O25" i="97"/>
  <c r="K25" i="97"/>
  <c r="B25" i="97"/>
  <c r="BU24" i="97"/>
  <c r="BT24" i="97"/>
  <c r="BS24" i="97"/>
  <c r="BR24" i="97"/>
  <c r="BQ24" i="97"/>
  <c r="O24" i="97"/>
  <c r="K24" i="97"/>
  <c r="B24" i="97"/>
  <c r="BU23" i="97"/>
  <c r="BT23" i="97"/>
  <c r="BS23" i="97"/>
  <c r="BR23" i="97"/>
  <c r="BQ23" i="97"/>
  <c r="O23" i="97"/>
  <c r="K23" i="97"/>
  <c r="B23" i="97"/>
  <c r="BU22" i="97"/>
  <c r="BT22" i="97"/>
  <c r="BS22" i="97"/>
  <c r="BR22" i="97"/>
  <c r="BQ22" i="97"/>
  <c r="O22" i="97"/>
  <c r="K22" i="97"/>
  <c r="B22" i="97"/>
  <c r="BU21" i="97"/>
  <c r="BT21" i="97"/>
  <c r="BS21" i="97"/>
  <c r="BR21" i="97"/>
  <c r="BQ21" i="97"/>
  <c r="O21" i="97"/>
  <c r="K21" i="97"/>
  <c r="B21" i="97"/>
  <c r="BU20" i="97"/>
  <c r="BT20" i="97"/>
  <c r="BS20" i="97"/>
  <c r="BR20" i="97"/>
  <c r="BQ20" i="97"/>
  <c r="O20" i="97"/>
  <c r="K20" i="97"/>
  <c r="B20" i="97"/>
  <c r="BU19" i="97"/>
  <c r="BT19" i="97"/>
  <c r="BS19" i="97"/>
  <c r="BR19" i="97"/>
  <c r="BQ19" i="97"/>
  <c r="O19" i="97"/>
  <c r="K19" i="97"/>
  <c r="B19" i="97"/>
  <c r="BU18" i="97"/>
  <c r="BT18" i="97"/>
  <c r="BS18" i="97"/>
  <c r="BR18" i="97"/>
  <c r="BQ18" i="97"/>
  <c r="O18" i="97"/>
  <c r="K18" i="97"/>
  <c r="B18" i="97"/>
  <c r="BU17" i="97"/>
  <c r="BT17" i="97"/>
  <c r="BS17" i="97"/>
  <c r="BR17" i="97"/>
  <c r="BQ17" i="97"/>
  <c r="O17" i="97"/>
  <c r="K17" i="97"/>
  <c r="B17" i="97"/>
  <c r="O16" i="97"/>
  <c r="K16" i="97"/>
  <c r="B16" i="97"/>
  <c r="O15" i="97"/>
  <c r="K15" i="97"/>
  <c r="B15" i="97"/>
  <c r="BU14" i="97"/>
  <c r="BU15" i="97" s="1"/>
  <c r="BT14" i="97"/>
  <c r="BT15" i="97" s="1"/>
  <c r="BS14" i="97"/>
  <c r="BS15" i="97" s="1"/>
  <c r="BR14" i="97"/>
  <c r="BR15" i="97" s="1"/>
  <c r="BQ14" i="97"/>
  <c r="BQ16" i="97" s="1"/>
  <c r="V13" i="97"/>
  <c r="BC13" i="97" s="1"/>
  <c r="U13" i="97"/>
  <c r="BB13" i="97" s="1"/>
  <c r="D13" i="97"/>
  <c r="C13" i="97"/>
  <c r="F11" i="97"/>
  <c r="F10" i="97"/>
  <c r="H9" i="97"/>
  <c r="F9" i="97"/>
  <c r="H8" i="97"/>
  <c r="F8" i="97"/>
  <c r="H7" i="97"/>
  <c r="F7" i="97"/>
  <c r="H6" i="97"/>
  <c r="F6" i="97"/>
  <c r="H5" i="97"/>
  <c r="F5" i="97"/>
  <c r="F4" i="97"/>
  <c r="AK3" i="97"/>
  <c r="T3" i="97"/>
  <c r="S3" i="97"/>
  <c r="AT2" i="97"/>
  <c r="AS2" i="97"/>
  <c r="AR2" i="97"/>
  <c r="AQ2" i="97"/>
  <c r="AP2" i="97"/>
  <c r="AO2" i="97"/>
  <c r="AN2" i="97"/>
  <c r="T2" i="97"/>
  <c r="S2" i="97"/>
  <c r="F1" i="97"/>
  <c r="S45" i="96"/>
  <c r="R45" i="96"/>
  <c r="P45" i="96"/>
  <c r="N45" i="96"/>
  <c r="L45" i="96"/>
  <c r="J45" i="96"/>
  <c r="I45" i="96"/>
  <c r="H45" i="96"/>
  <c r="BU44" i="96"/>
  <c r="BT44" i="96"/>
  <c r="BS44" i="96"/>
  <c r="BR44" i="96"/>
  <c r="BQ44" i="96"/>
  <c r="O44" i="96"/>
  <c r="K44" i="96"/>
  <c r="B44" i="96"/>
  <c r="BU43" i="96"/>
  <c r="BT43" i="96"/>
  <c r="BS43" i="96"/>
  <c r="BR43" i="96"/>
  <c r="BQ43" i="96"/>
  <c r="O43" i="96"/>
  <c r="K43" i="96"/>
  <c r="B43" i="96"/>
  <c r="BU42" i="96"/>
  <c r="BT42" i="96"/>
  <c r="BS42" i="96"/>
  <c r="BR42" i="96"/>
  <c r="BQ42" i="96"/>
  <c r="O42" i="96"/>
  <c r="K42" i="96"/>
  <c r="B42" i="96"/>
  <c r="BU41" i="96"/>
  <c r="BT41" i="96"/>
  <c r="BS41" i="96"/>
  <c r="BR41" i="96"/>
  <c r="BQ41" i="96"/>
  <c r="O41" i="96"/>
  <c r="K41" i="96"/>
  <c r="B41" i="96"/>
  <c r="BU40" i="96"/>
  <c r="BT40" i="96"/>
  <c r="BS40" i="96"/>
  <c r="BR40" i="96"/>
  <c r="BQ40" i="96"/>
  <c r="O40" i="96"/>
  <c r="K40" i="96"/>
  <c r="B40" i="96"/>
  <c r="BU39" i="96"/>
  <c r="BT39" i="96"/>
  <c r="BS39" i="96"/>
  <c r="BR39" i="96"/>
  <c r="BQ39" i="96"/>
  <c r="O39" i="96"/>
  <c r="K39" i="96"/>
  <c r="B39" i="96"/>
  <c r="BU38" i="96"/>
  <c r="BT38" i="96"/>
  <c r="BS38" i="96"/>
  <c r="BR38" i="96"/>
  <c r="BQ38" i="96"/>
  <c r="O38" i="96"/>
  <c r="K38" i="96"/>
  <c r="B38" i="96"/>
  <c r="BU37" i="96"/>
  <c r="BT37" i="96"/>
  <c r="BS37" i="96"/>
  <c r="BR37" i="96"/>
  <c r="BQ37" i="96"/>
  <c r="O37" i="96"/>
  <c r="K37" i="96"/>
  <c r="B37" i="96"/>
  <c r="BU36" i="96"/>
  <c r="BT36" i="96"/>
  <c r="BS36" i="96"/>
  <c r="BR36" i="96"/>
  <c r="BQ36" i="96"/>
  <c r="O36" i="96"/>
  <c r="K36" i="96"/>
  <c r="B36" i="96"/>
  <c r="BU35" i="96"/>
  <c r="BT35" i="96"/>
  <c r="BS35" i="96"/>
  <c r="BR35" i="96"/>
  <c r="BQ35" i="96"/>
  <c r="O35" i="96"/>
  <c r="K35" i="96"/>
  <c r="B35" i="96"/>
  <c r="BU34" i="96"/>
  <c r="BT34" i="96"/>
  <c r="BS34" i="96"/>
  <c r="BR34" i="96"/>
  <c r="BQ34" i="96"/>
  <c r="O34" i="96"/>
  <c r="K34" i="96"/>
  <c r="B34" i="96"/>
  <c r="BU33" i="96"/>
  <c r="BT33" i="96"/>
  <c r="BS33" i="96"/>
  <c r="BR33" i="96"/>
  <c r="BQ33" i="96"/>
  <c r="O33" i="96"/>
  <c r="K33" i="96"/>
  <c r="B33" i="96"/>
  <c r="BU32" i="96"/>
  <c r="BT32" i="96"/>
  <c r="BS32" i="96"/>
  <c r="BR32" i="96"/>
  <c r="BQ32" i="96"/>
  <c r="O32" i="96"/>
  <c r="K32" i="96"/>
  <c r="B32" i="96"/>
  <c r="BU31" i="96"/>
  <c r="BT31" i="96"/>
  <c r="BS31" i="96"/>
  <c r="BR31" i="96"/>
  <c r="BQ31" i="96"/>
  <c r="O31" i="96"/>
  <c r="K31" i="96"/>
  <c r="B31" i="96"/>
  <c r="BU30" i="96"/>
  <c r="BT30" i="96"/>
  <c r="BS30" i="96"/>
  <c r="BR30" i="96"/>
  <c r="BQ30" i="96"/>
  <c r="O30" i="96"/>
  <c r="K30" i="96"/>
  <c r="B30" i="96"/>
  <c r="BU29" i="96"/>
  <c r="BT29" i="96"/>
  <c r="BS29" i="96"/>
  <c r="BR29" i="96"/>
  <c r="BQ29" i="96"/>
  <c r="O29" i="96"/>
  <c r="K29" i="96"/>
  <c r="B29" i="96"/>
  <c r="BU28" i="96"/>
  <c r="BT28" i="96"/>
  <c r="BS28" i="96"/>
  <c r="BR28" i="96"/>
  <c r="BQ28" i="96"/>
  <c r="O28" i="96"/>
  <c r="K28" i="96"/>
  <c r="B28" i="96"/>
  <c r="BU27" i="96"/>
  <c r="BT27" i="96"/>
  <c r="BS27" i="96"/>
  <c r="BR27" i="96"/>
  <c r="BQ27" i="96"/>
  <c r="O27" i="96"/>
  <c r="K27" i="96"/>
  <c r="B27" i="96"/>
  <c r="BU26" i="96"/>
  <c r="BT26" i="96"/>
  <c r="BS26" i="96"/>
  <c r="BR26" i="96"/>
  <c r="BQ26" i="96"/>
  <c r="O26" i="96"/>
  <c r="K26" i="96"/>
  <c r="B26" i="96"/>
  <c r="BU25" i="96"/>
  <c r="BT25" i="96"/>
  <c r="BS25" i="96"/>
  <c r="BR25" i="96"/>
  <c r="BQ25" i="96"/>
  <c r="O25" i="96"/>
  <c r="K25" i="96"/>
  <c r="B25" i="96"/>
  <c r="BU24" i="96"/>
  <c r="BT24" i="96"/>
  <c r="BS24" i="96"/>
  <c r="BR24" i="96"/>
  <c r="BQ24" i="96"/>
  <c r="O24" i="96"/>
  <c r="K24" i="96"/>
  <c r="B24" i="96"/>
  <c r="BU23" i="96"/>
  <c r="BT23" i="96"/>
  <c r="BS23" i="96"/>
  <c r="BR23" i="96"/>
  <c r="BQ23" i="96"/>
  <c r="O23" i="96"/>
  <c r="K23" i="96"/>
  <c r="B23" i="96"/>
  <c r="BU22" i="96"/>
  <c r="BT22" i="96"/>
  <c r="BS22" i="96"/>
  <c r="BR22" i="96"/>
  <c r="BQ22" i="96"/>
  <c r="O22" i="96"/>
  <c r="K22" i="96"/>
  <c r="B22" i="96"/>
  <c r="BU21" i="96"/>
  <c r="BT21" i="96"/>
  <c r="BS21" i="96"/>
  <c r="BR21" i="96"/>
  <c r="BQ21" i="96"/>
  <c r="O21" i="96"/>
  <c r="K21" i="96"/>
  <c r="B21" i="96"/>
  <c r="BU20" i="96"/>
  <c r="BT20" i="96"/>
  <c r="BS20" i="96"/>
  <c r="BR20" i="96"/>
  <c r="BQ20" i="96"/>
  <c r="O20" i="96"/>
  <c r="K20" i="96"/>
  <c r="B20" i="96"/>
  <c r="BU19" i="96"/>
  <c r="BT19" i="96"/>
  <c r="BS19" i="96"/>
  <c r="BR19" i="96"/>
  <c r="BQ19" i="96"/>
  <c r="O19" i="96"/>
  <c r="K19" i="96"/>
  <c r="B19" i="96"/>
  <c r="BU18" i="96"/>
  <c r="BT18" i="96"/>
  <c r="BS18" i="96"/>
  <c r="BR18" i="96"/>
  <c r="BQ18" i="96"/>
  <c r="O18" i="96"/>
  <c r="K18" i="96"/>
  <c r="B18" i="96"/>
  <c r="BU17" i="96"/>
  <c r="BT17" i="96"/>
  <c r="BS17" i="96"/>
  <c r="BR17" i="96"/>
  <c r="BQ17" i="96"/>
  <c r="O17" i="96"/>
  <c r="K17" i="96"/>
  <c r="B17" i="96"/>
  <c r="O16" i="96"/>
  <c r="K16" i="96"/>
  <c r="B16" i="96"/>
  <c r="O15" i="96"/>
  <c r="K15" i="96"/>
  <c r="B15" i="96"/>
  <c r="BU14" i="96"/>
  <c r="BU15" i="96" s="1"/>
  <c r="BT14" i="96"/>
  <c r="BT15" i="96" s="1"/>
  <c r="BS14" i="96"/>
  <c r="BS15" i="96" s="1"/>
  <c r="BR14" i="96"/>
  <c r="BR15" i="96" s="1"/>
  <c r="BQ14" i="96"/>
  <c r="BQ15" i="96" s="1"/>
  <c r="V13" i="96"/>
  <c r="BC13" i="96" s="1"/>
  <c r="U13" i="96"/>
  <c r="BB13" i="96" s="1"/>
  <c r="D13" i="96"/>
  <c r="C13" i="96"/>
  <c r="F11" i="96"/>
  <c r="F10" i="96"/>
  <c r="H9" i="96"/>
  <c r="F9" i="96"/>
  <c r="H8" i="96"/>
  <c r="F8" i="96"/>
  <c r="H7" i="96"/>
  <c r="F7" i="96"/>
  <c r="H6" i="96"/>
  <c r="F6" i="96"/>
  <c r="H5" i="96"/>
  <c r="F5" i="96"/>
  <c r="F4" i="96"/>
  <c r="AK3" i="96"/>
  <c r="T3" i="96"/>
  <c r="S3" i="96"/>
  <c r="AT2" i="96"/>
  <c r="AS2" i="96"/>
  <c r="AR2" i="96"/>
  <c r="AQ2" i="96"/>
  <c r="AP2" i="96"/>
  <c r="AO2" i="96"/>
  <c r="AN2" i="96"/>
  <c r="T2" i="96"/>
  <c r="S2" i="96"/>
  <c r="F1" i="96"/>
  <c r="S45" i="95"/>
  <c r="R45" i="95"/>
  <c r="P45" i="95"/>
  <c r="N45" i="95"/>
  <c r="L45" i="95"/>
  <c r="J45" i="95"/>
  <c r="I45" i="95"/>
  <c r="H45" i="95"/>
  <c r="BU44" i="95"/>
  <c r="BT44" i="95"/>
  <c r="BS44" i="95"/>
  <c r="BR44" i="95"/>
  <c r="BQ44" i="95"/>
  <c r="O44" i="95"/>
  <c r="K44" i="95"/>
  <c r="B44" i="95"/>
  <c r="BU43" i="95"/>
  <c r="BT43" i="95"/>
  <c r="BS43" i="95"/>
  <c r="BR43" i="95"/>
  <c r="BQ43" i="95"/>
  <c r="O43" i="95"/>
  <c r="K43" i="95"/>
  <c r="B43" i="95"/>
  <c r="BU42" i="95"/>
  <c r="BT42" i="95"/>
  <c r="BS42" i="95"/>
  <c r="BR42" i="95"/>
  <c r="BQ42" i="95"/>
  <c r="O42" i="95"/>
  <c r="K42" i="95"/>
  <c r="B42" i="95"/>
  <c r="BU41" i="95"/>
  <c r="BT41" i="95"/>
  <c r="BS41" i="95"/>
  <c r="BR41" i="95"/>
  <c r="BQ41" i="95"/>
  <c r="O41" i="95"/>
  <c r="K41" i="95"/>
  <c r="B41" i="95"/>
  <c r="BU40" i="95"/>
  <c r="BT40" i="95"/>
  <c r="BS40" i="95"/>
  <c r="BR40" i="95"/>
  <c r="BQ40" i="95"/>
  <c r="O40" i="95"/>
  <c r="K40" i="95"/>
  <c r="B40" i="95"/>
  <c r="BU39" i="95"/>
  <c r="BT39" i="95"/>
  <c r="BS39" i="95"/>
  <c r="BR39" i="95"/>
  <c r="BQ39" i="95"/>
  <c r="O39" i="95"/>
  <c r="K39" i="95"/>
  <c r="B39" i="95"/>
  <c r="BU38" i="95"/>
  <c r="BT38" i="95"/>
  <c r="BS38" i="95"/>
  <c r="BR38" i="95"/>
  <c r="BQ38" i="95"/>
  <c r="O38" i="95"/>
  <c r="K38" i="95"/>
  <c r="B38" i="95"/>
  <c r="BU37" i="95"/>
  <c r="BT37" i="95"/>
  <c r="BS37" i="95"/>
  <c r="BR37" i="95"/>
  <c r="BQ37" i="95"/>
  <c r="O37" i="95"/>
  <c r="K37" i="95"/>
  <c r="B37" i="95"/>
  <c r="BU36" i="95"/>
  <c r="BT36" i="95"/>
  <c r="BS36" i="95"/>
  <c r="BR36" i="95"/>
  <c r="BQ36" i="95"/>
  <c r="O36" i="95"/>
  <c r="K36" i="95"/>
  <c r="B36" i="95"/>
  <c r="BU35" i="95"/>
  <c r="BT35" i="95"/>
  <c r="BS35" i="95"/>
  <c r="BR35" i="95"/>
  <c r="BQ35" i="95"/>
  <c r="O35" i="95"/>
  <c r="K35" i="95"/>
  <c r="B35" i="95"/>
  <c r="BU34" i="95"/>
  <c r="BT34" i="95"/>
  <c r="BS34" i="95"/>
  <c r="BR34" i="95"/>
  <c r="BQ34" i="95"/>
  <c r="O34" i="95"/>
  <c r="K34" i="95"/>
  <c r="B34" i="95"/>
  <c r="BU33" i="95"/>
  <c r="BT33" i="95"/>
  <c r="BS33" i="95"/>
  <c r="BR33" i="95"/>
  <c r="BQ33" i="95"/>
  <c r="O33" i="95"/>
  <c r="K33" i="95"/>
  <c r="B33" i="95"/>
  <c r="BU32" i="95"/>
  <c r="BT32" i="95"/>
  <c r="BS32" i="95"/>
  <c r="BR32" i="95"/>
  <c r="BQ32" i="95"/>
  <c r="O32" i="95"/>
  <c r="K32" i="95"/>
  <c r="B32" i="95"/>
  <c r="BU31" i="95"/>
  <c r="BT31" i="95"/>
  <c r="BS31" i="95"/>
  <c r="BR31" i="95"/>
  <c r="BQ31" i="95"/>
  <c r="O31" i="95"/>
  <c r="K31" i="95"/>
  <c r="B31" i="95"/>
  <c r="BU30" i="95"/>
  <c r="BT30" i="95"/>
  <c r="BS30" i="95"/>
  <c r="BR30" i="95"/>
  <c r="BQ30" i="95"/>
  <c r="O30" i="95"/>
  <c r="K30" i="95"/>
  <c r="B30" i="95"/>
  <c r="BU29" i="95"/>
  <c r="BT29" i="95"/>
  <c r="BS29" i="95"/>
  <c r="BR29" i="95"/>
  <c r="BQ29" i="95"/>
  <c r="O29" i="95"/>
  <c r="K29" i="95"/>
  <c r="B29" i="95"/>
  <c r="BU28" i="95"/>
  <c r="BT28" i="95"/>
  <c r="BS28" i="95"/>
  <c r="BR28" i="95"/>
  <c r="BQ28" i="95"/>
  <c r="O28" i="95"/>
  <c r="K28" i="95"/>
  <c r="B28" i="95"/>
  <c r="BU27" i="95"/>
  <c r="BT27" i="95"/>
  <c r="BS27" i="95"/>
  <c r="BR27" i="95"/>
  <c r="BQ27" i="95"/>
  <c r="O27" i="95"/>
  <c r="K27" i="95"/>
  <c r="B27" i="95"/>
  <c r="BU26" i="95"/>
  <c r="BT26" i="95"/>
  <c r="BS26" i="95"/>
  <c r="BR26" i="95"/>
  <c r="BQ26" i="95"/>
  <c r="O26" i="95"/>
  <c r="K26" i="95"/>
  <c r="B26" i="95"/>
  <c r="BU25" i="95"/>
  <c r="BT25" i="95"/>
  <c r="BS25" i="95"/>
  <c r="BR25" i="95"/>
  <c r="BQ25" i="95"/>
  <c r="O25" i="95"/>
  <c r="K25" i="95"/>
  <c r="B25" i="95"/>
  <c r="BU24" i="95"/>
  <c r="BT24" i="95"/>
  <c r="BS24" i="95"/>
  <c r="BR24" i="95"/>
  <c r="BQ24" i="95"/>
  <c r="O24" i="95"/>
  <c r="K24" i="95"/>
  <c r="B24" i="95"/>
  <c r="BU23" i="95"/>
  <c r="BT23" i="95"/>
  <c r="BS23" i="95"/>
  <c r="BR23" i="95"/>
  <c r="BQ23" i="95"/>
  <c r="O23" i="95"/>
  <c r="K23" i="95"/>
  <c r="B23" i="95"/>
  <c r="BU22" i="95"/>
  <c r="BT22" i="95"/>
  <c r="BS22" i="95"/>
  <c r="BR22" i="95"/>
  <c r="BQ22" i="95"/>
  <c r="O22" i="95"/>
  <c r="K22" i="95"/>
  <c r="B22" i="95"/>
  <c r="BU21" i="95"/>
  <c r="BT21" i="95"/>
  <c r="BS21" i="95"/>
  <c r="BR21" i="95"/>
  <c r="BQ21" i="95"/>
  <c r="O21" i="95"/>
  <c r="K21" i="95"/>
  <c r="B21" i="95"/>
  <c r="BU20" i="95"/>
  <c r="BT20" i="95"/>
  <c r="BS20" i="95"/>
  <c r="BR20" i="95"/>
  <c r="BQ20" i="95"/>
  <c r="O20" i="95"/>
  <c r="K20" i="95"/>
  <c r="B20" i="95"/>
  <c r="BU19" i="95"/>
  <c r="BT19" i="95"/>
  <c r="BS19" i="95"/>
  <c r="BR19" i="95"/>
  <c r="BQ19" i="95"/>
  <c r="O19" i="95"/>
  <c r="K19" i="95"/>
  <c r="B19" i="95"/>
  <c r="BU18" i="95"/>
  <c r="BT18" i="95"/>
  <c r="BS18" i="95"/>
  <c r="BR18" i="95"/>
  <c r="BQ18" i="95"/>
  <c r="O18" i="95"/>
  <c r="K18" i="95"/>
  <c r="B18" i="95"/>
  <c r="BU17" i="95"/>
  <c r="BT17" i="95"/>
  <c r="BS17" i="95"/>
  <c r="BR17" i="95"/>
  <c r="BQ17" i="95"/>
  <c r="O17" i="95"/>
  <c r="K17" i="95"/>
  <c r="B17" i="95"/>
  <c r="O16" i="95"/>
  <c r="K16" i="95"/>
  <c r="B16" i="95"/>
  <c r="O15" i="95"/>
  <c r="K15" i="95"/>
  <c r="B15" i="95"/>
  <c r="BU14" i="95"/>
  <c r="BU16" i="95" s="1"/>
  <c r="BT14" i="95"/>
  <c r="BT16" i="95" s="1"/>
  <c r="BS14" i="95"/>
  <c r="BS16" i="95" s="1"/>
  <c r="BR14" i="95"/>
  <c r="BR16" i="95" s="1"/>
  <c r="BQ14" i="95"/>
  <c r="BQ16" i="95" s="1"/>
  <c r="V13" i="95"/>
  <c r="BC13" i="95" s="1"/>
  <c r="U13" i="95"/>
  <c r="BB13" i="95" s="1"/>
  <c r="D13" i="95"/>
  <c r="C13" i="95"/>
  <c r="F11" i="95"/>
  <c r="F10" i="95"/>
  <c r="H9" i="95"/>
  <c r="F9" i="95"/>
  <c r="H8" i="95"/>
  <c r="F8" i="95"/>
  <c r="H7" i="95"/>
  <c r="F7" i="95"/>
  <c r="H6" i="95"/>
  <c r="F6" i="95"/>
  <c r="H5" i="95"/>
  <c r="F5" i="95"/>
  <c r="F4" i="95"/>
  <c r="AK3" i="95"/>
  <c r="T3" i="95"/>
  <c r="S3" i="95"/>
  <c r="AT2" i="95"/>
  <c r="AS2" i="95"/>
  <c r="AR2" i="95"/>
  <c r="AQ2" i="95"/>
  <c r="AP2" i="95"/>
  <c r="AO2" i="95"/>
  <c r="AN2" i="95"/>
  <c r="T2" i="95"/>
  <c r="S2" i="95"/>
  <c r="F1" i="95"/>
  <c r="S45" i="94"/>
  <c r="R45" i="94"/>
  <c r="P45" i="94"/>
  <c r="N45" i="94"/>
  <c r="L45" i="94"/>
  <c r="J45" i="94"/>
  <c r="I45" i="94"/>
  <c r="H45" i="94"/>
  <c r="BU44" i="94"/>
  <c r="BT44" i="94"/>
  <c r="BS44" i="94"/>
  <c r="BR44" i="94"/>
  <c r="BQ44" i="94"/>
  <c r="O44" i="94"/>
  <c r="K44" i="94"/>
  <c r="B44" i="94"/>
  <c r="BU43" i="94"/>
  <c r="BT43" i="94"/>
  <c r="BS43" i="94"/>
  <c r="BR43" i="94"/>
  <c r="BQ43" i="94"/>
  <c r="O43" i="94"/>
  <c r="K43" i="94"/>
  <c r="B43" i="94"/>
  <c r="BU42" i="94"/>
  <c r="BT42" i="94"/>
  <c r="BS42" i="94"/>
  <c r="BR42" i="94"/>
  <c r="BQ42" i="94"/>
  <c r="O42" i="94"/>
  <c r="K42" i="94"/>
  <c r="B42" i="94"/>
  <c r="BU41" i="94"/>
  <c r="BT41" i="94"/>
  <c r="BS41" i="94"/>
  <c r="BR41" i="94"/>
  <c r="BQ41" i="94"/>
  <c r="O41" i="94"/>
  <c r="K41" i="94"/>
  <c r="B41" i="94"/>
  <c r="BU40" i="94"/>
  <c r="BT40" i="94"/>
  <c r="BS40" i="94"/>
  <c r="BR40" i="94"/>
  <c r="BQ40" i="94"/>
  <c r="O40" i="94"/>
  <c r="K40" i="94"/>
  <c r="B40" i="94"/>
  <c r="BU39" i="94"/>
  <c r="BT39" i="94"/>
  <c r="BS39" i="94"/>
  <c r="BR39" i="94"/>
  <c r="BQ39" i="94"/>
  <c r="O39" i="94"/>
  <c r="K39" i="94"/>
  <c r="B39" i="94"/>
  <c r="BU38" i="94"/>
  <c r="BT38" i="94"/>
  <c r="BS38" i="94"/>
  <c r="BR38" i="94"/>
  <c r="BQ38" i="94"/>
  <c r="O38" i="94"/>
  <c r="K38" i="94"/>
  <c r="B38" i="94"/>
  <c r="BU37" i="94"/>
  <c r="BT37" i="94"/>
  <c r="BS37" i="94"/>
  <c r="BR37" i="94"/>
  <c r="BQ37" i="94"/>
  <c r="O37" i="94"/>
  <c r="K37" i="94"/>
  <c r="B37" i="94"/>
  <c r="BU36" i="94"/>
  <c r="BT36" i="94"/>
  <c r="BS36" i="94"/>
  <c r="BR36" i="94"/>
  <c r="BQ36" i="94"/>
  <c r="O36" i="94"/>
  <c r="K36" i="94"/>
  <c r="B36" i="94"/>
  <c r="BU35" i="94"/>
  <c r="BT35" i="94"/>
  <c r="BS35" i="94"/>
  <c r="BR35" i="94"/>
  <c r="BQ35" i="94"/>
  <c r="O35" i="94"/>
  <c r="K35" i="94"/>
  <c r="B35" i="94"/>
  <c r="BU34" i="94"/>
  <c r="BT34" i="94"/>
  <c r="BS34" i="94"/>
  <c r="BR34" i="94"/>
  <c r="BQ34" i="94"/>
  <c r="O34" i="94"/>
  <c r="K34" i="94"/>
  <c r="B34" i="94"/>
  <c r="BU33" i="94"/>
  <c r="BT33" i="94"/>
  <c r="BS33" i="94"/>
  <c r="BR33" i="94"/>
  <c r="BQ33" i="94"/>
  <c r="O33" i="94"/>
  <c r="K33" i="94"/>
  <c r="B33" i="94"/>
  <c r="BU32" i="94"/>
  <c r="BT32" i="94"/>
  <c r="BS32" i="94"/>
  <c r="BR32" i="94"/>
  <c r="BQ32" i="94"/>
  <c r="O32" i="94"/>
  <c r="K32" i="94"/>
  <c r="B32" i="94"/>
  <c r="BU31" i="94"/>
  <c r="BT31" i="94"/>
  <c r="BS31" i="94"/>
  <c r="BR31" i="94"/>
  <c r="BQ31" i="94"/>
  <c r="O31" i="94"/>
  <c r="K31" i="94"/>
  <c r="B31" i="94"/>
  <c r="BU30" i="94"/>
  <c r="BT30" i="94"/>
  <c r="BS30" i="94"/>
  <c r="BR30" i="94"/>
  <c r="BQ30" i="94"/>
  <c r="O30" i="94"/>
  <c r="K30" i="94"/>
  <c r="B30" i="94"/>
  <c r="BU29" i="94"/>
  <c r="BT29" i="94"/>
  <c r="BS29" i="94"/>
  <c r="BR29" i="94"/>
  <c r="BQ29" i="94"/>
  <c r="O29" i="94"/>
  <c r="K29" i="94"/>
  <c r="B29" i="94"/>
  <c r="BU28" i="94"/>
  <c r="BT28" i="94"/>
  <c r="BS28" i="94"/>
  <c r="BR28" i="94"/>
  <c r="BQ28" i="94"/>
  <c r="O28" i="94"/>
  <c r="K28" i="94"/>
  <c r="B28" i="94"/>
  <c r="BU27" i="94"/>
  <c r="BT27" i="94"/>
  <c r="BS27" i="94"/>
  <c r="BR27" i="94"/>
  <c r="BQ27" i="94"/>
  <c r="O27" i="94"/>
  <c r="K27" i="94"/>
  <c r="B27" i="94"/>
  <c r="BU26" i="94"/>
  <c r="BT26" i="94"/>
  <c r="BS26" i="94"/>
  <c r="BR26" i="94"/>
  <c r="BQ26" i="94"/>
  <c r="O26" i="94"/>
  <c r="K26" i="94"/>
  <c r="B26" i="94"/>
  <c r="BU25" i="94"/>
  <c r="BT25" i="94"/>
  <c r="BS25" i="94"/>
  <c r="BR25" i="94"/>
  <c r="BQ25" i="94"/>
  <c r="O25" i="94"/>
  <c r="K25" i="94"/>
  <c r="B25" i="94"/>
  <c r="BU24" i="94"/>
  <c r="BT24" i="94"/>
  <c r="BS24" i="94"/>
  <c r="BR24" i="94"/>
  <c r="BQ24" i="94"/>
  <c r="O24" i="94"/>
  <c r="K24" i="94"/>
  <c r="B24" i="94"/>
  <c r="BU23" i="94"/>
  <c r="BT23" i="94"/>
  <c r="BS23" i="94"/>
  <c r="BR23" i="94"/>
  <c r="BQ23" i="94"/>
  <c r="O23" i="94"/>
  <c r="K23" i="94"/>
  <c r="B23" i="94"/>
  <c r="BU22" i="94"/>
  <c r="BT22" i="94"/>
  <c r="BS22" i="94"/>
  <c r="BR22" i="94"/>
  <c r="BQ22" i="94"/>
  <c r="O22" i="94"/>
  <c r="K22" i="94"/>
  <c r="B22" i="94"/>
  <c r="BU21" i="94"/>
  <c r="BT21" i="94"/>
  <c r="BS21" i="94"/>
  <c r="BR21" i="94"/>
  <c r="BQ21" i="94"/>
  <c r="O21" i="94"/>
  <c r="K21" i="94"/>
  <c r="B21" i="94"/>
  <c r="BU20" i="94"/>
  <c r="BT20" i="94"/>
  <c r="BS20" i="94"/>
  <c r="BR20" i="94"/>
  <c r="BQ20" i="94"/>
  <c r="O20" i="94"/>
  <c r="K20" i="94"/>
  <c r="B20" i="94"/>
  <c r="BU19" i="94"/>
  <c r="BT19" i="94"/>
  <c r="BS19" i="94"/>
  <c r="BR19" i="94"/>
  <c r="BQ19" i="94"/>
  <c r="O19" i="94"/>
  <c r="K19" i="94"/>
  <c r="B19" i="94"/>
  <c r="BU18" i="94"/>
  <c r="BT18" i="94"/>
  <c r="BS18" i="94"/>
  <c r="BR18" i="94"/>
  <c r="BQ18" i="94"/>
  <c r="O18" i="94"/>
  <c r="K18" i="94"/>
  <c r="B18" i="94"/>
  <c r="BU17" i="94"/>
  <c r="BT17" i="94"/>
  <c r="BS17" i="94"/>
  <c r="BR17" i="94"/>
  <c r="BQ17" i="94"/>
  <c r="O17" i="94"/>
  <c r="K17" i="94"/>
  <c r="B17" i="94"/>
  <c r="O16" i="94"/>
  <c r="K16" i="94"/>
  <c r="B16" i="94"/>
  <c r="O15" i="94"/>
  <c r="K15" i="94"/>
  <c r="B15" i="94"/>
  <c r="BU14" i="94"/>
  <c r="BU16" i="94" s="1"/>
  <c r="BT14" i="94"/>
  <c r="BT16" i="94" s="1"/>
  <c r="BS14" i="94"/>
  <c r="BS16" i="94" s="1"/>
  <c r="BR14" i="94"/>
  <c r="BR16" i="94" s="1"/>
  <c r="BQ14" i="94"/>
  <c r="BQ16" i="94" s="1"/>
  <c r="V13" i="94"/>
  <c r="BC13" i="94" s="1"/>
  <c r="U13" i="94"/>
  <c r="BB13" i="94" s="1"/>
  <c r="D13" i="94"/>
  <c r="C13" i="94"/>
  <c r="F11" i="94"/>
  <c r="F10" i="94"/>
  <c r="H9" i="94"/>
  <c r="F9" i="94"/>
  <c r="H8" i="94"/>
  <c r="F8" i="94"/>
  <c r="H7" i="94"/>
  <c r="F7" i="94"/>
  <c r="H6" i="94"/>
  <c r="F6" i="94"/>
  <c r="H5" i="94"/>
  <c r="F5" i="94"/>
  <c r="F4" i="94"/>
  <c r="AK3" i="94"/>
  <c r="T3" i="94"/>
  <c r="S3" i="94"/>
  <c r="AT2" i="94"/>
  <c r="AS2" i="94"/>
  <c r="AR2" i="94"/>
  <c r="AQ2" i="94"/>
  <c r="AP2" i="94"/>
  <c r="AO2" i="94"/>
  <c r="AN2" i="94"/>
  <c r="T2" i="94"/>
  <c r="S2" i="94"/>
  <c r="F1" i="94"/>
  <c r="S45" i="93"/>
  <c r="R45" i="93"/>
  <c r="P45" i="93"/>
  <c r="N45" i="93"/>
  <c r="L45" i="93"/>
  <c r="J45" i="93"/>
  <c r="I45" i="93"/>
  <c r="H45" i="93"/>
  <c r="BU44" i="93"/>
  <c r="BT44" i="93"/>
  <c r="BS44" i="93"/>
  <c r="BR44" i="93"/>
  <c r="BQ44" i="93"/>
  <c r="O44" i="93"/>
  <c r="K44" i="93"/>
  <c r="B44" i="93"/>
  <c r="BU43" i="93"/>
  <c r="BT43" i="93"/>
  <c r="BS43" i="93"/>
  <c r="BR43" i="93"/>
  <c r="BQ43" i="93"/>
  <c r="O43" i="93"/>
  <c r="K43" i="93"/>
  <c r="B43" i="93"/>
  <c r="BU42" i="93"/>
  <c r="BT42" i="93"/>
  <c r="BS42" i="93"/>
  <c r="BR42" i="93"/>
  <c r="BQ42" i="93"/>
  <c r="O42" i="93"/>
  <c r="K42" i="93"/>
  <c r="B42" i="93"/>
  <c r="BU41" i="93"/>
  <c r="BT41" i="93"/>
  <c r="BS41" i="93"/>
  <c r="BR41" i="93"/>
  <c r="BQ41" i="93"/>
  <c r="O41" i="93"/>
  <c r="K41" i="93"/>
  <c r="B41" i="93"/>
  <c r="BU40" i="93"/>
  <c r="BT40" i="93"/>
  <c r="BS40" i="93"/>
  <c r="BR40" i="93"/>
  <c r="BQ40" i="93"/>
  <c r="O40" i="93"/>
  <c r="K40" i="93"/>
  <c r="B40" i="93"/>
  <c r="BU39" i="93"/>
  <c r="BT39" i="93"/>
  <c r="BS39" i="93"/>
  <c r="BR39" i="93"/>
  <c r="BQ39" i="93"/>
  <c r="O39" i="93"/>
  <c r="K39" i="93"/>
  <c r="B39" i="93"/>
  <c r="BU38" i="93"/>
  <c r="BT38" i="93"/>
  <c r="BS38" i="93"/>
  <c r="BR38" i="93"/>
  <c r="BQ38" i="93"/>
  <c r="O38" i="93"/>
  <c r="K38" i="93"/>
  <c r="B38" i="93"/>
  <c r="BU37" i="93"/>
  <c r="BT37" i="93"/>
  <c r="BS37" i="93"/>
  <c r="BR37" i="93"/>
  <c r="BQ37" i="93"/>
  <c r="O37" i="93"/>
  <c r="K37" i="93"/>
  <c r="B37" i="93"/>
  <c r="BU36" i="93"/>
  <c r="BT36" i="93"/>
  <c r="BS36" i="93"/>
  <c r="BR36" i="93"/>
  <c r="BQ36" i="93"/>
  <c r="O36" i="93"/>
  <c r="K36" i="93"/>
  <c r="B36" i="93"/>
  <c r="BU35" i="93"/>
  <c r="BT35" i="93"/>
  <c r="BS35" i="93"/>
  <c r="BR35" i="93"/>
  <c r="BQ35" i="93"/>
  <c r="O35" i="93"/>
  <c r="K35" i="93"/>
  <c r="B35" i="93"/>
  <c r="BU34" i="93"/>
  <c r="BT34" i="93"/>
  <c r="BS34" i="93"/>
  <c r="BR34" i="93"/>
  <c r="BQ34" i="93"/>
  <c r="O34" i="93"/>
  <c r="K34" i="93"/>
  <c r="B34" i="93"/>
  <c r="BU33" i="93"/>
  <c r="BT33" i="93"/>
  <c r="BS33" i="93"/>
  <c r="BR33" i="93"/>
  <c r="BQ33" i="93"/>
  <c r="O33" i="93"/>
  <c r="K33" i="93"/>
  <c r="B33" i="93"/>
  <c r="BU32" i="93"/>
  <c r="BT32" i="93"/>
  <c r="BS32" i="93"/>
  <c r="BR32" i="93"/>
  <c r="BQ32" i="93"/>
  <c r="O32" i="93"/>
  <c r="K32" i="93"/>
  <c r="B32" i="93"/>
  <c r="BU31" i="93"/>
  <c r="BT31" i="93"/>
  <c r="BS31" i="93"/>
  <c r="BR31" i="93"/>
  <c r="BQ31" i="93"/>
  <c r="O31" i="93"/>
  <c r="K31" i="93"/>
  <c r="B31" i="93"/>
  <c r="BU30" i="93"/>
  <c r="BT30" i="93"/>
  <c r="BS30" i="93"/>
  <c r="BR30" i="93"/>
  <c r="BQ30" i="93"/>
  <c r="O30" i="93"/>
  <c r="K30" i="93"/>
  <c r="B30" i="93"/>
  <c r="BU29" i="93"/>
  <c r="BT29" i="93"/>
  <c r="BS29" i="93"/>
  <c r="BR29" i="93"/>
  <c r="BQ29" i="93"/>
  <c r="O29" i="93"/>
  <c r="K29" i="93"/>
  <c r="B29" i="93"/>
  <c r="BU28" i="93"/>
  <c r="BT28" i="93"/>
  <c r="BS28" i="93"/>
  <c r="BR28" i="93"/>
  <c r="BQ28" i="93"/>
  <c r="O28" i="93"/>
  <c r="K28" i="93"/>
  <c r="B28" i="93"/>
  <c r="BU27" i="93"/>
  <c r="BT27" i="93"/>
  <c r="BS27" i="93"/>
  <c r="BR27" i="93"/>
  <c r="BQ27" i="93"/>
  <c r="O27" i="93"/>
  <c r="K27" i="93"/>
  <c r="B27" i="93"/>
  <c r="BU26" i="93"/>
  <c r="BT26" i="93"/>
  <c r="BS26" i="93"/>
  <c r="BR26" i="93"/>
  <c r="BQ26" i="93"/>
  <c r="O26" i="93"/>
  <c r="K26" i="93"/>
  <c r="B26" i="93"/>
  <c r="BU25" i="93"/>
  <c r="BT25" i="93"/>
  <c r="BS25" i="93"/>
  <c r="BR25" i="93"/>
  <c r="BQ25" i="93"/>
  <c r="O25" i="93"/>
  <c r="K25" i="93"/>
  <c r="B25" i="93"/>
  <c r="BU24" i="93"/>
  <c r="BT24" i="93"/>
  <c r="BS24" i="93"/>
  <c r="BR24" i="93"/>
  <c r="BQ24" i="93"/>
  <c r="O24" i="93"/>
  <c r="K24" i="93"/>
  <c r="B24" i="93"/>
  <c r="BU23" i="93"/>
  <c r="BT23" i="93"/>
  <c r="BS23" i="93"/>
  <c r="BR23" i="93"/>
  <c r="BQ23" i="93"/>
  <c r="O23" i="93"/>
  <c r="K23" i="93"/>
  <c r="B23" i="93"/>
  <c r="BU22" i="93"/>
  <c r="BT22" i="93"/>
  <c r="BS22" i="93"/>
  <c r="BR22" i="93"/>
  <c r="BQ22" i="93"/>
  <c r="O22" i="93"/>
  <c r="K22" i="93"/>
  <c r="B22" i="93"/>
  <c r="BU21" i="93"/>
  <c r="BT21" i="93"/>
  <c r="BS21" i="93"/>
  <c r="BR21" i="93"/>
  <c r="BQ21" i="93"/>
  <c r="O21" i="93"/>
  <c r="K21" i="93"/>
  <c r="B21" i="93"/>
  <c r="BU20" i="93"/>
  <c r="BT20" i="93"/>
  <c r="BS20" i="93"/>
  <c r="BR20" i="93"/>
  <c r="BQ20" i="93"/>
  <c r="O20" i="93"/>
  <c r="K20" i="93"/>
  <c r="B20" i="93"/>
  <c r="BU19" i="93"/>
  <c r="BT19" i="93"/>
  <c r="BS19" i="93"/>
  <c r="BR19" i="93"/>
  <c r="BQ19" i="93"/>
  <c r="O19" i="93"/>
  <c r="K19" i="93"/>
  <c r="B19" i="93"/>
  <c r="BU18" i="93"/>
  <c r="BT18" i="93"/>
  <c r="BS18" i="93"/>
  <c r="BR18" i="93"/>
  <c r="BQ18" i="93"/>
  <c r="O18" i="93"/>
  <c r="K18" i="93"/>
  <c r="B18" i="93"/>
  <c r="BU17" i="93"/>
  <c r="BT17" i="93"/>
  <c r="BS17" i="93"/>
  <c r="BR17" i="93"/>
  <c r="BQ17" i="93"/>
  <c r="O17" i="93"/>
  <c r="K17" i="93"/>
  <c r="B17" i="93"/>
  <c r="BU16" i="93"/>
  <c r="BT16" i="93"/>
  <c r="BS16" i="93"/>
  <c r="BR16" i="93"/>
  <c r="BQ16" i="93"/>
  <c r="O16" i="93"/>
  <c r="K16" i="93"/>
  <c r="B16" i="93"/>
  <c r="BU15" i="93"/>
  <c r="BT15" i="93"/>
  <c r="BS15" i="93"/>
  <c r="BR15" i="93"/>
  <c r="BQ15" i="93"/>
  <c r="O15" i="93"/>
  <c r="K15" i="93"/>
  <c r="B15" i="93"/>
  <c r="BU14" i="93"/>
  <c r="BT14" i="93"/>
  <c r="BS14" i="93"/>
  <c r="BR14" i="93"/>
  <c r="BQ14" i="93"/>
  <c r="V13" i="93"/>
  <c r="BC13" i="93" s="1"/>
  <c r="U13" i="93"/>
  <c r="BB13" i="93" s="1"/>
  <c r="D13" i="93"/>
  <c r="C13" i="93"/>
  <c r="F11" i="93"/>
  <c r="F10" i="93"/>
  <c r="H9" i="93"/>
  <c r="F9" i="93"/>
  <c r="H8" i="93"/>
  <c r="F8" i="93"/>
  <c r="H7" i="93"/>
  <c r="F7" i="93"/>
  <c r="H6" i="93"/>
  <c r="F6" i="93"/>
  <c r="H5" i="93"/>
  <c r="F5" i="93"/>
  <c r="F4" i="93"/>
  <c r="AK3" i="93"/>
  <c r="T3" i="93"/>
  <c r="S3" i="93"/>
  <c r="AT2" i="93"/>
  <c r="AS2" i="93"/>
  <c r="AR2" i="93"/>
  <c r="AQ2" i="93"/>
  <c r="AP2" i="93"/>
  <c r="AO2" i="93"/>
  <c r="AN2" i="93"/>
  <c r="T2" i="93"/>
  <c r="S2" i="93"/>
  <c r="F1" i="93"/>
  <c r="S45" i="92"/>
  <c r="R45" i="92"/>
  <c r="P45" i="92"/>
  <c r="N45" i="92"/>
  <c r="L45" i="92"/>
  <c r="J45" i="92"/>
  <c r="I45" i="92"/>
  <c r="H45" i="92"/>
  <c r="BU44" i="92"/>
  <c r="BT44" i="92"/>
  <c r="BS44" i="92"/>
  <c r="BR44" i="92"/>
  <c r="BQ44" i="92"/>
  <c r="O44" i="92"/>
  <c r="K44" i="92"/>
  <c r="B44" i="92"/>
  <c r="BU43" i="92"/>
  <c r="BT43" i="92"/>
  <c r="BS43" i="92"/>
  <c r="BR43" i="92"/>
  <c r="BQ43" i="92"/>
  <c r="O43" i="92"/>
  <c r="K43" i="92"/>
  <c r="B43" i="92"/>
  <c r="BU42" i="92"/>
  <c r="BT42" i="92"/>
  <c r="BS42" i="92"/>
  <c r="BR42" i="92"/>
  <c r="BQ42" i="92"/>
  <c r="O42" i="92"/>
  <c r="K42" i="92"/>
  <c r="B42" i="92"/>
  <c r="BU41" i="92"/>
  <c r="BT41" i="92"/>
  <c r="BS41" i="92"/>
  <c r="BR41" i="92"/>
  <c r="BQ41" i="92"/>
  <c r="O41" i="92"/>
  <c r="K41" i="92"/>
  <c r="B41" i="92"/>
  <c r="BU40" i="92"/>
  <c r="BT40" i="92"/>
  <c r="BS40" i="92"/>
  <c r="BR40" i="92"/>
  <c r="BQ40" i="92"/>
  <c r="O40" i="92"/>
  <c r="K40" i="92"/>
  <c r="B40" i="92"/>
  <c r="BU39" i="92"/>
  <c r="BT39" i="92"/>
  <c r="BS39" i="92"/>
  <c r="BR39" i="92"/>
  <c r="BQ39" i="92"/>
  <c r="O39" i="92"/>
  <c r="K39" i="92"/>
  <c r="B39" i="92"/>
  <c r="BU38" i="92"/>
  <c r="BT38" i="92"/>
  <c r="BS38" i="92"/>
  <c r="BR38" i="92"/>
  <c r="BQ38" i="92"/>
  <c r="O38" i="92"/>
  <c r="K38" i="92"/>
  <c r="B38" i="92"/>
  <c r="BU37" i="92"/>
  <c r="BT37" i="92"/>
  <c r="BS37" i="92"/>
  <c r="BR37" i="92"/>
  <c r="BQ37" i="92"/>
  <c r="O37" i="92"/>
  <c r="K37" i="92"/>
  <c r="B37" i="92"/>
  <c r="BU36" i="92"/>
  <c r="BT36" i="92"/>
  <c r="BS36" i="92"/>
  <c r="BR36" i="92"/>
  <c r="BQ36" i="92"/>
  <c r="O36" i="92"/>
  <c r="K36" i="92"/>
  <c r="B36" i="92"/>
  <c r="BU35" i="92"/>
  <c r="BT35" i="92"/>
  <c r="BS35" i="92"/>
  <c r="BR35" i="92"/>
  <c r="BQ35" i="92"/>
  <c r="O35" i="92"/>
  <c r="K35" i="92"/>
  <c r="B35" i="92"/>
  <c r="BU34" i="92"/>
  <c r="BT34" i="92"/>
  <c r="BS34" i="92"/>
  <c r="BR34" i="92"/>
  <c r="BQ34" i="92"/>
  <c r="O34" i="92"/>
  <c r="K34" i="92"/>
  <c r="B34" i="92"/>
  <c r="BU33" i="92"/>
  <c r="BT33" i="92"/>
  <c r="BS33" i="92"/>
  <c r="BR33" i="92"/>
  <c r="BQ33" i="92"/>
  <c r="O33" i="92"/>
  <c r="K33" i="92"/>
  <c r="B33" i="92"/>
  <c r="BU32" i="92"/>
  <c r="BT32" i="92"/>
  <c r="BS32" i="92"/>
  <c r="BR32" i="92"/>
  <c r="BQ32" i="92"/>
  <c r="O32" i="92"/>
  <c r="K32" i="92"/>
  <c r="B32" i="92"/>
  <c r="BU31" i="92"/>
  <c r="BT31" i="92"/>
  <c r="BS31" i="92"/>
  <c r="BR31" i="92"/>
  <c r="BQ31" i="92"/>
  <c r="O31" i="92"/>
  <c r="K31" i="92"/>
  <c r="B31" i="92"/>
  <c r="BU30" i="92"/>
  <c r="BT30" i="92"/>
  <c r="BS30" i="92"/>
  <c r="BR30" i="92"/>
  <c r="BQ30" i="92"/>
  <c r="O30" i="92"/>
  <c r="K30" i="92"/>
  <c r="B30" i="92"/>
  <c r="BU29" i="92"/>
  <c r="BT29" i="92"/>
  <c r="BS29" i="92"/>
  <c r="BR29" i="92"/>
  <c r="BQ29" i="92"/>
  <c r="O29" i="92"/>
  <c r="K29" i="92"/>
  <c r="B29" i="92"/>
  <c r="BU28" i="92"/>
  <c r="BT28" i="92"/>
  <c r="BS28" i="92"/>
  <c r="BR28" i="92"/>
  <c r="BQ28" i="92"/>
  <c r="O28" i="92"/>
  <c r="K28" i="92"/>
  <c r="B28" i="92"/>
  <c r="BU27" i="92"/>
  <c r="BT27" i="92"/>
  <c r="BS27" i="92"/>
  <c r="BR27" i="92"/>
  <c r="BQ27" i="92"/>
  <c r="O27" i="92"/>
  <c r="K27" i="92"/>
  <c r="B27" i="92"/>
  <c r="BU26" i="92"/>
  <c r="BT26" i="92"/>
  <c r="BS26" i="92"/>
  <c r="BR26" i="92"/>
  <c r="BQ26" i="92"/>
  <c r="O26" i="92"/>
  <c r="K26" i="92"/>
  <c r="B26" i="92"/>
  <c r="BU25" i="92"/>
  <c r="BT25" i="92"/>
  <c r="BS25" i="92"/>
  <c r="BR25" i="92"/>
  <c r="BQ25" i="92"/>
  <c r="O25" i="92"/>
  <c r="K25" i="92"/>
  <c r="B25" i="92"/>
  <c r="BU24" i="92"/>
  <c r="BT24" i="92"/>
  <c r="BS24" i="92"/>
  <c r="BR24" i="92"/>
  <c r="BQ24" i="92"/>
  <c r="O24" i="92"/>
  <c r="K24" i="92"/>
  <c r="B24" i="92"/>
  <c r="BU23" i="92"/>
  <c r="BT23" i="92"/>
  <c r="BS23" i="92"/>
  <c r="BR23" i="92"/>
  <c r="BQ23" i="92"/>
  <c r="O23" i="92"/>
  <c r="K23" i="92"/>
  <c r="B23" i="92"/>
  <c r="BU22" i="92"/>
  <c r="BT22" i="92"/>
  <c r="BS22" i="92"/>
  <c r="BR22" i="92"/>
  <c r="BQ22" i="92"/>
  <c r="O22" i="92"/>
  <c r="K22" i="92"/>
  <c r="B22" i="92"/>
  <c r="BU21" i="92"/>
  <c r="BT21" i="92"/>
  <c r="BS21" i="92"/>
  <c r="BR21" i="92"/>
  <c r="BQ21" i="92"/>
  <c r="O21" i="92"/>
  <c r="K21" i="92"/>
  <c r="B21" i="92"/>
  <c r="BU20" i="92"/>
  <c r="BT20" i="92"/>
  <c r="BS20" i="92"/>
  <c r="BR20" i="92"/>
  <c r="BQ20" i="92"/>
  <c r="O20" i="92"/>
  <c r="K20" i="92"/>
  <c r="B20" i="92"/>
  <c r="BU19" i="92"/>
  <c r="BT19" i="92"/>
  <c r="BS19" i="92"/>
  <c r="BR19" i="92"/>
  <c r="BQ19" i="92"/>
  <c r="O19" i="92"/>
  <c r="K19" i="92"/>
  <c r="B19" i="92"/>
  <c r="BU18" i="92"/>
  <c r="BT18" i="92"/>
  <c r="BS18" i="92"/>
  <c r="BR18" i="92"/>
  <c r="BQ18" i="92"/>
  <c r="O18" i="92"/>
  <c r="K18" i="92"/>
  <c r="B18" i="92"/>
  <c r="BU17" i="92"/>
  <c r="BT17" i="92"/>
  <c r="BS17" i="92"/>
  <c r="BR17" i="92"/>
  <c r="BQ17" i="92"/>
  <c r="O17" i="92"/>
  <c r="K17" i="92"/>
  <c r="B17" i="92"/>
  <c r="O16" i="92"/>
  <c r="K16" i="92"/>
  <c r="B16" i="92"/>
  <c r="O15" i="92"/>
  <c r="K15" i="92"/>
  <c r="B15" i="92"/>
  <c r="BU14" i="92"/>
  <c r="BU16" i="92" s="1"/>
  <c r="BT14" i="92"/>
  <c r="BT16" i="92" s="1"/>
  <c r="BS14" i="92"/>
  <c r="BS16" i="92" s="1"/>
  <c r="BR14" i="92"/>
  <c r="BR16" i="92" s="1"/>
  <c r="BQ14" i="92"/>
  <c r="BQ16" i="92" s="1"/>
  <c r="V13" i="92"/>
  <c r="BC13" i="92" s="1"/>
  <c r="U13" i="92"/>
  <c r="BB13" i="92" s="1"/>
  <c r="D13" i="92"/>
  <c r="C13" i="92"/>
  <c r="F11" i="92"/>
  <c r="F10" i="92"/>
  <c r="H9" i="92"/>
  <c r="F9" i="92"/>
  <c r="H8" i="92"/>
  <c r="F8" i="92"/>
  <c r="H7" i="92"/>
  <c r="F7" i="92"/>
  <c r="H6" i="92"/>
  <c r="F6" i="92"/>
  <c r="H5" i="92"/>
  <c r="F5" i="92"/>
  <c r="F4" i="92"/>
  <c r="AK3" i="92"/>
  <c r="T3" i="92"/>
  <c r="S3" i="92"/>
  <c r="AT2" i="92"/>
  <c r="AS2" i="92"/>
  <c r="AR2" i="92"/>
  <c r="AQ2" i="92"/>
  <c r="AP2" i="92"/>
  <c r="AO2" i="92"/>
  <c r="AN2" i="92"/>
  <c r="T2" i="92"/>
  <c r="S2" i="92"/>
  <c r="F1" i="92"/>
  <c r="S45" i="91"/>
  <c r="R45" i="91"/>
  <c r="P45" i="91"/>
  <c r="N45" i="91"/>
  <c r="L45" i="91"/>
  <c r="J45" i="91"/>
  <c r="I45" i="91"/>
  <c r="H45" i="91"/>
  <c r="BU44" i="91"/>
  <c r="BT44" i="91"/>
  <c r="BS44" i="91"/>
  <c r="BR44" i="91"/>
  <c r="BQ44" i="91"/>
  <c r="O44" i="91"/>
  <c r="K44" i="91"/>
  <c r="B44" i="91"/>
  <c r="BU43" i="91"/>
  <c r="BT43" i="91"/>
  <c r="BS43" i="91"/>
  <c r="BR43" i="91"/>
  <c r="BQ43" i="91"/>
  <c r="O43" i="91"/>
  <c r="K43" i="91"/>
  <c r="B43" i="91"/>
  <c r="BU42" i="91"/>
  <c r="BT42" i="91"/>
  <c r="BS42" i="91"/>
  <c r="BR42" i="91"/>
  <c r="BQ42" i="91"/>
  <c r="O42" i="91"/>
  <c r="K42" i="91"/>
  <c r="B42" i="91"/>
  <c r="BU41" i="91"/>
  <c r="BT41" i="91"/>
  <c r="BS41" i="91"/>
  <c r="BR41" i="91"/>
  <c r="BQ41" i="91"/>
  <c r="O41" i="91"/>
  <c r="K41" i="91"/>
  <c r="B41" i="91"/>
  <c r="BU40" i="91"/>
  <c r="BT40" i="91"/>
  <c r="BS40" i="91"/>
  <c r="BR40" i="91"/>
  <c r="BQ40" i="91"/>
  <c r="O40" i="91"/>
  <c r="K40" i="91"/>
  <c r="B40" i="91"/>
  <c r="BU39" i="91"/>
  <c r="BT39" i="91"/>
  <c r="BS39" i="91"/>
  <c r="BR39" i="91"/>
  <c r="BQ39" i="91"/>
  <c r="O39" i="91"/>
  <c r="K39" i="91"/>
  <c r="B39" i="91"/>
  <c r="BU38" i="91"/>
  <c r="BT38" i="91"/>
  <c r="BS38" i="91"/>
  <c r="BR38" i="91"/>
  <c r="BQ38" i="91"/>
  <c r="O38" i="91"/>
  <c r="K38" i="91"/>
  <c r="B38" i="91"/>
  <c r="BU37" i="91"/>
  <c r="BT37" i="91"/>
  <c r="BS37" i="91"/>
  <c r="BR37" i="91"/>
  <c r="BQ37" i="91"/>
  <c r="O37" i="91"/>
  <c r="K37" i="91"/>
  <c r="B37" i="91"/>
  <c r="BU36" i="91"/>
  <c r="BT36" i="91"/>
  <c r="BS36" i="91"/>
  <c r="BR36" i="91"/>
  <c r="BQ36" i="91"/>
  <c r="O36" i="91"/>
  <c r="K36" i="91"/>
  <c r="B36" i="91"/>
  <c r="BU35" i="91"/>
  <c r="BT35" i="91"/>
  <c r="BS35" i="91"/>
  <c r="BR35" i="91"/>
  <c r="BQ35" i="91"/>
  <c r="O35" i="91"/>
  <c r="K35" i="91"/>
  <c r="B35" i="91"/>
  <c r="BU34" i="91"/>
  <c r="BT34" i="91"/>
  <c r="BS34" i="91"/>
  <c r="BR34" i="91"/>
  <c r="BQ34" i="91"/>
  <c r="O34" i="91"/>
  <c r="K34" i="91"/>
  <c r="B34" i="91"/>
  <c r="BU33" i="91"/>
  <c r="BT33" i="91"/>
  <c r="BS33" i="91"/>
  <c r="BR33" i="91"/>
  <c r="BQ33" i="91"/>
  <c r="O33" i="91"/>
  <c r="K33" i="91"/>
  <c r="B33" i="91"/>
  <c r="BU32" i="91"/>
  <c r="BT32" i="91"/>
  <c r="BS32" i="91"/>
  <c r="BR32" i="91"/>
  <c r="BQ32" i="91"/>
  <c r="O32" i="91"/>
  <c r="K32" i="91"/>
  <c r="B32" i="91"/>
  <c r="BU31" i="91"/>
  <c r="BT31" i="91"/>
  <c r="BS31" i="91"/>
  <c r="BR31" i="91"/>
  <c r="BQ31" i="91"/>
  <c r="O31" i="91"/>
  <c r="K31" i="91"/>
  <c r="B31" i="91"/>
  <c r="BU30" i="91"/>
  <c r="BT30" i="91"/>
  <c r="BS30" i="91"/>
  <c r="BR30" i="91"/>
  <c r="BQ30" i="91"/>
  <c r="O30" i="91"/>
  <c r="K30" i="91"/>
  <c r="B30" i="91"/>
  <c r="BU29" i="91"/>
  <c r="BT29" i="91"/>
  <c r="BS29" i="91"/>
  <c r="BR29" i="91"/>
  <c r="BQ29" i="91"/>
  <c r="O29" i="91"/>
  <c r="K29" i="91"/>
  <c r="B29" i="91"/>
  <c r="BU28" i="91"/>
  <c r="BT28" i="91"/>
  <c r="BS28" i="91"/>
  <c r="BR28" i="91"/>
  <c r="BQ28" i="91"/>
  <c r="O28" i="91"/>
  <c r="K28" i="91"/>
  <c r="B28" i="91"/>
  <c r="BU27" i="91"/>
  <c r="BT27" i="91"/>
  <c r="BS27" i="91"/>
  <c r="BR27" i="91"/>
  <c r="BQ27" i="91"/>
  <c r="O27" i="91"/>
  <c r="K27" i="91"/>
  <c r="B27" i="91"/>
  <c r="BU26" i="91"/>
  <c r="BT26" i="91"/>
  <c r="BS26" i="91"/>
  <c r="BR26" i="91"/>
  <c r="BQ26" i="91"/>
  <c r="O26" i="91"/>
  <c r="K26" i="91"/>
  <c r="B26" i="91"/>
  <c r="BU25" i="91"/>
  <c r="BT25" i="91"/>
  <c r="BS25" i="91"/>
  <c r="BR25" i="91"/>
  <c r="BQ25" i="91"/>
  <c r="O25" i="91"/>
  <c r="K25" i="91"/>
  <c r="B25" i="91"/>
  <c r="BU24" i="91"/>
  <c r="BT24" i="91"/>
  <c r="BS24" i="91"/>
  <c r="BR24" i="91"/>
  <c r="BQ24" i="91"/>
  <c r="O24" i="91"/>
  <c r="K24" i="91"/>
  <c r="B24" i="91"/>
  <c r="BU23" i="91"/>
  <c r="BT23" i="91"/>
  <c r="BS23" i="91"/>
  <c r="BR23" i="91"/>
  <c r="BQ23" i="91"/>
  <c r="O23" i="91"/>
  <c r="K23" i="91"/>
  <c r="B23" i="91"/>
  <c r="BU22" i="91"/>
  <c r="BT22" i="91"/>
  <c r="BS22" i="91"/>
  <c r="BR22" i="91"/>
  <c r="BQ22" i="91"/>
  <c r="O22" i="91"/>
  <c r="K22" i="91"/>
  <c r="B22" i="91"/>
  <c r="BU21" i="91"/>
  <c r="BT21" i="91"/>
  <c r="BS21" i="91"/>
  <c r="BR21" i="91"/>
  <c r="BQ21" i="91"/>
  <c r="O21" i="91"/>
  <c r="K21" i="91"/>
  <c r="B21" i="91"/>
  <c r="BU20" i="91"/>
  <c r="BT20" i="91"/>
  <c r="BS20" i="91"/>
  <c r="BR20" i="91"/>
  <c r="BQ20" i="91"/>
  <c r="O20" i="91"/>
  <c r="K20" i="91"/>
  <c r="B20" i="91"/>
  <c r="BU19" i="91"/>
  <c r="BT19" i="91"/>
  <c r="BS19" i="91"/>
  <c r="BR19" i="91"/>
  <c r="BQ19" i="91"/>
  <c r="O19" i="91"/>
  <c r="K19" i="91"/>
  <c r="B19" i="91"/>
  <c r="BU18" i="91"/>
  <c r="BT18" i="91"/>
  <c r="BS18" i="91"/>
  <c r="BR18" i="91"/>
  <c r="BQ18" i="91"/>
  <c r="O18" i="91"/>
  <c r="K18" i="91"/>
  <c r="B18" i="91"/>
  <c r="BU17" i="91"/>
  <c r="BT17" i="91"/>
  <c r="BS17" i="91"/>
  <c r="BR17" i="91"/>
  <c r="BQ17" i="91"/>
  <c r="O17" i="91"/>
  <c r="K17" i="91"/>
  <c r="B17" i="91"/>
  <c r="O16" i="91"/>
  <c r="K16" i="91"/>
  <c r="B16" i="91"/>
  <c r="O15" i="91"/>
  <c r="K15" i="91"/>
  <c r="B15" i="91"/>
  <c r="BU14" i="91"/>
  <c r="BU16" i="91" s="1"/>
  <c r="BT14" i="91"/>
  <c r="BT16" i="91" s="1"/>
  <c r="BS14" i="91"/>
  <c r="BS16" i="91" s="1"/>
  <c r="BR14" i="91"/>
  <c r="BR16" i="91" s="1"/>
  <c r="BQ14" i="91"/>
  <c r="BQ16" i="91" s="1"/>
  <c r="V13" i="91"/>
  <c r="BC13" i="91" s="1"/>
  <c r="U13" i="91"/>
  <c r="BB13" i="91" s="1"/>
  <c r="D13" i="91"/>
  <c r="C13" i="91"/>
  <c r="F11" i="91"/>
  <c r="F10" i="91"/>
  <c r="H9" i="91"/>
  <c r="F9" i="91"/>
  <c r="H8" i="91"/>
  <c r="F8" i="91"/>
  <c r="H7" i="91"/>
  <c r="F7" i="91"/>
  <c r="H6" i="91"/>
  <c r="F6" i="91"/>
  <c r="H5" i="91"/>
  <c r="F5" i="91"/>
  <c r="F4" i="91"/>
  <c r="AK3" i="91"/>
  <c r="T3" i="91"/>
  <c r="S3" i="91"/>
  <c r="AT2" i="91"/>
  <c r="AS2" i="91"/>
  <c r="AR2" i="91"/>
  <c r="AQ2" i="91"/>
  <c r="AP2" i="91"/>
  <c r="AO2" i="91"/>
  <c r="AN2" i="91"/>
  <c r="T2" i="91"/>
  <c r="S2" i="91"/>
  <c r="F1" i="91"/>
  <c r="S45" i="90"/>
  <c r="R45" i="90"/>
  <c r="P45" i="90"/>
  <c r="N45" i="90"/>
  <c r="L45" i="90"/>
  <c r="J45" i="90"/>
  <c r="I45" i="90"/>
  <c r="H45" i="90"/>
  <c r="BU44" i="90"/>
  <c r="BT44" i="90"/>
  <c r="BS44" i="90"/>
  <c r="BR44" i="90"/>
  <c r="BQ44" i="90"/>
  <c r="O44" i="90"/>
  <c r="K44" i="90"/>
  <c r="B44" i="90"/>
  <c r="BU43" i="90"/>
  <c r="BT43" i="90"/>
  <c r="BS43" i="90"/>
  <c r="BR43" i="90"/>
  <c r="BQ43" i="90"/>
  <c r="O43" i="90"/>
  <c r="K43" i="90"/>
  <c r="B43" i="90"/>
  <c r="BU42" i="90"/>
  <c r="BT42" i="90"/>
  <c r="BS42" i="90"/>
  <c r="BR42" i="90"/>
  <c r="BQ42" i="90"/>
  <c r="O42" i="90"/>
  <c r="K42" i="90"/>
  <c r="B42" i="90"/>
  <c r="BU41" i="90"/>
  <c r="BT41" i="90"/>
  <c r="BS41" i="90"/>
  <c r="BR41" i="90"/>
  <c r="BQ41" i="90"/>
  <c r="O41" i="90"/>
  <c r="K41" i="90"/>
  <c r="B41" i="90"/>
  <c r="BU40" i="90"/>
  <c r="BT40" i="90"/>
  <c r="BS40" i="90"/>
  <c r="BR40" i="90"/>
  <c r="BQ40" i="90"/>
  <c r="O40" i="90"/>
  <c r="K40" i="90"/>
  <c r="B40" i="90"/>
  <c r="BU39" i="90"/>
  <c r="BT39" i="90"/>
  <c r="BS39" i="90"/>
  <c r="BR39" i="90"/>
  <c r="BQ39" i="90"/>
  <c r="O39" i="90"/>
  <c r="K39" i="90"/>
  <c r="B39" i="90"/>
  <c r="BU38" i="90"/>
  <c r="BT38" i="90"/>
  <c r="BS38" i="90"/>
  <c r="BR38" i="90"/>
  <c r="BQ38" i="90"/>
  <c r="O38" i="90"/>
  <c r="K38" i="90"/>
  <c r="B38" i="90"/>
  <c r="BU37" i="90"/>
  <c r="BT37" i="90"/>
  <c r="BS37" i="90"/>
  <c r="BR37" i="90"/>
  <c r="BQ37" i="90"/>
  <c r="O37" i="90"/>
  <c r="K37" i="90"/>
  <c r="B37" i="90"/>
  <c r="BU36" i="90"/>
  <c r="BT36" i="90"/>
  <c r="BS36" i="90"/>
  <c r="BR36" i="90"/>
  <c r="BQ36" i="90"/>
  <c r="O36" i="90"/>
  <c r="K36" i="90"/>
  <c r="B36" i="90"/>
  <c r="BU35" i="90"/>
  <c r="BT35" i="90"/>
  <c r="BS35" i="90"/>
  <c r="BR35" i="90"/>
  <c r="BQ35" i="90"/>
  <c r="O35" i="90"/>
  <c r="K35" i="90"/>
  <c r="B35" i="90"/>
  <c r="BU34" i="90"/>
  <c r="BT34" i="90"/>
  <c r="BS34" i="90"/>
  <c r="BR34" i="90"/>
  <c r="BQ34" i="90"/>
  <c r="O34" i="90"/>
  <c r="K34" i="90"/>
  <c r="B34" i="90"/>
  <c r="BU33" i="90"/>
  <c r="BT33" i="90"/>
  <c r="BS33" i="90"/>
  <c r="BR33" i="90"/>
  <c r="BQ33" i="90"/>
  <c r="O33" i="90"/>
  <c r="K33" i="90"/>
  <c r="B33" i="90"/>
  <c r="BU32" i="90"/>
  <c r="BT32" i="90"/>
  <c r="BS32" i="90"/>
  <c r="BR32" i="90"/>
  <c r="BQ32" i="90"/>
  <c r="O32" i="90"/>
  <c r="K32" i="90"/>
  <c r="B32" i="90"/>
  <c r="BU31" i="90"/>
  <c r="BT31" i="90"/>
  <c r="BS31" i="90"/>
  <c r="BR31" i="90"/>
  <c r="BQ31" i="90"/>
  <c r="O31" i="90"/>
  <c r="K31" i="90"/>
  <c r="B31" i="90"/>
  <c r="BU30" i="90"/>
  <c r="BT30" i="90"/>
  <c r="BS30" i="90"/>
  <c r="BR30" i="90"/>
  <c r="BQ30" i="90"/>
  <c r="O30" i="90"/>
  <c r="K30" i="90"/>
  <c r="B30" i="90"/>
  <c r="BU29" i="90"/>
  <c r="BT29" i="90"/>
  <c r="BS29" i="90"/>
  <c r="BR29" i="90"/>
  <c r="BQ29" i="90"/>
  <c r="O29" i="90"/>
  <c r="K29" i="90"/>
  <c r="B29" i="90"/>
  <c r="BU28" i="90"/>
  <c r="BT28" i="90"/>
  <c r="BS28" i="90"/>
  <c r="BR28" i="90"/>
  <c r="BQ28" i="90"/>
  <c r="O28" i="90"/>
  <c r="K28" i="90"/>
  <c r="B28" i="90"/>
  <c r="BU27" i="90"/>
  <c r="BT27" i="90"/>
  <c r="BS27" i="90"/>
  <c r="BR27" i="90"/>
  <c r="BQ27" i="90"/>
  <c r="O27" i="90"/>
  <c r="K27" i="90"/>
  <c r="B27" i="90"/>
  <c r="BU26" i="90"/>
  <c r="BT26" i="90"/>
  <c r="BS26" i="90"/>
  <c r="BR26" i="90"/>
  <c r="BQ26" i="90"/>
  <c r="O26" i="90"/>
  <c r="K26" i="90"/>
  <c r="B26" i="90"/>
  <c r="BU25" i="90"/>
  <c r="BT25" i="90"/>
  <c r="BS25" i="90"/>
  <c r="BR25" i="90"/>
  <c r="BQ25" i="90"/>
  <c r="O25" i="90"/>
  <c r="K25" i="90"/>
  <c r="B25" i="90"/>
  <c r="BU24" i="90"/>
  <c r="BT24" i="90"/>
  <c r="BS24" i="90"/>
  <c r="BR24" i="90"/>
  <c r="BQ24" i="90"/>
  <c r="O24" i="90"/>
  <c r="K24" i="90"/>
  <c r="B24" i="90"/>
  <c r="BU23" i="90"/>
  <c r="BT23" i="90"/>
  <c r="BS23" i="90"/>
  <c r="BR23" i="90"/>
  <c r="BQ23" i="90"/>
  <c r="O23" i="90"/>
  <c r="K23" i="90"/>
  <c r="B23" i="90"/>
  <c r="BU22" i="90"/>
  <c r="BT22" i="90"/>
  <c r="BS22" i="90"/>
  <c r="BR22" i="90"/>
  <c r="BQ22" i="90"/>
  <c r="O22" i="90"/>
  <c r="K22" i="90"/>
  <c r="B22" i="90"/>
  <c r="BU21" i="90"/>
  <c r="BT21" i="90"/>
  <c r="BS21" i="90"/>
  <c r="BR21" i="90"/>
  <c r="BQ21" i="90"/>
  <c r="O21" i="90"/>
  <c r="K21" i="90"/>
  <c r="B21" i="90"/>
  <c r="BU20" i="90"/>
  <c r="BT20" i="90"/>
  <c r="BS20" i="90"/>
  <c r="BR20" i="90"/>
  <c r="BQ20" i="90"/>
  <c r="O20" i="90"/>
  <c r="K20" i="90"/>
  <c r="B20" i="90"/>
  <c r="BU19" i="90"/>
  <c r="BT19" i="90"/>
  <c r="BS19" i="90"/>
  <c r="BR19" i="90"/>
  <c r="BQ19" i="90"/>
  <c r="O19" i="90"/>
  <c r="K19" i="90"/>
  <c r="B19" i="90"/>
  <c r="BU18" i="90"/>
  <c r="BT18" i="90"/>
  <c r="BS18" i="90"/>
  <c r="BR18" i="90"/>
  <c r="BQ18" i="90"/>
  <c r="O18" i="90"/>
  <c r="K18" i="90"/>
  <c r="B18" i="90"/>
  <c r="O17" i="90"/>
  <c r="K17" i="90"/>
  <c r="B17" i="90"/>
  <c r="O16" i="90"/>
  <c r="K16" i="90"/>
  <c r="B16" i="90"/>
  <c r="O15" i="90"/>
  <c r="K15" i="90"/>
  <c r="B15" i="90"/>
  <c r="BU14" i="90"/>
  <c r="BU17" i="90" s="1"/>
  <c r="BT14" i="90"/>
  <c r="BT17" i="90" s="1"/>
  <c r="BS14" i="90"/>
  <c r="BS17" i="90" s="1"/>
  <c r="BR14" i="90"/>
  <c r="BR17" i="90" s="1"/>
  <c r="BQ14" i="90"/>
  <c r="V13" i="90"/>
  <c r="BC13" i="90" s="1"/>
  <c r="U13" i="90"/>
  <c r="BB13" i="90" s="1"/>
  <c r="D13" i="90"/>
  <c r="C13" i="90"/>
  <c r="F11" i="90"/>
  <c r="F10" i="90"/>
  <c r="H9" i="90"/>
  <c r="F9" i="90"/>
  <c r="H8" i="90"/>
  <c r="F8" i="90"/>
  <c r="H7" i="90"/>
  <c r="F7" i="90"/>
  <c r="H6" i="90"/>
  <c r="F6" i="90"/>
  <c r="H5" i="90"/>
  <c r="F5" i="90"/>
  <c r="F4" i="90"/>
  <c r="AK3" i="90"/>
  <c r="T3" i="90"/>
  <c r="S3" i="90"/>
  <c r="AT2" i="90"/>
  <c r="AS2" i="90"/>
  <c r="AR2" i="90"/>
  <c r="AQ2" i="90"/>
  <c r="AP2" i="90"/>
  <c r="AO2" i="90"/>
  <c r="AN2" i="90"/>
  <c r="T2" i="90"/>
  <c r="S2" i="90"/>
  <c r="F1" i="90"/>
  <c r="S45" i="89"/>
  <c r="R45" i="89"/>
  <c r="P45" i="89"/>
  <c r="N45" i="89"/>
  <c r="L45" i="89"/>
  <c r="J45" i="89"/>
  <c r="I45" i="89"/>
  <c r="H45" i="89"/>
  <c r="BU44" i="89"/>
  <c r="BT44" i="89"/>
  <c r="BS44" i="89"/>
  <c r="BR44" i="89"/>
  <c r="BQ44" i="89"/>
  <c r="O44" i="89"/>
  <c r="K44" i="89"/>
  <c r="B44" i="89"/>
  <c r="BU43" i="89"/>
  <c r="BT43" i="89"/>
  <c r="BS43" i="89"/>
  <c r="BR43" i="89"/>
  <c r="BQ43" i="89"/>
  <c r="O43" i="89"/>
  <c r="K43" i="89"/>
  <c r="B43" i="89"/>
  <c r="BU42" i="89"/>
  <c r="BT42" i="89"/>
  <c r="BS42" i="89"/>
  <c r="BR42" i="89"/>
  <c r="BQ42" i="89"/>
  <c r="O42" i="89"/>
  <c r="K42" i="89"/>
  <c r="B42" i="89"/>
  <c r="BU41" i="89"/>
  <c r="BT41" i="89"/>
  <c r="BS41" i="89"/>
  <c r="BR41" i="89"/>
  <c r="BQ41" i="89"/>
  <c r="O41" i="89"/>
  <c r="K41" i="89"/>
  <c r="B41" i="89"/>
  <c r="BU40" i="89"/>
  <c r="BT40" i="89"/>
  <c r="BS40" i="89"/>
  <c r="BR40" i="89"/>
  <c r="BQ40" i="89"/>
  <c r="O40" i="89"/>
  <c r="K40" i="89"/>
  <c r="B40" i="89"/>
  <c r="BU39" i="89"/>
  <c r="BT39" i="89"/>
  <c r="BS39" i="89"/>
  <c r="BR39" i="89"/>
  <c r="BQ39" i="89"/>
  <c r="O39" i="89"/>
  <c r="K39" i="89"/>
  <c r="B39" i="89"/>
  <c r="BU38" i="89"/>
  <c r="BT38" i="89"/>
  <c r="BS38" i="89"/>
  <c r="BR38" i="89"/>
  <c r="BQ38" i="89"/>
  <c r="O38" i="89"/>
  <c r="K38" i="89"/>
  <c r="B38" i="89"/>
  <c r="BU37" i="89"/>
  <c r="BT37" i="89"/>
  <c r="BS37" i="89"/>
  <c r="BR37" i="89"/>
  <c r="BQ37" i="89"/>
  <c r="O37" i="89"/>
  <c r="K37" i="89"/>
  <c r="B37" i="89"/>
  <c r="BU36" i="89"/>
  <c r="BT36" i="89"/>
  <c r="BS36" i="89"/>
  <c r="BR36" i="89"/>
  <c r="BQ36" i="89"/>
  <c r="O36" i="89"/>
  <c r="K36" i="89"/>
  <c r="B36" i="89"/>
  <c r="BU35" i="89"/>
  <c r="BT35" i="89"/>
  <c r="BS35" i="89"/>
  <c r="BR35" i="89"/>
  <c r="BQ35" i="89"/>
  <c r="O35" i="89"/>
  <c r="K35" i="89"/>
  <c r="B35" i="89"/>
  <c r="BU34" i="89"/>
  <c r="BT34" i="89"/>
  <c r="BS34" i="89"/>
  <c r="BR34" i="89"/>
  <c r="BQ34" i="89"/>
  <c r="O34" i="89"/>
  <c r="K34" i="89"/>
  <c r="B34" i="89"/>
  <c r="BU33" i="89"/>
  <c r="BT33" i="89"/>
  <c r="BS33" i="89"/>
  <c r="BR33" i="89"/>
  <c r="BQ33" i="89"/>
  <c r="O33" i="89"/>
  <c r="K33" i="89"/>
  <c r="B33" i="89"/>
  <c r="BU32" i="89"/>
  <c r="BT32" i="89"/>
  <c r="BS32" i="89"/>
  <c r="BR32" i="89"/>
  <c r="BQ32" i="89"/>
  <c r="O32" i="89"/>
  <c r="K32" i="89"/>
  <c r="B32" i="89"/>
  <c r="BU31" i="89"/>
  <c r="BT31" i="89"/>
  <c r="BS31" i="89"/>
  <c r="BR31" i="89"/>
  <c r="BQ31" i="89"/>
  <c r="O31" i="89"/>
  <c r="K31" i="89"/>
  <c r="B31" i="89"/>
  <c r="BU30" i="89"/>
  <c r="BT30" i="89"/>
  <c r="BS30" i="89"/>
  <c r="BR30" i="89"/>
  <c r="BQ30" i="89"/>
  <c r="O30" i="89"/>
  <c r="K30" i="89"/>
  <c r="B30" i="89"/>
  <c r="BU29" i="89"/>
  <c r="BT29" i="89"/>
  <c r="BS29" i="89"/>
  <c r="BR29" i="89"/>
  <c r="BQ29" i="89"/>
  <c r="O29" i="89"/>
  <c r="K29" i="89"/>
  <c r="B29" i="89"/>
  <c r="BU28" i="89"/>
  <c r="BT28" i="89"/>
  <c r="BS28" i="89"/>
  <c r="BR28" i="89"/>
  <c r="BQ28" i="89"/>
  <c r="O28" i="89"/>
  <c r="K28" i="89"/>
  <c r="B28" i="89"/>
  <c r="BU27" i="89"/>
  <c r="BT27" i="89"/>
  <c r="BS27" i="89"/>
  <c r="BR27" i="89"/>
  <c r="BQ27" i="89"/>
  <c r="O27" i="89"/>
  <c r="K27" i="89"/>
  <c r="B27" i="89"/>
  <c r="BU26" i="89"/>
  <c r="BT26" i="89"/>
  <c r="BS26" i="89"/>
  <c r="BR26" i="89"/>
  <c r="BQ26" i="89"/>
  <c r="O26" i="89"/>
  <c r="K26" i="89"/>
  <c r="B26" i="89"/>
  <c r="BU25" i="89"/>
  <c r="BT25" i="89"/>
  <c r="BS25" i="89"/>
  <c r="BR25" i="89"/>
  <c r="BQ25" i="89"/>
  <c r="O25" i="89"/>
  <c r="K25" i="89"/>
  <c r="B25" i="89"/>
  <c r="BU24" i="89"/>
  <c r="BT24" i="89"/>
  <c r="BS24" i="89"/>
  <c r="BR24" i="89"/>
  <c r="BQ24" i="89"/>
  <c r="O24" i="89"/>
  <c r="K24" i="89"/>
  <c r="B24" i="89"/>
  <c r="BU23" i="89"/>
  <c r="BT23" i="89"/>
  <c r="BS23" i="89"/>
  <c r="BR23" i="89"/>
  <c r="BQ23" i="89"/>
  <c r="O23" i="89"/>
  <c r="K23" i="89"/>
  <c r="B23" i="89"/>
  <c r="BU22" i="89"/>
  <c r="BT22" i="89"/>
  <c r="BS22" i="89"/>
  <c r="BR22" i="89"/>
  <c r="BQ22" i="89"/>
  <c r="O22" i="89"/>
  <c r="K22" i="89"/>
  <c r="B22" i="89"/>
  <c r="BU21" i="89"/>
  <c r="BT21" i="89"/>
  <c r="BS21" i="89"/>
  <c r="BR21" i="89"/>
  <c r="BQ21" i="89"/>
  <c r="O21" i="89"/>
  <c r="K21" i="89"/>
  <c r="B21" i="89"/>
  <c r="O20" i="89"/>
  <c r="K20" i="89"/>
  <c r="B20" i="89"/>
  <c r="O19" i="89"/>
  <c r="K19" i="89"/>
  <c r="B19" i="89"/>
  <c r="O18" i="89"/>
  <c r="K18" i="89"/>
  <c r="B18" i="89"/>
  <c r="O17" i="89"/>
  <c r="K17" i="89"/>
  <c r="B17" i="89"/>
  <c r="O16" i="89"/>
  <c r="K16" i="89"/>
  <c r="B16" i="89"/>
  <c r="O15" i="89"/>
  <c r="K15" i="89"/>
  <c r="B15" i="89"/>
  <c r="BU14" i="89"/>
  <c r="BU19" i="89" s="1"/>
  <c r="BT14" i="89"/>
  <c r="BT19" i="89" s="1"/>
  <c r="BS14" i="89"/>
  <c r="BS19" i="89" s="1"/>
  <c r="BR14" i="89"/>
  <c r="BR20" i="89" s="1"/>
  <c r="BQ14" i="89"/>
  <c r="BQ19" i="89" s="1"/>
  <c r="V13" i="89"/>
  <c r="BC13" i="89" s="1"/>
  <c r="U13" i="89"/>
  <c r="BB13" i="89" s="1"/>
  <c r="D13" i="89"/>
  <c r="C13" i="89"/>
  <c r="F11" i="89"/>
  <c r="F10" i="89"/>
  <c r="H9" i="89"/>
  <c r="F9" i="89"/>
  <c r="H8" i="89"/>
  <c r="F8" i="89"/>
  <c r="H7" i="89"/>
  <c r="F7" i="89"/>
  <c r="H6" i="89"/>
  <c r="F6" i="89"/>
  <c r="H5" i="89"/>
  <c r="F5" i="89"/>
  <c r="F4" i="89"/>
  <c r="AK3" i="89"/>
  <c r="T3" i="89"/>
  <c r="S3" i="89"/>
  <c r="AT2" i="89"/>
  <c r="AS2" i="89"/>
  <c r="AR2" i="89"/>
  <c r="AQ2" i="89"/>
  <c r="AP2" i="89"/>
  <c r="AO2" i="89"/>
  <c r="AN2" i="89"/>
  <c r="T2" i="89"/>
  <c r="S2" i="89"/>
  <c r="F1" i="89"/>
  <c r="S45" i="88"/>
  <c r="R45" i="88"/>
  <c r="P45" i="88"/>
  <c r="N45" i="88"/>
  <c r="L45" i="88"/>
  <c r="J45" i="88"/>
  <c r="I45" i="88"/>
  <c r="H45" i="88"/>
  <c r="BU44" i="88"/>
  <c r="BT44" i="88"/>
  <c r="BS44" i="88"/>
  <c r="BR44" i="88"/>
  <c r="BQ44" i="88"/>
  <c r="O44" i="88"/>
  <c r="K44" i="88"/>
  <c r="B44" i="88"/>
  <c r="BU43" i="88"/>
  <c r="BT43" i="88"/>
  <c r="BS43" i="88"/>
  <c r="BR43" i="88"/>
  <c r="BQ43" i="88"/>
  <c r="O43" i="88"/>
  <c r="K43" i="88"/>
  <c r="B43" i="88"/>
  <c r="BU42" i="88"/>
  <c r="BT42" i="88"/>
  <c r="BS42" i="88"/>
  <c r="BR42" i="88"/>
  <c r="BQ42" i="88"/>
  <c r="O42" i="88"/>
  <c r="K42" i="88"/>
  <c r="B42" i="88"/>
  <c r="BU41" i="88"/>
  <c r="BT41" i="88"/>
  <c r="BS41" i="88"/>
  <c r="BR41" i="88"/>
  <c r="BQ41" i="88"/>
  <c r="O41" i="88"/>
  <c r="K41" i="88"/>
  <c r="B41" i="88"/>
  <c r="BU40" i="88"/>
  <c r="BT40" i="88"/>
  <c r="BS40" i="88"/>
  <c r="BR40" i="88"/>
  <c r="BQ40" i="88"/>
  <c r="O40" i="88"/>
  <c r="K40" i="88"/>
  <c r="B40" i="88"/>
  <c r="BU39" i="88"/>
  <c r="BT39" i="88"/>
  <c r="BS39" i="88"/>
  <c r="BR39" i="88"/>
  <c r="BQ39" i="88"/>
  <c r="O39" i="88"/>
  <c r="K39" i="88"/>
  <c r="B39" i="88"/>
  <c r="BU38" i="88"/>
  <c r="BT38" i="88"/>
  <c r="BS38" i="88"/>
  <c r="BR38" i="88"/>
  <c r="BQ38" i="88"/>
  <c r="O38" i="88"/>
  <c r="K38" i="88"/>
  <c r="B38" i="88"/>
  <c r="BU37" i="88"/>
  <c r="BT37" i="88"/>
  <c r="BS37" i="88"/>
  <c r="BR37" i="88"/>
  <c r="BQ37" i="88"/>
  <c r="O37" i="88"/>
  <c r="K37" i="88"/>
  <c r="B37" i="88"/>
  <c r="BU36" i="88"/>
  <c r="BT36" i="88"/>
  <c r="BS36" i="88"/>
  <c r="BR36" i="88"/>
  <c r="BQ36" i="88"/>
  <c r="O36" i="88"/>
  <c r="K36" i="88"/>
  <c r="B36" i="88"/>
  <c r="BU35" i="88"/>
  <c r="BT35" i="88"/>
  <c r="BS35" i="88"/>
  <c r="BR35" i="88"/>
  <c r="BQ35" i="88"/>
  <c r="O35" i="88"/>
  <c r="K35" i="88"/>
  <c r="B35" i="88"/>
  <c r="BU34" i="88"/>
  <c r="BT34" i="88"/>
  <c r="BS34" i="88"/>
  <c r="BR34" i="88"/>
  <c r="BQ34" i="88"/>
  <c r="O34" i="88"/>
  <c r="K34" i="88"/>
  <c r="B34" i="88"/>
  <c r="BU33" i="88"/>
  <c r="BT33" i="88"/>
  <c r="BS33" i="88"/>
  <c r="BR33" i="88"/>
  <c r="BQ33" i="88"/>
  <c r="O33" i="88"/>
  <c r="K33" i="88"/>
  <c r="B33" i="88"/>
  <c r="BU32" i="88"/>
  <c r="BT32" i="88"/>
  <c r="BS32" i="88"/>
  <c r="BR32" i="88"/>
  <c r="BQ32" i="88"/>
  <c r="O32" i="88"/>
  <c r="K32" i="88"/>
  <c r="B32" i="88"/>
  <c r="BU31" i="88"/>
  <c r="BT31" i="88"/>
  <c r="BS31" i="88"/>
  <c r="BR31" i="88"/>
  <c r="BQ31" i="88"/>
  <c r="O31" i="88"/>
  <c r="K31" i="88"/>
  <c r="B31" i="88"/>
  <c r="BU30" i="88"/>
  <c r="BT30" i="88"/>
  <c r="BS30" i="88"/>
  <c r="BR30" i="88"/>
  <c r="BQ30" i="88"/>
  <c r="O30" i="88"/>
  <c r="K30" i="88"/>
  <c r="B30" i="88"/>
  <c r="BU29" i="88"/>
  <c r="BT29" i="88"/>
  <c r="BS29" i="88"/>
  <c r="BR29" i="88"/>
  <c r="BQ29" i="88"/>
  <c r="O29" i="88"/>
  <c r="K29" i="88"/>
  <c r="B29" i="88"/>
  <c r="BU28" i="88"/>
  <c r="BT28" i="88"/>
  <c r="BS28" i="88"/>
  <c r="BR28" i="88"/>
  <c r="BQ28" i="88"/>
  <c r="O28" i="88"/>
  <c r="K28" i="88"/>
  <c r="B28" i="88"/>
  <c r="BU27" i="88"/>
  <c r="BT27" i="88"/>
  <c r="BS27" i="88"/>
  <c r="BR27" i="88"/>
  <c r="BQ27" i="88"/>
  <c r="O27" i="88"/>
  <c r="K27" i="88"/>
  <c r="B27" i="88"/>
  <c r="BU26" i="88"/>
  <c r="BT26" i="88"/>
  <c r="BS26" i="88"/>
  <c r="BR26" i="88"/>
  <c r="BQ26" i="88"/>
  <c r="O26" i="88"/>
  <c r="K26" i="88"/>
  <c r="B26" i="88"/>
  <c r="BU25" i="88"/>
  <c r="BT25" i="88"/>
  <c r="BS25" i="88"/>
  <c r="BR25" i="88"/>
  <c r="BQ25" i="88"/>
  <c r="O25" i="88"/>
  <c r="K25" i="88"/>
  <c r="B25" i="88"/>
  <c r="BU24" i="88"/>
  <c r="BT24" i="88"/>
  <c r="BS24" i="88"/>
  <c r="BR24" i="88"/>
  <c r="BQ24" i="88"/>
  <c r="O24" i="88"/>
  <c r="K24" i="88"/>
  <c r="B24" i="88"/>
  <c r="BU23" i="88"/>
  <c r="BT23" i="88"/>
  <c r="BS23" i="88"/>
  <c r="BR23" i="88"/>
  <c r="BQ23" i="88"/>
  <c r="O23" i="88"/>
  <c r="K23" i="88"/>
  <c r="B23" i="88"/>
  <c r="BU22" i="88"/>
  <c r="BT22" i="88"/>
  <c r="BS22" i="88"/>
  <c r="BR22" i="88"/>
  <c r="BQ22" i="88"/>
  <c r="O22" i="88"/>
  <c r="K22" i="88"/>
  <c r="B22" i="88"/>
  <c r="BU21" i="88"/>
  <c r="BT21" i="88"/>
  <c r="BS21" i="88"/>
  <c r="BR21" i="88"/>
  <c r="BQ21" i="88"/>
  <c r="O21" i="88"/>
  <c r="K21" i="88"/>
  <c r="B21" i="88"/>
  <c r="BU20" i="88"/>
  <c r="BT20" i="88"/>
  <c r="BS20" i="88"/>
  <c r="BR20" i="88"/>
  <c r="BQ20" i="88"/>
  <c r="O20" i="88"/>
  <c r="K20" i="88"/>
  <c r="B20" i="88"/>
  <c r="BU19" i="88"/>
  <c r="BT19" i="88"/>
  <c r="BS19" i="88"/>
  <c r="BR19" i="88"/>
  <c r="BQ19" i="88"/>
  <c r="O19" i="88"/>
  <c r="K19" i="88"/>
  <c r="B19" i="88"/>
  <c r="BU18" i="88"/>
  <c r="BT18" i="88"/>
  <c r="BS18" i="88"/>
  <c r="BR18" i="88"/>
  <c r="BQ18" i="88"/>
  <c r="O18" i="88"/>
  <c r="K18" i="88"/>
  <c r="B18" i="88"/>
  <c r="BU17" i="88"/>
  <c r="BT17" i="88"/>
  <c r="BS17" i="88"/>
  <c r="BR17" i="88"/>
  <c r="BQ17" i="88"/>
  <c r="O17" i="88"/>
  <c r="K17" i="88"/>
  <c r="B17" i="88"/>
  <c r="O16" i="88"/>
  <c r="K16" i="88"/>
  <c r="B16" i="88"/>
  <c r="O15" i="88"/>
  <c r="K15" i="88"/>
  <c r="B15" i="88"/>
  <c r="BU14" i="88"/>
  <c r="BU16" i="88" s="1"/>
  <c r="BT14" i="88"/>
  <c r="BT16" i="88" s="1"/>
  <c r="BS14" i="88"/>
  <c r="BS16" i="88" s="1"/>
  <c r="BR14" i="88"/>
  <c r="BR16" i="88" s="1"/>
  <c r="BQ14" i="88"/>
  <c r="BQ16" i="88" s="1"/>
  <c r="V13" i="88"/>
  <c r="BC13" i="88" s="1"/>
  <c r="U13" i="88"/>
  <c r="BB13" i="88" s="1"/>
  <c r="D13" i="88"/>
  <c r="C13" i="88"/>
  <c r="F11" i="88"/>
  <c r="F10" i="88"/>
  <c r="H9" i="88"/>
  <c r="F9" i="88"/>
  <c r="H8" i="88"/>
  <c r="F8" i="88"/>
  <c r="H7" i="88"/>
  <c r="F7" i="88"/>
  <c r="H6" i="88"/>
  <c r="F6" i="88"/>
  <c r="H5" i="88"/>
  <c r="F5" i="88"/>
  <c r="F4" i="88"/>
  <c r="AK3" i="88"/>
  <c r="T3" i="88"/>
  <c r="S3" i="88"/>
  <c r="AT2" i="88"/>
  <c r="AS2" i="88"/>
  <c r="AR2" i="88"/>
  <c r="AQ2" i="88"/>
  <c r="AP2" i="88"/>
  <c r="AO2" i="88"/>
  <c r="AN2" i="88"/>
  <c r="T2" i="88"/>
  <c r="S2" i="88"/>
  <c r="F1" i="88"/>
  <c r="S45" i="87"/>
  <c r="R45" i="87"/>
  <c r="P45" i="87"/>
  <c r="N45" i="87"/>
  <c r="L45" i="87"/>
  <c r="J45" i="87"/>
  <c r="I45" i="87"/>
  <c r="H45" i="87"/>
  <c r="BU44" i="87"/>
  <c r="BT44" i="87"/>
  <c r="BS44" i="87"/>
  <c r="BR44" i="87"/>
  <c r="BQ44" i="87"/>
  <c r="O44" i="87"/>
  <c r="K44" i="87"/>
  <c r="B44" i="87"/>
  <c r="BU43" i="87"/>
  <c r="BT43" i="87"/>
  <c r="BS43" i="87"/>
  <c r="BR43" i="87"/>
  <c r="BQ43" i="87"/>
  <c r="O43" i="87"/>
  <c r="K43" i="87"/>
  <c r="B43" i="87"/>
  <c r="BU42" i="87"/>
  <c r="BT42" i="87"/>
  <c r="BS42" i="87"/>
  <c r="BR42" i="87"/>
  <c r="BQ42" i="87"/>
  <c r="O42" i="87"/>
  <c r="K42" i="87"/>
  <c r="B42" i="87"/>
  <c r="BU41" i="87"/>
  <c r="BT41" i="87"/>
  <c r="BS41" i="87"/>
  <c r="BR41" i="87"/>
  <c r="BQ41" i="87"/>
  <c r="O41" i="87"/>
  <c r="K41" i="87"/>
  <c r="B41" i="87"/>
  <c r="BU40" i="87"/>
  <c r="BT40" i="87"/>
  <c r="BS40" i="87"/>
  <c r="BR40" i="87"/>
  <c r="BQ40" i="87"/>
  <c r="O40" i="87"/>
  <c r="K40" i="87"/>
  <c r="B40" i="87"/>
  <c r="BU39" i="87"/>
  <c r="BT39" i="87"/>
  <c r="BS39" i="87"/>
  <c r="BR39" i="87"/>
  <c r="BQ39" i="87"/>
  <c r="O39" i="87"/>
  <c r="K39" i="87"/>
  <c r="B39" i="87"/>
  <c r="BU38" i="87"/>
  <c r="BT38" i="87"/>
  <c r="BS38" i="87"/>
  <c r="BR38" i="87"/>
  <c r="BQ38" i="87"/>
  <c r="O38" i="87"/>
  <c r="K38" i="87"/>
  <c r="B38" i="87"/>
  <c r="BU37" i="87"/>
  <c r="BT37" i="87"/>
  <c r="BS37" i="87"/>
  <c r="BR37" i="87"/>
  <c r="BQ37" i="87"/>
  <c r="O37" i="87"/>
  <c r="K37" i="87"/>
  <c r="B37" i="87"/>
  <c r="BU36" i="87"/>
  <c r="BT36" i="87"/>
  <c r="BS36" i="87"/>
  <c r="BR36" i="87"/>
  <c r="BQ36" i="87"/>
  <c r="O36" i="87"/>
  <c r="K36" i="87"/>
  <c r="B36" i="87"/>
  <c r="BU35" i="87"/>
  <c r="BT35" i="87"/>
  <c r="BS35" i="87"/>
  <c r="BR35" i="87"/>
  <c r="BQ35" i="87"/>
  <c r="O35" i="87"/>
  <c r="K35" i="87"/>
  <c r="B35" i="87"/>
  <c r="BU34" i="87"/>
  <c r="BT34" i="87"/>
  <c r="BS34" i="87"/>
  <c r="BR34" i="87"/>
  <c r="BQ34" i="87"/>
  <c r="O34" i="87"/>
  <c r="K34" i="87"/>
  <c r="B34" i="87"/>
  <c r="BU33" i="87"/>
  <c r="BT33" i="87"/>
  <c r="BS33" i="87"/>
  <c r="BR33" i="87"/>
  <c r="BQ33" i="87"/>
  <c r="O33" i="87"/>
  <c r="K33" i="87"/>
  <c r="B33" i="87"/>
  <c r="BU32" i="87"/>
  <c r="BT32" i="87"/>
  <c r="BS32" i="87"/>
  <c r="BR32" i="87"/>
  <c r="BQ32" i="87"/>
  <c r="O32" i="87"/>
  <c r="K32" i="87"/>
  <c r="B32" i="87"/>
  <c r="BU31" i="87"/>
  <c r="BT31" i="87"/>
  <c r="BS31" i="87"/>
  <c r="BR31" i="87"/>
  <c r="BQ31" i="87"/>
  <c r="O31" i="87"/>
  <c r="K31" i="87"/>
  <c r="B31" i="87"/>
  <c r="BU30" i="87"/>
  <c r="BT30" i="87"/>
  <c r="BS30" i="87"/>
  <c r="BR30" i="87"/>
  <c r="BQ30" i="87"/>
  <c r="O30" i="87"/>
  <c r="K30" i="87"/>
  <c r="B30" i="87"/>
  <c r="BU29" i="87"/>
  <c r="BT29" i="87"/>
  <c r="BS29" i="87"/>
  <c r="BR29" i="87"/>
  <c r="BQ29" i="87"/>
  <c r="O29" i="87"/>
  <c r="K29" i="87"/>
  <c r="B29" i="87"/>
  <c r="BU28" i="87"/>
  <c r="BT28" i="87"/>
  <c r="BS28" i="87"/>
  <c r="BR28" i="87"/>
  <c r="BQ28" i="87"/>
  <c r="O28" i="87"/>
  <c r="K28" i="87"/>
  <c r="B28" i="87"/>
  <c r="BU27" i="87"/>
  <c r="BT27" i="87"/>
  <c r="BS27" i="87"/>
  <c r="BR27" i="87"/>
  <c r="BQ27" i="87"/>
  <c r="O27" i="87"/>
  <c r="K27" i="87"/>
  <c r="B27" i="87"/>
  <c r="BU26" i="87"/>
  <c r="BT26" i="87"/>
  <c r="BS26" i="87"/>
  <c r="BR26" i="87"/>
  <c r="BQ26" i="87"/>
  <c r="O26" i="87"/>
  <c r="K26" i="87"/>
  <c r="B26" i="87"/>
  <c r="BU25" i="87"/>
  <c r="BT25" i="87"/>
  <c r="BS25" i="87"/>
  <c r="BR25" i="87"/>
  <c r="BQ25" i="87"/>
  <c r="O25" i="87"/>
  <c r="K25" i="87"/>
  <c r="B25" i="87"/>
  <c r="BU24" i="87"/>
  <c r="BT24" i="87"/>
  <c r="BS24" i="87"/>
  <c r="BR24" i="87"/>
  <c r="BQ24" i="87"/>
  <c r="O24" i="87"/>
  <c r="K24" i="87"/>
  <c r="B24" i="87"/>
  <c r="BU23" i="87"/>
  <c r="BT23" i="87"/>
  <c r="BS23" i="87"/>
  <c r="BR23" i="87"/>
  <c r="BQ23" i="87"/>
  <c r="O23" i="87"/>
  <c r="K23" i="87"/>
  <c r="B23" i="87"/>
  <c r="BU22" i="87"/>
  <c r="BT22" i="87"/>
  <c r="BS22" i="87"/>
  <c r="BR22" i="87"/>
  <c r="BQ22" i="87"/>
  <c r="O22" i="87"/>
  <c r="K22" i="87"/>
  <c r="B22" i="87"/>
  <c r="BU21" i="87"/>
  <c r="BT21" i="87"/>
  <c r="BS21" i="87"/>
  <c r="BR21" i="87"/>
  <c r="BQ21" i="87"/>
  <c r="O21" i="87"/>
  <c r="K21" i="87"/>
  <c r="B21" i="87"/>
  <c r="BU20" i="87"/>
  <c r="BT20" i="87"/>
  <c r="BS20" i="87"/>
  <c r="BR20" i="87"/>
  <c r="BQ20" i="87"/>
  <c r="O20" i="87"/>
  <c r="K20" i="87"/>
  <c r="B20" i="87"/>
  <c r="O19" i="87"/>
  <c r="K19" i="87"/>
  <c r="B19" i="87"/>
  <c r="O18" i="87"/>
  <c r="K18" i="87"/>
  <c r="B18" i="87"/>
  <c r="O17" i="87"/>
  <c r="K17" i="87"/>
  <c r="B17" i="87"/>
  <c r="O16" i="87"/>
  <c r="K16" i="87"/>
  <c r="B16" i="87"/>
  <c r="O15" i="87"/>
  <c r="K15" i="87"/>
  <c r="B15" i="87"/>
  <c r="BU14" i="87"/>
  <c r="BU19" i="87" s="1"/>
  <c r="BT14" i="87"/>
  <c r="BT19" i="87" s="1"/>
  <c r="BS14" i="87"/>
  <c r="BS19" i="87" s="1"/>
  <c r="BR14" i="87"/>
  <c r="BR19" i="87" s="1"/>
  <c r="BQ14" i="87"/>
  <c r="BQ19" i="87" s="1"/>
  <c r="V13" i="87"/>
  <c r="BC13" i="87" s="1"/>
  <c r="U13" i="87"/>
  <c r="BB13" i="87" s="1"/>
  <c r="D13" i="87"/>
  <c r="C13" i="87"/>
  <c r="F11" i="87"/>
  <c r="F10" i="87"/>
  <c r="H9" i="87"/>
  <c r="F9" i="87"/>
  <c r="H8" i="87"/>
  <c r="F8" i="87"/>
  <c r="H7" i="87"/>
  <c r="F7" i="87"/>
  <c r="H6" i="87"/>
  <c r="F6" i="87"/>
  <c r="H5" i="87"/>
  <c r="F5" i="87"/>
  <c r="F4" i="87"/>
  <c r="AK3" i="87"/>
  <c r="T3" i="87"/>
  <c r="S3" i="87"/>
  <c r="AT2" i="87"/>
  <c r="AS2" i="87"/>
  <c r="AR2" i="87"/>
  <c r="AQ2" i="87"/>
  <c r="AP2" i="87"/>
  <c r="AO2" i="87"/>
  <c r="AN2" i="87"/>
  <c r="T2" i="87"/>
  <c r="S2" i="87"/>
  <c r="F1" i="87"/>
  <c r="S45" i="86"/>
  <c r="R45" i="86"/>
  <c r="P45" i="86"/>
  <c r="N45" i="86"/>
  <c r="L45" i="86"/>
  <c r="J45" i="86"/>
  <c r="I45" i="86"/>
  <c r="H45" i="86"/>
  <c r="BU44" i="86"/>
  <c r="BT44" i="86"/>
  <c r="BS44" i="86"/>
  <c r="BR44" i="86"/>
  <c r="BQ44" i="86"/>
  <c r="O44" i="86"/>
  <c r="K44" i="86"/>
  <c r="B44" i="86"/>
  <c r="BU43" i="86"/>
  <c r="BT43" i="86"/>
  <c r="BS43" i="86"/>
  <c r="BR43" i="86"/>
  <c r="BQ43" i="86"/>
  <c r="O43" i="86"/>
  <c r="K43" i="86"/>
  <c r="B43" i="86"/>
  <c r="BU42" i="86"/>
  <c r="BT42" i="86"/>
  <c r="BS42" i="86"/>
  <c r="BR42" i="86"/>
  <c r="BQ42" i="86"/>
  <c r="O42" i="86"/>
  <c r="K42" i="86"/>
  <c r="B42" i="86"/>
  <c r="BU41" i="86"/>
  <c r="BT41" i="86"/>
  <c r="BS41" i="86"/>
  <c r="BR41" i="86"/>
  <c r="BQ41" i="86"/>
  <c r="O41" i="86"/>
  <c r="K41" i="86"/>
  <c r="B41" i="86"/>
  <c r="BU40" i="86"/>
  <c r="BT40" i="86"/>
  <c r="BS40" i="86"/>
  <c r="BR40" i="86"/>
  <c r="BQ40" i="86"/>
  <c r="O40" i="86"/>
  <c r="K40" i="86"/>
  <c r="B40" i="86"/>
  <c r="BU39" i="86"/>
  <c r="BT39" i="86"/>
  <c r="BS39" i="86"/>
  <c r="BR39" i="86"/>
  <c r="BQ39" i="86"/>
  <c r="O39" i="86"/>
  <c r="K39" i="86"/>
  <c r="B39" i="86"/>
  <c r="BU38" i="86"/>
  <c r="BT38" i="86"/>
  <c r="BS38" i="86"/>
  <c r="BR38" i="86"/>
  <c r="BQ38" i="86"/>
  <c r="O38" i="86"/>
  <c r="K38" i="86"/>
  <c r="B38" i="86"/>
  <c r="BU37" i="86"/>
  <c r="BT37" i="86"/>
  <c r="BS37" i="86"/>
  <c r="BR37" i="86"/>
  <c r="BQ37" i="86"/>
  <c r="O37" i="86"/>
  <c r="K37" i="86"/>
  <c r="B37" i="86"/>
  <c r="BU36" i="86"/>
  <c r="BT36" i="86"/>
  <c r="BS36" i="86"/>
  <c r="BR36" i="86"/>
  <c r="BQ36" i="86"/>
  <c r="O36" i="86"/>
  <c r="K36" i="86"/>
  <c r="B36" i="86"/>
  <c r="BU35" i="86"/>
  <c r="BT35" i="86"/>
  <c r="BS35" i="86"/>
  <c r="BR35" i="86"/>
  <c r="BQ35" i="86"/>
  <c r="O35" i="86"/>
  <c r="K35" i="86"/>
  <c r="B35" i="86"/>
  <c r="BU34" i="86"/>
  <c r="BT34" i="86"/>
  <c r="BS34" i="86"/>
  <c r="BR34" i="86"/>
  <c r="BQ34" i="86"/>
  <c r="O34" i="86"/>
  <c r="K34" i="86"/>
  <c r="B34" i="86"/>
  <c r="BU33" i="86"/>
  <c r="BT33" i="86"/>
  <c r="BS33" i="86"/>
  <c r="BR33" i="86"/>
  <c r="BQ33" i="86"/>
  <c r="O33" i="86"/>
  <c r="K33" i="86"/>
  <c r="B33" i="86"/>
  <c r="BU32" i="86"/>
  <c r="BT32" i="86"/>
  <c r="BS32" i="86"/>
  <c r="BR32" i="86"/>
  <c r="BQ32" i="86"/>
  <c r="O32" i="86"/>
  <c r="K32" i="86"/>
  <c r="B32" i="86"/>
  <c r="BU31" i="86"/>
  <c r="BT31" i="86"/>
  <c r="BS31" i="86"/>
  <c r="BR31" i="86"/>
  <c r="BQ31" i="86"/>
  <c r="O31" i="86"/>
  <c r="K31" i="86"/>
  <c r="B31" i="86"/>
  <c r="BU30" i="86"/>
  <c r="BT30" i="86"/>
  <c r="BS30" i="86"/>
  <c r="BR30" i="86"/>
  <c r="BQ30" i="86"/>
  <c r="O30" i="86"/>
  <c r="K30" i="86"/>
  <c r="B30" i="86"/>
  <c r="BU29" i="86"/>
  <c r="BT29" i="86"/>
  <c r="BS29" i="86"/>
  <c r="BR29" i="86"/>
  <c r="BQ29" i="86"/>
  <c r="O29" i="86"/>
  <c r="K29" i="86"/>
  <c r="B29" i="86"/>
  <c r="BU28" i="86"/>
  <c r="BT28" i="86"/>
  <c r="BS28" i="86"/>
  <c r="BR28" i="86"/>
  <c r="BQ28" i="86"/>
  <c r="O28" i="86"/>
  <c r="K28" i="86"/>
  <c r="B28" i="86"/>
  <c r="BU27" i="86"/>
  <c r="BT27" i="86"/>
  <c r="BS27" i="86"/>
  <c r="BR27" i="86"/>
  <c r="BQ27" i="86"/>
  <c r="O27" i="86"/>
  <c r="K27" i="86"/>
  <c r="B27" i="86"/>
  <c r="BU26" i="86"/>
  <c r="BT26" i="86"/>
  <c r="BS26" i="86"/>
  <c r="BR26" i="86"/>
  <c r="BQ26" i="86"/>
  <c r="O26" i="86"/>
  <c r="K26" i="86"/>
  <c r="B26" i="86"/>
  <c r="BU25" i="86"/>
  <c r="BT25" i="86"/>
  <c r="BS25" i="86"/>
  <c r="BR25" i="86"/>
  <c r="BQ25" i="86"/>
  <c r="O25" i="86"/>
  <c r="K25" i="86"/>
  <c r="B25" i="86"/>
  <c r="BU24" i="86"/>
  <c r="BT24" i="86"/>
  <c r="BS24" i="86"/>
  <c r="BR24" i="86"/>
  <c r="BQ24" i="86"/>
  <c r="O24" i="86"/>
  <c r="K24" i="86"/>
  <c r="B24" i="86"/>
  <c r="BU23" i="86"/>
  <c r="BT23" i="86"/>
  <c r="BS23" i="86"/>
  <c r="BR23" i="86"/>
  <c r="BQ23" i="86"/>
  <c r="O23" i="86"/>
  <c r="K23" i="86"/>
  <c r="B23" i="86"/>
  <c r="BU22" i="86"/>
  <c r="BT22" i="86"/>
  <c r="BS22" i="86"/>
  <c r="BR22" i="86"/>
  <c r="BQ22" i="86"/>
  <c r="O22" i="86"/>
  <c r="K22" i="86"/>
  <c r="B22" i="86"/>
  <c r="BU21" i="86"/>
  <c r="BT21" i="86"/>
  <c r="BS21" i="86"/>
  <c r="BR21" i="86"/>
  <c r="BQ21" i="86"/>
  <c r="O21" i="86"/>
  <c r="K21" i="86"/>
  <c r="B21" i="86"/>
  <c r="O20" i="86"/>
  <c r="K20" i="86"/>
  <c r="B20" i="86"/>
  <c r="O19" i="86"/>
  <c r="K19" i="86"/>
  <c r="B19" i="86"/>
  <c r="O18" i="86"/>
  <c r="K18" i="86"/>
  <c r="B18" i="86"/>
  <c r="O17" i="86"/>
  <c r="K17" i="86"/>
  <c r="B17" i="86"/>
  <c r="O16" i="86"/>
  <c r="K16" i="86"/>
  <c r="B16" i="86"/>
  <c r="O15" i="86"/>
  <c r="K15" i="86"/>
  <c r="B15" i="86"/>
  <c r="BU14" i="86"/>
  <c r="BU17" i="86" s="1"/>
  <c r="BT14" i="86"/>
  <c r="BT17" i="86" s="1"/>
  <c r="BS14" i="86"/>
  <c r="BS17" i="86" s="1"/>
  <c r="BR14" i="86"/>
  <c r="BR17" i="86" s="1"/>
  <c r="BQ14" i="86"/>
  <c r="BQ17" i="86" s="1"/>
  <c r="V13" i="86"/>
  <c r="BC13" i="86" s="1"/>
  <c r="U13" i="86"/>
  <c r="BB13" i="86" s="1"/>
  <c r="D13" i="86"/>
  <c r="C13" i="86"/>
  <c r="F11" i="86"/>
  <c r="F10" i="86"/>
  <c r="H9" i="86"/>
  <c r="F9" i="86"/>
  <c r="H8" i="86"/>
  <c r="F8" i="86"/>
  <c r="H7" i="86"/>
  <c r="F7" i="86"/>
  <c r="H6" i="86"/>
  <c r="F6" i="86"/>
  <c r="H5" i="86"/>
  <c r="F5" i="86"/>
  <c r="F4" i="86"/>
  <c r="AK3" i="86"/>
  <c r="T3" i="86"/>
  <c r="S3" i="86"/>
  <c r="AT2" i="86"/>
  <c r="AS2" i="86"/>
  <c r="AR2" i="86"/>
  <c r="AQ2" i="86"/>
  <c r="AP2" i="86"/>
  <c r="AO2" i="86"/>
  <c r="AN2" i="86"/>
  <c r="T2" i="86"/>
  <c r="S2" i="86"/>
  <c r="F1" i="86"/>
  <c r="S45" i="85"/>
  <c r="R45" i="85"/>
  <c r="P45" i="85"/>
  <c r="N45" i="85"/>
  <c r="L45" i="85"/>
  <c r="J45" i="85"/>
  <c r="I45" i="85"/>
  <c r="H45" i="85"/>
  <c r="BU44" i="85"/>
  <c r="BT44" i="85"/>
  <c r="BS44" i="85"/>
  <c r="BR44" i="85"/>
  <c r="BQ44" i="85"/>
  <c r="O44" i="85"/>
  <c r="K44" i="85"/>
  <c r="B44" i="85"/>
  <c r="BU43" i="85"/>
  <c r="BT43" i="85"/>
  <c r="BS43" i="85"/>
  <c r="BR43" i="85"/>
  <c r="BQ43" i="85"/>
  <c r="O43" i="85"/>
  <c r="K43" i="85"/>
  <c r="B43" i="85"/>
  <c r="BU42" i="85"/>
  <c r="BT42" i="85"/>
  <c r="BS42" i="85"/>
  <c r="BR42" i="85"/>
  <c r="BQ42" i="85"/>
  <c r="O42" i="85"/>
  <c r="K42" i="85"/>
  <c r="B42" i="85"/>
  <c r="BU41" i="85"/>
  <c r="BT41" i="85"/>
  <c r="BS41" i="85"/>
  <c r="BR41" i="85"/>
  <c r="BQ41" i="85"/>
  <c r="O41" i="85"/>
  <c r="K41" i="85"/>
  <c r="B41" i="85"/>
  <c r="BU40" i="85"/>
  <c r="BT40" i="85"/>
  <c r="BS40" i="85"/>
  <c r="BR40" i="85"/>
  <c r="BQ40" i="85"/>
  <c r="O40" i="85"/>
  <c r="K40" i="85"/>
  <c r="B40" i="85"/>
  <c r="BU39" i="85"/>
  <c r="BT39" i="85"/>
  <c r="BS39" i="85"/>
  <c r="BR39" i="85"/>
  <c r="BQ39" i="85"/>
  <c r="O39" i="85"/>
  <c r="K39" i="85"/>
  <c r="B39" i="85"/>
  <c r="BU38" i="85"/>
  <c r="BT38" i="85"/>
  <c r="BS38" i="85"/>
  <c r="BR38" i="85"/>
  <c r="BQ38" i="85"/>
  <c r="O38" i="85"/>
  <c r="K38" i="85"/>
  <c r="B38" i="85"/>
  <c r="BU37" i="85"/>
  <c r="BT37" i="85"/>
  <c r="BS37" i="85"/>
  <c r="BR37" i="85"/>
  <c r="BQ37" i="85"/>
  <c r="O37" i="85"/>
  <c r="K37" i="85"/>
  <c r="B37" i="85"/>
  <c r="BU36" i="85"/>
  <c r="BT36" i="85"/>
  <c r="BS36" i="85"/>
  <c r="BR36" i="85"/>
  <c r="BQ36" i="85"/>
  <c r="O36" i="85"/>
  <c r="K36" i="85"/>
  <c r="B36" i="85"/>
  <c r="BU35" i="85"/>
  <c r="BT35" i="85"/>
  <c r="BS35" i="85"/>
  <c r="BR35" i="85"/>
  <c r="BQ35" i="85"/>
  <c r="O35" i="85"/>
  <c r="K35" i="85"/>
  <c r="B35" i="85"/>
  <c r="BU34" i="85"/>
  <c r="BT34" i="85"/>
  <c r="BS34" i="85"/>
  <c r="BR34" i="85"/>
  <c r="BQ34" i="85"/>
  <c r="O34" i="85"/>
  <c r="K34" i="85"/>
  <c r="B34" i="85"/>
  <c r="BU33" i="85"/>
  <c r="BT33" i="85"/>
  <c r="BS33" i="85"/>
  <c r="BR33" i="85"/>
  <c r="BQ33" i="85"/>
  <c r="O33" i="85"/>
  <c r="K33" i="85"/>
  <c r="B33" i="85"/>
  <c r="BU32" i="85"/>
  <c r="BT32" i="85"/>
  <c r="BS32" i="85"/>
  <c r="BR32" i="85"/>
  <c r="BQ32" i="85"/>
  <c r="O32" i="85"/>
  <c r="K32" i="85"/>
  <c r="B32" i="85"/>
  <c r="BU31" i="85"/>
  <c r="BT31" i="85"/>
  <c r="BS31" i="85"/>
  <c r="BR31" i="85"/>
  <c r="BQ31" i="85"/>
  <c r="O31" i="85"/>
  <c r="K31" i="85"/>
  <c r="B31" i="85"/>
  <c r="BU30" i="85"/>
  <c r="BT30" i="85"/>
  <c r="BS30" i="85"/>
  <c r="BR30" i="85"/>
  <c r="BQ30" i="85"/>
  <c r="O30" i="85"/>
  <c r="K30" i="85"/>
  <c r="B30" i="85"/>
  <c r="BU29" i="85"/>
  <c r="BT29" i="85"/>
  <c r="BS29" i="85"/>
  <c r="BR29" i="85"/>
  <c r="BQ29" i="85"/>
  <c r="O29" i="85"/>
  <c r="K29" i="85"/>
  <c r="B29" i="85"/>
  <c r="BU28" i="85"/>
  <c r="BT28" i="85"/>
  <c r="BS28" i="85"/>
  <c r="BR28" i="85"/>
  <c r="BQ28" i="85"/>
  <c r="O28" i="85"/>
  <c r="K28" i="85"/>
  <c r="B28" i="85"/>
  <c r="BU27" i="85"/>
  <c r="BT27" i="85"/>
  <c r="BS27" i="85"/>
  <c r="BR27" i="85"/>
  <c r="BQ27" i="85"/>
  <c r="O27" i="85"/>
  <c r="K27" i="85"/>
  <c r="B27" i="85"/>
  <c r="BU26" i="85"/>
  <c r="BT26" i="85"/>
  <c r="BS26" i="85"/>
  <c r="BR26" i="85"/>
  <c r="BQ26" i="85"/>
  <c r="O26" i="85"/>
  <c r="K26" i="85"/>
  <c r="B26" i="85"/>
  <c r="BU25" i="85"/>
  <c r="BT25" i="85"/>
  <c r="BS25" i="85"/>
  <c r="BR25" i="85"/>
  <c r="BQ25" i="85"/>
  <c r="O25" i="85"/>
  <c r="K25" i="85"/>
  <c r="B25" i="85"/>
  <c r="BU24" i="85"/>
  <c r="BT24" i="85"/>
  <c r="BS24" i="85"/>
  <c r="BR24" i="85"/>
  <c r="BQ24" i="85"/>
  <c r="O24" i="85"/>
  <c r="K24" i="85"/>
  <c r="B24" i="85"/>
  <c r="BU23" i="85"/>
  <c r="BT23" i="85"/>
  <c r="BS23" i="85"/>
  <c r="BR23" i="85"/>
  <c r="BQ23" i="85"/>
  <c r="O23" i="85"/>
  <c r="K23" i="85"/>
  <c r="B23" i="85"/>
  <c r="BU22" i="85"/>
  <c r="BT22" i="85"/>
  <c r="BS22" i="85"/>
  <c r="BR22" i="85"/>
  <c r="BQ22" i="85"/>
  <c r="O22" i="85"/>
  <c r="K22" i="85"/>
  <c r="B22" i="85"/>
  <c r="BU21" i="85"/>
  <c r="BT21" i="85"/>
  <c r="BS21" i="85"/>
  <c r="BR21" i="85"/>
  <c r="BQ21" i="85"/>
  <c r="O21" i="85"/>
  <c r="K21" i="85"/>
  <c r="B21" i="85"/>
  <c r="BU20" i="85"/>
  <c r="BT20" i="85"/>
  <c r="BS20" i="85"/>
  <c r="BR20" i="85"/>
  <c r="BQ20" i="85"/>
  <c r="O20" i="85"/>
  <c r="K20" i="85"/>
  <c r="B20" i="85"/>
  <c r="BU19" i="85"/>
  <c r="BT19" i="85"/>
  <c r="BS19" i="85"/>
  <c r="BR19" i="85"/>
  <c r="BQ19" i="85"/>
  <c r="O19" i="85"/>
  <c r="K19" i="85"/>
  <c r="B19" i="85"/>
  <c r="O18" i="85"/>
  <c r="K18" i="85"/>
  <c r="B18" i="85"/>
  <c r="O17" i="85"/>
  <c r="K17" i="85"/>
  <c r="B17" i="85"/>
  <c r="O16" i="85"/>
  <c r="K16" i="85"/>
  <c r="B16" i="85"/>
  <c r="O15" i="85"/>
  <c r="K15" i="85"/>
  <c r="B15" i="85"/>
  <c r="BU14" i="85"/>
  <c r="BU18" i="85" s="1"/>
  <c r="BT14" i="85"/>
  <c r="BT18" i="85" s="1"/>
  <c r="BS14" i="85"/>
  <c r="BS18" i="85" s="1"/>
  <c r="BR14" i="85"/>
  <c r="BR18" i="85" s="1"/>
  <c r="BQ14" i="85"/>
  <c r="V13" i="85"/>
  <c r="BC13" i="85" s="1"/>
  <c r="U13" i="85"/>
  <c r="BB13" i="85" s="1"/>
  <c r="D13" i="85"/>
  <c r="C13" i="85"/>
  <c r="F11" i="85"/>
  <c r="F10" i="85"/>
  <c r="H9" i="85"/>
  <c r="F9" i="85"/>
  <c r="H8" i="85"/>
  <c r="F8" i="85"/>
  <c r="H7" i="85"/>
  <c r="F7" i="85"/>
  <c r="H6" i="85"/>
  <c r="F6" i="85"/>
  <c r="H5" i="85"/>
  <c r="F5" i="85"/>
  <c r="F4" i="85"/>
  <c r="AK3" i="85"/>
  <c r="T3" i="85"/>
  <c r="S3" i="85"/>
  <c r="AT2" i="85"/>
  <c r="AS2" i="85"/>
  <c r="AR2" i="85"/>
  <c r="AQ2" i="85"/>
  <c r="AP2" i="85"/>
  <c r="AO2" i="85"/>
  <c r="AN2" i="85"/>
  <c r="T2" i="85"/>
  <c r="S2" i="85"/>
  <c r="F1" i="85"/>
  <c r="S45" i="84"/>
  <c r="R45" i="84"/>
  <c r="P45" i="84"/>
  <c r="N45" i="84"/>
  <c r="L45" i="84"/>
  <c r="J45" i="84"/>
  <c r="I45" i="84"/>
  <c r="H45" i="84"/>
  <c r="BU44" i="84"/>
  <c r="BT44" i="84"/>
  <c r="BS44" i="84"/>
  <c r="BR44" i="84"/>
  <c r="BQ44" i="84"/>
  <c r="O44" i="84"/>
  <c r="K44" i="84"/>
  <c r="B44" i="84"/>
  <c r="BU43" i="84"/>
  <c r="BT43" i="84"/>
  <c r="BS43" i="84"/>
  <c r="BR43" i="84"/>
  <c r="BQ43" i="84"/>
  <c r="O43" i="84"/>
  <c r="K43" i="84"/>
  <c r="B43" i="84"/>
  <c r="BU42" i="84"/>
  <c r="BT42" i="84"/>
  <c r="BS42" i="84"/>
  <c r="BR42" i="84"/>
  <c r="BQ42" i="84"/>
  <c r="O42" i="84"/>
  <c r="K42" i="84"/>
  <c r="B42" i="84"/>
  <c r="BU41" i="84"/>
  <c r="BT41" i="84"/>
  <c r="BS41" i="84"/>
  <c r="BR41" i="84"/>
  <c r="BQ41" i="84"/>
  <c r="O41" i="84"/>
  <c r="K41" i="84"/>
  <c r="B41" i="84"/>
  <c r="BU40" i="84"/>
  <c r="BT40" i="84"/>
  <c r="BS40" i="84"/>
  <c r="BR40" i="84"/>
  <c r="BQ40" i="84"/>
  <c r="O40" i="84"/>
  <c r="K40" i="84"/>
  <c r="B40" i="84"/>
  <c r="BU39" i="84"/>
  <c r="BT39" i="84"/>
  <c r="BS39" i="84"/>
  <c r="BR39" i="84"/>
  <c r="BQ39" i="84"/>
  <c r="O39" i="84"/>
  <c r="K39" i="84"/>
  <c r="B39" i="84"/>
  <c r="BU38" i="84"/>
  <c r="BT38" i="84"/>
  <c r="BS38" i="84"/>
  <c r="BR38" i="84"/>
  <c r="BQ38" i="84"/>
  <c r="O38" i="84"/>
  <c r="K38" i="84"/>
  <c r="B38" i="84"/>
  <c r="BU37" i="84"/>
  <c r="BT37" i="84"/>
  <c r="BS37" i="84"/>
  <c r="BR37" i="84"/>
  <c r="BQ37" i="84"/>
  <c r="O37" i="84"/>
  <c r="K37" i="84"/>
  <c r="B37" i="84"/>
  <c r="BU36" i="84"/>
  <c r="BT36" i="84"/>
  <c r="BS36" i="84"/>
  <c r="BR36" i="84"/>
  <c r="BQ36" i="84"/>
  <c r="O36" i="84"/>
  <c r="K36" i="84"/>
  <c r="B36" i="84"/>
  <c r="BU35" i="84"/>
  <c r="BT35" i="84"/>
  <c r="BS35" i="84"/>
  <c r="BR35" i="84"/>
  <c r="BQ35" i="84"/>
  <c r="O35" i="84"/>
  <c r="K35" i="84"/>
  <c r="B35" i="84"/>
  <c r="BU34" i="84"/>
  <c r="BT34" i="84"/>
  <c r="BS34" i="84"/>
  <c r="BR34" i="84"/>
  <c r="BQ34" i="84"/>
  <c r="O34" i="84"/>
  <c r="K34" i="84"/>
  <c r="B34" i="84"/>
  <c r="BU33" i="84"/>
  <c r="BT33" i="84"/>
  <c r="BS33" i="84"/>
  <c r="BR33" i="84"/>
  <c r="BQ33" i="84"/>
  <c r="O33" i="84"/>
  <c r="K33" i="84"/>
  <c r="B33" i="84"/>
  <c r="BU32" i="84"/>
  <c r="BT32" i="84"/>
  <c r="BS32" i="84"/>
  <c r="BR32" i="84"/>
  <c r="BQ32" i="84"/>
  <c r="O32" i="84"/>
  <c r="K32" i="84"/>
  <c r="B32" i="84"/>
  <c r="BU31" i="84"/>
  <c r="BT31" i="84"/>
  <c r="BS31" i="84"/>
  <c r="BR31" i="84"/>
  <c r="BQ31" i="84"/>
  <c r="O31" i="84"/>
  <c r="K31" i="84"/>
  <c r="B31" i="84"/>
  <c r="BU30" i="84"/>
  <c r="BT30" i="84"/>
  <c r="BS30" i="84"/>
  <c r="BR30" i="84"/>
  <c r="BQ30" i="84"/>
  <c r="O30" i="84"/>
  <c r="K30" i="84"/>
  <c r="B30" i="84"/>
  <c r="BU29" i="84"/>
  <c r="BT29" i="84"/>
  <c r="BS29" i="84"/>
  <c r="BR29" i="84"/>
  <c r="BQ29" i="84"/>
  <c r="O29" i="84"/>
  <c r="K29" i="84"/>
  <c r="B29" i="84"/>
  <c r="BU28" i="84"/>
  <c r="BT28" i="84"/>
  <c r="BS28" i="84"/>
  <c r="BR28" i="84"/>
  <c r="BQ28" i="84"/>
  <c r="O28" i="84"/>
  <c r="K28" i="84"/>
  <c r="B28" i="84"/>
  <c r="BU27" i="84"/>
  <c r="BT27" i="84"/>
  <c r="BS27" i="84"/>
  <c r="BR27" i="84"/>
  <c r="BQ27" i="84"/>
  <c r="O27" i="84"/>
  <c r="K27" i="84"/>
  <c r="B27" i="84"/>
  <c r="BU26" i="84"/>
  <c r="BT26" i="84"/>
  <c r="BS26" i="84"/>
  <c r="BR26" i="84"/>
  <c r="BQ26" i="84"/>
  <c r="O26" i="84"/>
  <c r="K26" i="84"/>
  <c r="B26" i="84"/>
  <c r="BU25" i="84"/>
  <c r="BT25" i="84"/>
  <c r="BS25" i="84"/>
  <c r="BR25" i="84"/>
  <c r="BQ25" i="84"/>
  <c r="O25" i="84"/>
  <c r="K25" i="84"/>
  <c r="B25" i="84"/>
  <c r="BU24" i="84"/>
  <c r="BT24" i="84"/>
  <c r="BS24" i="84"/>
  <c r="BR24" i="84"/>
  <c r="BQ24" i="84"/>
  <c r="O24" i="84"/>
  <c r="K24" i="84"/>
  <c r="B24" i="84"/>
  <c r="BU23" i="84"/>
  <c r="BT23" i="84"/>
  <c r="BS23" i="84"/>
  <c r="BR23" i="84"/>
  <c r="BQ23" i="84"/>
  <c r="O23" i="84"/>
  <c r="K23" i="84"/>
  <c r="B23" i="84"/>
  <c r="BU22" i="84"/>
  <c r="BT22" i="84"/>
  <c r="BS22" i="84"/>
  <c r="BR22" i="84"/>
  <c r="BQ22" i="84"/>
  <c r="O22" i="84"/>
  <c r="K22" i="84"/>
  <c r="B22" i="84"/>
  <c r="BU21" i="84"/>
  <c r="BT21" i="84"/>
  <c r="BS21" i="84"/>
  <c r="BR21" i="84"/>
  <c r="BQ21" i="84"/>
  <c r="O21" i="84"/>
  <c r="K21" i="84"/>
  <c r="B21" i="84"/>
  <c r="BU20" i="84"/>
  <c r="BT20" i="84"/>
  <c r="BS20" i="84"/>
  <c r="BR20" i="84"/>
  <c r="BQ20" i="84"/>
  <c r="O20" i="84"/>
  <c r="K20" i="84"/>
  <c r="B20" i="84"/>
  <c r="BU19" i="84"/>
  <c r="BT19" i="84"/>
  <c r="BS19" i="84"/>
  <c r="BR19" i="84"/>
  <c r="BQ19" i="84"/>
  <c r="O19" i="84"/>
  <c r="K19" i="84"/>
  <c r="B19" i="84"/>
  <c r="BU18" i="84"/>
  <c r="BT18" i="84"/>
  <c r="BS18" i="84"/>
  <c r="BR18" i="84"/>
  <c r="BQ18" i="84"/>
  <c r="O18" i="84"/>
  <c r="K18" i="84"/>
  <c r="B18" i="84"/>
  <c r="BU17" i="84"/>
  <c r="BT17" i="84"/>
  <c r="BS17" i="84"/>
  <c r="BR17" i="84"/>
  <c r="BQ17" i="84"/>
  <c r="O17" i="84"/>
  <c r="K17" i="84"/>
  <c r="B17" i="84"/>
  <c r="BU16" i="84"/>
  <c r="BT16" i="84"/>
  <c r="BS16" i="84"/>
  <c r="BR16" i="84"/>
  <c r="BQ16" i="84"/>
  <c r="O16" i="84"/>
  <c r="K16" i="84"/>
  <c r="B16" i="84"/>
  <c r="BU15" i="84"/>
  <c r="BT15" i="84"/>
  <c r="BS15" i="84"/>
  <c r="BR15" i="84"/>
  <c r="BQ15" i="84"/>
  <c r="O15" i="84"/>
  <c r="K15" i="84"/>
  <c r="B15" i="84"/>
  <c r="BU14" i="84"/>
  <c r="BT14" i="84"/>
  <c r="BS14" i="84"/>
  <c r="BR14" i="84"/>
  <c r="BQ14" i="84"/>
  <c r="V13" i="84"/>
  <c r="BC13" i="84" s="1"/>
  <c r="U13" i="84"/>
  <c r="BB13" i="84" s="1"/>
  <c r="D13" i="84"/>
  <c r="C13" i="84"/>
  <c r="F11" i="84"/>
  <c r="F10" i="84"/>
  <c r="H9" i="84"/>
  <c r="F9" i="84"/>
  <c r="H8" i="84"/>
  <c r="F8" i="84"/>
  <c r="H7" i="84"/>
  <c r="F7" i="84"/>
  <c r="H6" i="84"/>
  <c r="F6" i="84"/>
  <c r="H5" i="84"/>
  <c r="F5" i="84"/>
  <c r="F4" i="84"/>
  <c r="AK3" i="84"/>
  <c r="T3" i="84"/>
  <c r="S3" i="84"/>
  <c r="AT2" i="84"/>
  <c r="AS2" i="84"/>
  <c r="AR2" i="84"/>
  <c r="AQ2" i="84"/>
  <c r="AP2" i="84"/>
  <c r="AO2" i="84"/>
  <c r="AN2" i="84"/>
  <c r="T2" i="84"/>
  <c r="S2" i="84"/>
  <c r="F1" i="84"/>
  <c r="S45" i="83"/>
  <c r="R45" i="83"/>
  <c r="P45" i="83"/>
  <c r="N45" i="83"/>
  <c r="L45" i="83"/>
  <c r="J45" i="83"/>
  <c r="I45" i="83"/>
  <c r="H45" i="83"/>
  <c r="BU44" i="83"/>
  <c r="BT44" i="83"/>
  <c r="BS44" i="83"/>
  <c r="BR44" i="83"/>
  <c r="BQ44" i="83"/>
  <c r="O44" i="83"/>
  <c r="K44" i="83"/>
  <c r="B44" i="83"/>
  <c r="BU43" i="83"/>
  <c r="BT43" i="83"/>
  <c r="BS43" i="83"/>
  <c r="BR43" i="83"/>
  <c r="BQ43" i="83"/>
  <c r="O43" i="83"/>
  <c r="K43" i="83"/>
  <c r="B43" i="83"/>
  <c r="BU42" i="83"/>
  <c r="BT42" i="83"/>
  <c r="BS42" i="83"/>
  <c r="BR42" i="83"/>
  <c r="BQ42" i="83"/>
  <c r="O42" i="83"/>
  <c r="K42" i="83"/>
  <c r="B42" i="83"/>
  <c r="BU41" i="83"/>
  <c r="BT41" i="83"/>
  <c r="BS41" i="83"/>
  <c r="BR41" i="83"/>
  <c r="BQ41" i="83"/>
  <c r="O41" i="83"/>
  <c r="K41" i="83"/>
  <c r="B41" i="83"/>
  <c r="BU40" i="83"/>
  <c r="BT40" i="83"/>
  <c r="BS40" i="83"/>
  <c r="BR40" i="83"/>
  <c r="BQ40" i="83"/>
  <c r="O40" i="83"/>
  <c r="K40" i="83"/>
  <c r="B40" i="83"/>
  <c r="BU39" i="83"/>
  <c r="BT39" i="83"/>
  <c r="BS39" i="83"/>
  <c r="BR39" i="83"/>
  <c r="BQ39" i="83"/>
  <c r="O39" i="83"/>
  <c r="K39" i="83"/>
  <c r="B39" i="83"/>
  <c r="BU38" i="83"/>
  <c r="BT38" i="83"/>
  <c r="BS38" i="83"/>
  <c r="BR38" i="83"/>
  <c r="BQ38" i="83"/>
  <c r="O38" i="83"/>
  <c r="K38" i="83"/>
  <c r="B38" i="83"/>
  <c r="BU37" i="83"/>
  <c r="BT37" i="83"/>
  <c r="BS37" i="83"/>
  <c r="BR37" i="83"/>
  <c r="BQ37" i="83"/>
  <c r="O37" i="83"/>
  <c r="K37" i="83"/>
  <c r="B37" i="83"/>
  <c r="BU36" i="83"/>
  <c r="BT36" i="83"/>
  <c r="BS36" i="83"/>
  <c r="BR36" i="83"/>
  <c r="BQ36" i="83"/>
  <c r="O36" i="83"/>
  <c r="K36" i="83"/>
  <c r="B36" i="83"/>
  <c r="BU35" i="83"/>
  <c r="BT35" i="83"/>
  <c r="BS35" i="83"/>
  <c r="BR35" i="83"/>
  <c r="BQ35" i="83"/>
  <c r="O35" i="83"/>
  <c r="K35" i="83"/>
  <c r="B35" i="83"/>
  <c r="BU34" i="83"/>
  <c r="BT34" i="83"/>
  <c r="BS34" i="83"/>
  <c r="BR34" i="83"/>
  <c r="BQ34" i="83"/>
  <c r="O34" i="83"/>
  <c r="K34" i="83"/>
  <c r="B34" i="83"/>
  <c r="BU33" i="83"/>
  <c r="BT33" i="83"/>
  <c r="BS33" i="83"/>
  <c r="BR33" i="83"/>
  <c r="BQ33" i="83"/>
  <c r="O33" i="83"/>
  <c r="K33" i="83"/>
  <c r="B33" i="83"/>
  <c r="BU32" i="83"/>
  <c r="BT32" i="83"/>
  <c r="BS32" i="83"/>
  <c r="BR32" i="83"/>
  <c r="BQ32" i="83"/>
  <c r="O32" i="83"/>
  <c r="K32" i="83"/>
  <c r="B32" i="83"/>
  <c r="BU31" i="83"/>
  <c r="BT31" i="83"/>
  <c r="BS31" i="83"/>
  <c r="BR31" i="83"/>
  <c r="BQ31" i="83"/>
  <c r="O31" i="83"/>
  <c r="K31" i="83"/>
  <c r="B31" i="83"/>
  <c r="BU30" i="83"/>
  <c r="BT30" i="83"/>
  <c r="BS30" i="83"/>
  <c r="BR30" i="83"/>
  <c r="BQ30" i="83"/>
  <c r="O30" i="83"/>
  <c r="K30" i="83"/>
  <c r="B30" i="83"/>
  <c r="BU29" i="83"/>
  <c r="BT29" i="83"/>
  <c r="BS29" i="83"/>
  <c r="BR29" i="83"/>
  <c r="BQ29" i="83"/>
  <c r="O29" i="83"/>
  <c r="K29" i="83"/>
  <c r="B29" i="83"/>
  <c r="BU28" i="83"/>
  <c r="BT28" i="83"/>
  <c r="BS28" i="83"/>
  <c r="BR28" i="83"/>
  <c r="BQ28" i="83"/>
  <c r="O28" i="83"/>
  <c r="K28" i="83"/>
  <c r="B28" i="83"/>
  <c r="BU27" i="83"/>
  <c r="BT27" i="83"/>
  <c r="BS27" i="83"/>
  <c r="BR27" i="83"/>
  <c r="BQ27" i="83"/>
  <c r="O27" i="83"/>
  <c r="K27" i="83"/>
  <c r="B27" i="83"/>
  <c r="BU26" i="83"/>
  <c r="BT26" i="83"/>
  <c r="BS26" i="83"/>
  <c r="BR26" i="83"/>
  <c r="BQ26" i="83"/>
  <c r="O26" i="83"/>
  <c r="K26" i="83"/>
  <c r="B26" i="83"/>
  <c r="BU25" i="83"/>
  <c r="BT25" i="83"/>
  <c r="BS25" i="83"/>
  <c r="BR25" i="83"/>
  <c r="BQ25" i="83"/>
  <c r="O25" i="83"/>
  <c r="K25" i="83"/>
  <c r="B25" i="83"/>
  <c r="BU24" i="83"/>
  <c r="BT24" i="83"/>
  <c r="BS24" i="83"/>
  <c r="BR24" i="83"/>
  <c r="BQ24" i="83"/>
  <c r="O24" i="83"/>
  <c r="K24" i="83"/>
  <c r="B24" i="83"/>
  <c r="BU23" i="83"/>
  <c r="BT23" i="83"/>
  <c r="BS23" i="83"/>
  <c r="BR23" i="83"/>
  <c r="BQ23" i="83"/>
  <c r="O23" i="83"/>
  <c r="K23" i="83"/>
  <c r="B23" i="83"/>
  <c r="BU22" i="83"/>
  <c r="BT22" i="83"/>
  <c r="BS22" i="83"/>
  <c r="BR22" i="83"/>
  <c r="BQ22" i="83"/>
  <c r="O22" i="83"/>
  <c r="K22" i="83"/>
  <c r="B22" i="83"/>
  <c r="BU21" i="83"/>
  <c r="BT21" i="83"/>
  <c r="BS21" i="83"/>
  <c r="BR21" i="83"/>
  <c r="BQ21" i="83"/>
  <c r="O21" i="83"/>
  <c r="K21" i="83"/>
  <c r="B21" i="83"/>
  <c r="BU20" i="83"/>
  <c r="BT20" i="83"/>
  <c r="BS20" i="83"/>
  <c r="BR20" i="83"/>
  <c r="BQ20" i="83"/>
  <c r="O20" i="83"/>
  <c r="K20" i="83"/>
  <c r="B20" i="83"/>
  <c r="BU19" i="83"/>
  <c r="BT19" i="83"/>
  <c r="BS19" i="83"/>
  <c r="BR19" i="83"/>
  <c r="BQ19" i="83"/>
  <c r="O19" i="83"/>
  <c r="K19" i="83"/>
  <c r="B19" i="83"/>
  <c r="BU18" i="83"/>
  <c r="BT18" i="83"/>
  <c r="BS18" i="83"/>
  <c r="BR18" i="83"/>
  <c r="BQ18" i="83"/>
  <c r="O18" i="83"/>
  <c r="K18" i="83"/>
  <c r="B18" i="83"/>
  <c r="BU17" i="83"/>
  <c r="BT17" i="83"/>
  <c r="BS17" i="83"/>
  <c r="BR17" i="83"/>
  <c r="BQ17" i="83"/>
  <c r="O17" i="83"/>
  <c r="K17" i="83"/>
  <c r="B17" i="83"/>
  <c r="O16" i="83"/>
  <c r="K16" i="83"/>
  <c r="B16" i="83"/>
  <c r="O15" i="83"/>
  <c r="K15" i="83"/>
  <c r="B15" i="83"/>
  <c r="BU14" i="83"/>
  <c r="BU15" i="83" s="1"/>
  <c r="BT14" i="83"/>
  <c r="BT15" i="83" s="1"/>
  <c r="BS14" i="83"/>
  <c r="BS15" i="83" s="1"/>
  <c r="BR14" i="83"/>
  <c r="BR15" i="83" s="1"/>
  <c r="BQ14" i="83"/>
  <c r="BQ15" i="83" s="1"/>
  <c r="V13" i="83"/>
  <c r="BC13" i="83" s="1"/>
  <c r="U13" i="83"/>
  <c r="BB13" i="83" s="1"/>
  <c r="D13" i="83"/>
  <c r="C13" i="83"/>
  <c r="F11" i="83"/>
  <c r="F10" i="83"/>
  <c r="H9" i="83"/>
  <c r="F9" i="83"/>
  <c r="H8" i="83"/>
  <c r="F8" i="83"/>
  <c r="H7" i="83"/>
  <c r="F7" i="83"/>
  <c r="H6" i="83"/>
  <c r="F6" i="83"/>
  <c r="H5" i="83"/>
  <c r="F5" i="83"/>
  <c r="F4" i="83"/>
  <c r="AK3" i="83"/>
  <c r="T3" i="83"/>
  <c r="S3" i="83"/>
  <c r="AT2" i="83"/>
  <c r="AS2" i="83"/>
  <c r="AR2" i="83"/>
  <c r="AQ2" i="83"/>
  <c r="AP2" i="83"/>
  <c r="AO2" i="83"/>
  <c r="AN2" i="83"/>
  <c r="T2" i="83"/>
  <c r="S2" i="83"/>
  <c r="F1" i="83"/>
  <c r="S45" i="82"/>
  <c r="R45" i="82"/>
  <c r="P45" i="82"/>
  <c r="N45" i="82"/>
  <c r="L45" i="82"/>
  <c r="J45" i="82"/>
  <c r="I45" i="82"/>
  <c r="H45" i="82"/>
  <c r="BU44" i="82"/>
  <c r="BT44" i="82"/>
  <c r="BS44" i="82"/>
  <c r="BR44" i="82"/>
  <c r="BQ44" i="82"/>
  <c r="O44" i="82"/>
  <c r="K44" i="82"/>
  <c r="B44" i="82"/>
  <c r="BU43" i="82"/>
  <c r="BT43" i="82"/>
  <c r="BS43" i="82"/>
  <c r="BR43" i="82"/>
  <c r="BQ43" i="82"/>
  <c r="O43" i="82"/>
  <c r="K43" i="82"/>
  <c r="B43" i="82"/>
  <c r="BU42" i="82"/>
  <c r="BT42" i="82"/>
  <c r="BS42" i="82"/>
  <c r="BR42" i="82"/>
  <c r="BQ42" i="82"/>
  <c r="O42" i="82"/>
  <c r="K42" i="82"/>
  <c r="B42" i="82"/>
  <c r="BU41" i="82"/>
  <c r="BT41" i="82"/>
  <c r="BS41" i="82"/>
  <c r="BR41" i="82"/>
  <c r="BQ41" i="82"/>
  <c r="O41" i="82"/>
  <c r="K41" i="82"/>
  <c r="B41" i="82"/>
  <c r="BU40" i="82"/>
  <c r="BT40" i="82"/>
  <c r="BS40" i="82"/>
  <c r="BR40" i="82"/>
  <c r="BQ40" i="82"/>
  <c r="O40" i="82"/>
  <c r="K40" i="82"/>
  <c r="B40" i="82"/>
  <c r="BU39" i="82"/>
  <c r="BT39" i="82"/>
  <c r="BS39" i="82"/>
  <c r="BR39" i="82"/>
  <c r="BQ39" i="82"/>
  <c r="O39" i="82"/>
  <c r="K39" i="82"/>
  <c r="B39" i="82"/>
  <c r="BU38" i="82"/>
  <c r="BT38" i="82"/>
  <c r="BS38" i="82"/>
  <c r="BR38" i="82"/>
  <c r="BQ38" i="82"/>
  <c r="O38" i="82"/>
  <c r="K38" i="82"/>
  <c r="B38" i="82"/>
  <c r="BU37" i="82"/>
  <c r="BT37" i="82"/>
  <c r="BS37" i="82"/>
  <c r="BR37" i="82"/>
  <c r="BQ37" i="82"/>
  <c r="O37" i="82"/>
  <c r="K37" i="82"/>
  <c r="B37" i="82"/>
  <c r="BU36" i="82"/>
  <c r="BT36" i="82"/>
  <c r="BS36" i="82"/>
  <c r="BR36" i="82"/>
  <c r="BQ36" i="82"/>
  <c r="O36" i="82"/>
  <c r="K36" i="82"/>
  <c r="B36" i="82"/>
  <c r="BU35" i="82"/>
  <c r="BT35" i="82"/>
  <c r="BS35" i="82"/>
  <c r="BR35" i="82"/>
  <c r="BQ35" i="82"/>
  <c r="O35" i="82"/>
  <c r="K35" i="82"/>
  <c r="B35" i="82"/>
  <c r="BU34" i="82"/>
  <c r="BT34" i="82"/>
  <c r="BS34" i="82"/>
  <c r="BR34" i="82"/>
  <c r="BQ34" i="82"/>
  <c r="O34" i="82"/>
  <c r="K34" i="82"/>
  <c r="B34" i="82"/>
  <c r="BU33" i="82"/>
  <c r="BT33" i="82"/>
  <c r="BS33" i="82"/>
  <c r="BR33" i="82"/>
  <c r="BQ33" i="82"/>
  <c r="O33" i="82"/>
  <c r="K33" i="82"/>
  <c r="B33" i="82"/>
  <c r="BU32" i="82"/>
  <c r="BT32" i="82"/>
  <c r="BS32" i="82"/>
  <c r="BR32" i="82"/>
  <c r="BQ32" i="82"/>
  <c r="O32" i="82"/>
  <c r="K32" i="82"/>
  <c r="B32" i="82"/>
  <c r="BU31" i="82"/>
  <c r="BT31" i="82"/>
  <c r="BS31" i="82"/>
  <c r="BR31" i="82"/>
  <c r="BQ31" i="82"/>
  <c r="O31" i="82"/>
  <c r="K31" i="82"/>
  <c r="B31" i="82"/>
  <c r="BU30" i="82"/>
  <c r="BT30" i="82"/>
  <c r="BS30" i="82"/>
  <c r="BR30" i="82"/>
  <c r="BQ30" i="82"/>
  <c r="O30" i="82"/>
  <c r="K30" i="82"/>
  <c r="B30" i="82"/>
  <c r="BU29" i="82"/>
  <c r="BT29" i="82"/>
  <c r="BS29" i="82"/>
  <c r="BR29" i="82"/>
  <c r="BQ29" i="82"/>
  <c r="O29" i="82"/>
  <c r="K29" i="82"/>
  <c r="B29" i="82"/>
  <c r="BU28" i="82"/>
  <c r="BT28" i="82"/>
  <c r="BS28" i="82"/>
  <c r="BR28" i="82"/>
  <c r="BQ28" i="82"/>
  <c r="O28" i="82"/>
  <c r="K28" i="82"/>
  <c r="B28" i="82"/>
  <c r="BU27" i="82"/>
  <c r="BT27" i="82"/>
  <c r="BS27" i="82"/>
  <c r="BR27" i="82"/>
  <c r="BQ27" i="82"/>
  <c r="O27" i="82"/>
  <c r="K27" i="82"/>
  <c r="B27" i="82"/>
  <c r="BU26" i="82"/>
  <c r="BT26" i="82"/>
  <c r="BS26" i="82"/>
  <c r="BR26" i="82"/>
  <c r="BQ26" i="82"/>
  <c r="O26" i="82"/>
  <c r="K26" i="82"/>
  <c r="B26" i="82"/>
  <c r="BU25" i="82"/>
  <c r="BT25" i="82"/>
  <c r="BS25" i="82"/>
  <c r="BR25" i="82"/>
  <c r="BQ25" i="82"/>
  <c r="O25" i="82"/>
  <c r="K25" i="82"/>
  <c r="B25" i="82"/>
  <c r="BU24" i="82"/>
  <c r="BT24" i="82"/>
  <c r="BS24" i="82"/>
  <c r="BR24" i="82"/>
  <c r="BQ24" i="82"/>
  <c r="O24" i="82"/>
  <c r="K24" i="82"/>
  <c r="B24" i="82"/>
  <c r="BU23" i="82"/>
  <c r="BT23" i="82"/>
  <c r="BS23" i="82"/>
  <c r="BR23" i="82"/>
  <c r="BQ23" i="82"/>
  <c r="O23" i="82"/>
  <c r="K23" i="82"/>
  <c r="B23" i="82"/>
  <c r="BU22" i="82"/>
  <c r="BT22" i="82"/>
  <c r="BS22" i="82"/>
  <c r="BR22" i="82"/>
  <c r="BQ22" i="82"/>
  <c r="O22" i="82"/>
  <c r="K22" i="82"/>
  <c r="B22" i="82"/>
  <c r="BU21" i="82"/>
  <c r="BT21" i="82"/>
  <c r="BS21" i="82"/>
  <c r="BR21" i="82"/>
  <c r="BQ21" i="82"/>
  <c r="O21" i="82"/>
  <c r="K21" i="82"/>
  <c r="B21" i="82"/>
  <c r="BU20" i="82"/>
  <c r="BT20" i="82"/>
  <c r="BS20" i="82"/>
  <c r="BR20" i="82"/>
  <c r="BQ20" i="82"/>
  <c r="O20" i="82"/>
  <c r="K20" i="82"/>
  <c r="B20" i="82"/>
  <c r="O19" i="82"/>
  <c r="K19" i="82"/>
  <c r="B19" i="82"/>
  <c r="O18" i="82"/>
  <c r="K18" i="82"/>
  <c r="B18" i="82"/>
  <c r="O17" i="82"/>
  <c r="K17" i="82"/>
  <c r="B17" i="82"/>
  <c r="O16" i="82"/>
  <c r="K16" i="82"/>
  <c r="B16" i="82"/>
  <c r="O15" i="82"/>
  <c r="K15" i="82"/>
  <c r="B15" i="82"/>
  <c r="BU14" i="82"/>
  <c r="BU19" i="82" s="1"/>
  <c r="BT14" i="82"/>
  <c r="BT19" i="82" s="1"/>
  <c r="BS14" i="82"/>
  <c r="BS19" i="82" s="1"/>
  <c r="BR14" i="82"/>
  <c r="BQ14" i="82"/>
  <c r="BQ19" i="82" s="1"/>
  <c r="V13" i="82"/>
  <c r="BC13" i="82" s="1"/>
  <c r="U13" i="82"/>
  <c r="BB13" i="82" s="1"/>
  <c r="D13" i="82"/>
  <c r="C13" i="82"/>
  <c r="F11" i="82"/>
  <c r="F10" i="82"/>
  <c r="H9" i="82"/>
  <c r="F9" i="82"/>
  <c r="H8" i="82"/>
  <c r="F8" i="82"/>
  <c r="H7" i="82"/>
  <c r="F7" i="82"/>
  <c r="H6" i="82"/>
  <c r="F6" i="82"/>
  <c r="H5" i="82"/>
  <c r="F5" i="82"/>
  <c r="F4" i="82"/>
  <c r="AK3" i="82"/>
  <c r="T3" i="82"/>
  <c r="S3" i="82"/>
  <c r="AT2" i="82"/>
  <c r="AS2" i="82"/>
  <c r="AR2" i="82"/>
  <c r="AQ2" i="82"/>
  <c r="AP2" i="82"/>
  <c r="AO2" i="82"/>
  <c r="AN2" i="82"/>
  <c r="T2" i="82"/>
  <c r="S2" i="82"/>
  <c r="F1" i="82"/>
  <c r="S45" i="81"/>
  <c r="R45" i="81"/>
  <c r="P45" i="81"/>
  <c r="N45" i="81"/>
  <c r="L45" i="81"/>
  <c r="J45" i="81"/>
  <c r="I45" i="81"/>
  <c r="H45" i="81"/>
  <c r="BU44" i="81"/>
  <c r="BT44" i="81"/>
  <c r="BS44" i="81"/>
  <c r="BR44" i="81"/>
  <c r="BQ44" i="81"/>
  <c r="O44" i="81"/>
  <c r="K44" i="81"/>
  <c r="B44" i="81"/>
  <c r="BU43" i="81"/>
  <c r="BT43" i="81"/>
  <c r="BS43" i="81"/>
  <c r="BR43" i="81"/>
  <c r="BQ43" i="81"/>
  <c r="O43" i="81"/>
  <c r="K43" i="81"/>
  <c r="B43" i="81"/>
  <c r="BU42" i="81"/>
  <c r="BT42" i="81"/>
  <c r="BS42" i="81"/>
  <c r="BR42" i="81"/>
  <c r="BQ42" i="81"/>
  <c r="O42" i="81"/>
  <c r="K42" i="81"/>
  <c r="B42" i="81"/>
  <c r="BU41" i="81"/>
  <c r="BT41" i="81"/>
  <c r="BS41" i="81"/>
  <c r="BR41" i="81"/>
  <c r="BQ41" i="81"/>
  <c r="O41" i="81"/>
  <c r="K41" i="81"/>
  <c r="B41" i="81"/>
  <c r="BU40" i="81"/>
  <c r="BT40" i="81"/>
  <c r="BS40" i="81"/>
  <c r="BR40" i="81"/>
  <c r="BQ40" i="81"/>
  <c r="O40" i="81"/>
  <c r="K40" i="81"/>
  <c r="B40" i="81"/>
  <c r="BU39" i="81"/>
  <c r="BT39" i="81"/>
  <c r="BS39" i="81"/>
  <c r="BR39" i="81"/>
  <c r="BQ39" i="81"/>
  <c r="O39" i="81"/>
  <c r="K39" i="81"/>
  <c r="B39" i="81"/>
  <c r="BU38" i="81"/>
  <c r="BT38" i="81"/>
  <c r="BS38" i="81"/>
  <c r="BR38" i="81"/>
  <c r="BQ38" i="81"/>
  <c r="O38" i="81"/>
  <c r="K38" i="81"/>
  <c r="B38" i="81"/>
  <c r="BU37" i="81"/>
  <c r="BT37" i="81"/>
  <c r="BS37" i="81"/>
  <c r="BR37" i="81"/>
  <c r="BQ37" i="81"/>
  <c r="O37" i="81"/>
  <c r="K37" i="81"/>
  <c r="B37" i="81"/>
  <c r="BU36" i="81"/>
  <c r="BT36" i="81"/>
  <c r="BS36" i="81"/>
  <c r="BR36" i="81"/>
  <c r="BQ36" i="81"/>
  <c r="O36" i="81"/>
  <c r="K36" i="81"/>
  <c r="B36" i="81"/>
  <c r="BU35" i="81"/>
  <c r="BT35" i="81"/>
  <c r="BS35" i="81"/>
  <c r="BR35" i="81"/>
  <c r="BQ35" i="81"/>
  <c r="O35" i="81"/>
  <c r="K35" i="81"/>
  <c r="B35" i="81"/>
  <c r="BU34" i="81"/>
  <c r="BT34" i="81"/>
  <c r="BS34" i="81"/>
  <c r="BR34" i="81"/>
  <c r="BQ34" i="81"/>
  <c r="O34" i="81"/>
  <c r="K34" i="81"/>
  <c r="B34" i="81"/>
  <c r="BU33" i="81"/>
  <c r="BT33" i="81"/>
  <c r="BS33" i="81"/>
  <c r="BR33" i="81"/>
  <c r="BQ33" i="81"/>
  <c r="O33" i="81"/>
  <c r="K33" i="81"/>
  <c r="B33" i="81"/>
  <c r="BU32" i="81"/>
  <c r="BT32" i="81"/>
  <c r="BS32" i="81"/>
  <c r="BR32" i="81"/>
  <c r="BQ32" i="81"/>
  <c r="O32" i="81"/>
  <c r="K32" i="81"/>
  <c r="B32" i="81"/>
  <c r="BU31" i="81"/>
  <c r="BT31" i="81"/>
  <c r="BS31" i="81"/>
  <c r="BR31" i="81"/>
  <c r="BQ31" i="81"/>
  <c r="O31" i="81"/>
  <c r="K31" i="81"/>
  <c r="B31" i="81"/>
  <c r="BU30" i="81"/>
  <c r="BT30" i="81"/>
  <c r="BS30" i="81"/>
  <c r="BR30" i="81"/>
  <c r="BQ30" i="81"/>
  <c r="O30" i="81"/>
  <c r="K30" i="81"/>
  <c r="B30" i="81"/>
  <c r="BU29" i="81"/>
  <c r="BT29" i="81"/>
  <c r="BS29" i="81"/>
  <c r="BR29" i="81"/>
  <c r="BQ29" i="81"/>
  <c r="O29" i="81"/>
  <c r="K29" i="81"/>
  <c r="B29" i="81"/>
  <c r="BU28" i="81"/>
  <c r="BT28" i="81"/>
  <c r="BS28" i="81"/>
  <c r="BR28" i="81"/>
  <c r="BQ28" i="81"/>
  <c r="O28" i="81"/>
  <c r="K28" i="81"/>
  <c r="B28" i="81"/>
  <c r="BU27" i="81"/>
  <c r="BT27" i="81"/>
  <c r="BS27" i="81"/>
  <c r="BR27" i="81"/>
  <c r="BQ27" i="81"/>
  <c r="O27" i="81"/>
  <c r="K27" i="81"/>
  <c r="B27" i="81"/>
  <c r="BU26" i="81"/>
  <c r="BT26" i="81"/>
  <c r="BS26" i="81"/>
  <c r="BR26" i="81"/>
  <c r="BQ26" i="81"/>
  <c r="O26" i="81"/>
  <c r="K26" i="81"/>
  <c r="B26" i="81"/>
  <c r="BU25" i="81"/>
  <c r="BT25" i="81"/>
  <c r="BS25" i="81"/>
  <c r="BR25" i="81"/>
  <c r="BQ25" i="81"/>
  <c r="O25" i="81"/>
  <c r="K25" i="81"/>
  <c r="B25" i="81"/>
  <c r="BU24" i="81"/>
  <c r="BT24" i="81"/>
  <c r="BS24" i="81"/>
  <c r="BR24" i="81"/>
  <c r="BQ24" i="81"/>
  <c r="O24" i="81"/>
  <c r="K24" i="81"/>
  <c r="B24" i="81"/>
  <c r="BU23" i="81"/>
  <c r="BT23" i="81"/>
  <c r="BS23" i="81"/>
  <c r="BR23" i="81"/>
  <c r="BQ23" i="81"/>
  <c r="O23" i="81"/>
  <c r="K23" i="81"/>
  <c r="B23" i="81"/>
  <c r="BU22" i="81"/>
  <c r="BT22" i="81"/>
  <c r="BS22" i="81"/>
  <c r="BR22" i="81"/>
  <c r="BQ22" i="81"/>
  <c r="O22" i="81"/>
  <c r="K22" i="81"/>
  <c r="B22" i="81"/>
  <c r="BU21" i="81"/>
  <c r="BT21" i="81"/>
  <c r="BS21" i="81"/>
  <c r="BR21" i="81"/>
  <c r="BQ21" i="81"/>
  <c r="O21" i="81"/>
  <c r="K21" i="81"/>
  <c r="B21" i="81"/>
  <c r="BU20" i="81"/>
  <c r="BT20" i="81"/>
  <c r="BS20" i="81"/>
  <c r="BR20" i="81"/>
  <c r="BQ20" i="81"/>
  <c r="O20" i="81"/>
  <c r="K20" i="81"/>
  <c r="B20" i="81"/>
  <c r="O19" i="81"/>
  <c r="K19" i="81"/>
  <c r="B19" i="81"/>
  <c r="O18" i="81"/>
  <c r="K18" i="81"/>
  <c r="B18" i="81"/>
  <c r="O17" i="81"/>
  <c r="K17" i="81"/>
  <c r="B17" i="81"/>
  <c r="O16" i="81"/>
  <c r="K16" i="81"/>
  <c r="B16" i="81"/>
  <c r="O15" i="81"/>
  <c r="K15" i="81"/>
  <c r="B15" i="81"/>
  <c r="BU14" i="81"/>
  <c r="BT14" i="81"/>
  <c r="BT16" i="81" s="1"/>
  <c r="BS14" i="81"/>
  <c r="BR14" i="81"/>
  <c r="BQ14" i="81"/>
  <c r="BQ18" i="81" s="1"/>
  <c r="V13" i="81"/>
  <c r="BC13" i="81" s="1"/>
  <c r="U13" i="81"/>
  <c r="BB13" i="81" s="1"/>
  <c r="D13" i="81"/>
  <c r="C13" i="81"/>
  <c r="F11" i="81"/>
  <c r="F10" i="81"/>
  <c r="H9" i="81"/>
  <c r="F9" i="81"/>
  <c r="H8" i="81"/>
  <c r="F8" i="81"/>
  <c r="H7" i="81"/>
  <c r="F7" i="81"/>
  <c r="H6" i="81"/>
  <c r="F6" i="81"/>
  <c r="H5" i="81"/>
  <c r="F5" i="81"/>
  <c r="F4" i="81"/>
  <c r="AK3" i="81"/>
  <c r="T3" i="81"/>
  <c r="S3" i="81"/>
  <c r="AT2" i="81"/>
  <c r="AS2" i="81"/>
  <c r="AR2" i="81"/>
  <c r="AQ2" i="81"/>
  <c r="AP2" i="81"/>
  <c r="AO2" i="81"/>
  <c r="AN2" i="81"/>
  <c r="T2" i="81"/>
  <c r="S2" i="81"/>
  <c r="F1" i="81"/>
  <c r="S45" i="80"/>
  <c r="R45" i="80"/>
  <c r="P45" i="80"/>
  <c r="N45" i="80"/>
  <c r="L45" i="80"/>
  <c r="J45" i="80"/>
  <c r="I45" i="80"/>
  <c r="H45" i="80"/>
  <c r="BU44" i="80"/>
  <c r="BT44" i="80"/>
  <c r="BS44" i="80"/>
  <c r="BR44" i="80"/>
  <c r="BQ44" i="80"/>
  <c r="O44" i="80"/>
  <c r="K44" i="80"/>
  <c r="B44" i="80"/>
  <c r="BU43" i="80"/>
  <c r="BT43" i="80"/>
  <c r="BS43" i="80"/>
  <c r="BR43" i="80"/>
  <c r="BQ43" i="80"/>
  <c r="O43" i="80"/>
  <c r="K43" i="80"/>
  <c r="B43" i="80"/>
  <c r="BU42" i="80"/>
  <c r="BT42" i="80"/>
  <c r="BS42" i="80"/>
  <c r="BR42" i="80"/>
  <c r="BQ42" i="80"/>
  <c r="O42" i="80"/>
  <c r="K42" i="80"/>
  <c r="B42" i="80"/>
  <c r="BU41" i="80"/>
  <c r="BT41" i="80"/>
  <c r="BS41" i="80"/>
  <c r="BR41" i="80"/>
  <c r="BQ41" i="80"/>
  <c r="O41" i="80"/>
  <c r="K41" i="80"/>
  <c r="B41" i="80"/>
  <c r="BU40" i="80"/>
  <c r="BT40" i="80"/>
  <c r="BS40" i="80"/>
  <c r="BR40" i="80"/>
  <c r="BQ40" i="80"/>
  <c r="O40" i="80"/>
  <c r="K40" i="80"/>
  <c r="B40" i="80"/>
  <c r="BU39" i="80"/>
  <c r="BT39" i="80"/>
  <c r="BS39" i="80"/>
  <c r="BR39" i="80"/>
  <c r="BQ39" i="80"/>
  <c r="O39" i="80"/>
  <c r="K39" i="80"/>
  <c r="B39" i="80"/>
  <c r="BU38" i="80"/>
  <c r="BT38" i="80"/>
  <c r="BS38" i="80"/>
  <c r="BR38" i="80"/>
  <c r="BQ38" i="80"/>
  <c r="O38" i="80"/>
  <c r="K38" i="80"/>
  <c r="B38" i="80"/>
  <c r="BU37" i="80"/>
  <c r="BT37" i="80"/>
  <c r="BS37" i="80"/>
  <c r="BR37" i="80"/>
  <c r="BQ37" i="80"/>
  <c r="O37" i="80"/>
  <c r="K37" i="80"/>
  <c r="B37" i="80"/>
  <c r="BU36" i="80"/>
  <c r="BT36" i="80"/>
  <c r="BS36" i="80"/>
  <c r="BR36" i="80"/>
  <c r="BQ36" i="80"/>
  <c r="O36" i="80"/>
  <c r="K36" i="80"/>
  <c r="B36" i="80"/>
  <c r="BU35" i="80"/>
  <c r="BT35" i="80"/>
  <c r="BS35" i="80"/>
  <c r="BR35" i="80"/>
  <c r="BQ35" i="80"/>
  <c r="O35" i="80"/>
  <c r="K35" i="80"/>
  <c r="B35" i="80"/>
  <c r="BU34" i="80"/>
  <c r="BT34" i="80"/>
  <c r="BS34" i="80"/>
  <c r="BR34" i="80"/>
  <c r="BQ34" i="80"/>
  <c r="O34" i="80"/>
  <c r="K34" i="80"/>
  <c r="B34" i="80"/>
  <c r="BU33" i="80"/>
  <c r="BT33" i="80"/>
  <c r="BS33" i="80"/>
  <c r="BR33" i="80"/>
  <c r="BQ33" i="80"/>
  <c r="O33" i="80"/>
  <c r="K33" i="80"/>
  <c r="B33" i="80"/>
  <c r="BU32" i="80"/>
  <c r="BT32" i="80"/>
  <c r="BS32" i="80"/>
  <c r="BR32" i="80"/>
  <c r="BQ32" i="80"/>
  <c r="O32" i="80"/>
  <c r="K32" i="80"/>
  <c r="B32" i="80"/>
  <c r="BU31" i="80"/>
  <c r="BT31" i="80"/>
  <c r="BS31" i="80"/>
  <c r="BR31" i="80"/>
  <c r="BQ31" i="80"/>
  <c r="O31" i="80"/>
  <c r="K31" i="80"/>
  <c r="B31" i="80"/>
  <c r="BU30" i="80"/>
  <c r="BT30" i="80"/>
  <c r="BS30" i="80"/>
  <c r="BR30" i="80"/>
  <c r="BQ30" i="80"/>
  <c r="O30" i="80"/>
  <c r="K30" i="80"/>
  <c r="B30" i="80"/>
  <c r="BU29" i="80"/>
  <c r="BT29" i="80"/>
  <c r="BS29" i="80"/>
  <c r="BR29" i="80"/>
  <c r="BQ29" i="80"/>
  <c r="O29" i="80"/>
  <c r="K29" i="80"/>
  <c r="B29" i="80"/>
  <c r="BU28" i="80"/>
  <c r="BT28" i="80"/>
  <c r="BS28" i="80"/>
  <c r="BR28" i="80"/>
  <c r="BQ28" i="80"/>
  <c r="O28" i="80"/>
  <c r="K28" i="80"/>
  <c r="B28" i="80"/>
  <c r="BU27" i="80"/>
  <c r="BT27" i="80"/>
  <c r="BS27" i="80"/>
  <c r="BR27" i="80"/>
  <c r="BQ27" i="80"/>
  <c r="O27" i="80"/>
  <c r="K27" i="80"/>
  <c r="B27" i="80"/>
  <c r="BU26" i="80"/>
  <c r="BT26" i="80"/>
  <c r="BS26" i="80"/>
  <c r="BR26" i="80"/>
  <c r="BQ26" i="80"/>
  <c r="O26" i="80"/>
  <c r="K26" i="80"/>
  <c r="B26" i="80"/>
  <c r="BU25" i="80"/>
  <c r="BT25" i="80"/>
  <c r="BS25" i="80"/>
  <c r="BR25" i="80"/>
  <c r="BQ25" i="80"/>
  <c r="O25" i="80"/>
  <c r="K25" i="80"/>
  <c r="B25" i="80"/>
  <c r="BU24" i="80"/>
  <c r="BT24" i="80"/>
  <c r="BS24" i="80"/>
  <c r="BR24" i="80"/>
  <c r="BQ24" i="80"/>
  <c r="O24" i="80"/>
  <c r="K24" i="80"/>
  <c r="B24" i="80"/>
  <c r="BU23" i="80"/>
  <c r="BT23" i="80"/>
  <c r="BS23" i="80"/>
  <c r="BR23" i="80"/>
  <c r="BQ23" i="80"/>
  <c r="O23" i="80"/>
  <c r="K23" i="80"/>
  <c r="B23" i="80"/>
  <c r="BU22" i="80"/>
  <c r="BT22" i="80"/>
  <c r="BS22" i="80"/>
  <c r="BR22" i="80"/>
  <c r="BQ22" i="80"/>
  <c r="O22" i="80"/>
  <c r="K22" i="80"/>
  <c r="B22" i="80"/>
  <c r="BU21" i="80"/>
  <c r="BT21" i="80"/>
  <c r="BS21" i="80"/>
  <c r="BR21" i="80"/>
  <c r="BQ21" i="80"/>
  <c r="O21" i="80"/>
  <c r="B21" i="80"/>
  <c r="BU20" i="80"/>
  <c r="BT20" i="80"/>
  <c r="BS20" i="80"/>
  <c r="BR20" i="80"/>
  <c r="BQ20" i="80"/>
  <c r="O20" i="80"/>
  <c r="B20" i="80"/>
  <c r="BU19" i="80"/>
  <c r="BT19" i="80"/>
  <c r="BS19" i="80"/>
  <c r="BR19" i="80"/>
  <c r="BQ19" i="80"/>
  <c r="O19" i="80"/>
  <c r="B19" i="80"/>
  <c r="BU18" i="80"/>
  <c r="BT18" i="80"/>
  <c r="BS18" i="80"/>
  <c r="BR18" i="80"/>
  <c r="BQ18" i="80"/>
  <c r="O18" i="80"/>
  <c r="B18" i="80"/>
  <c r="BU17" i="80"/>
  <c r="BT17" i="80"/>
  <c r="BS17" i="80"/>
  <c r="BR17" i="80"/>
  <c r="BQ17" i="80"/>
  <c r="O17" i="80"/>
  <c r="B17" i="80"/>
  <c r="BU16" i="80"/>
  <c r="BT16" i="80"/>
  <c r="BS16" i="80"/>
  <c r="BR16" i="80"/>
  <c r="BQ16" i="80"/>
  <c r="O16" i="80"/>
  <c r="B16" i="80"/>
  <c r="BU15" i="80"/>
  <c r="BT15" i="80"/>
  <c r="BS15" i="80"/>
  <c r="BR15" i="80"/>
  <c r="BQ15" i="80"/>
  <c r="O15" i="80"/>
  <c r="B15" i="80"/>
  <c r="BU14" i="80"/>
  <c r="BT14" i="80"/>
  <c r="BS14" i="80"/>
  <c r="BR14" i="80"/>
  <c r="BQ14" i="80"/>
  <c r="V13" i="80"/>
  <c r="BC13" i="80" s="1"/>
  <c r="U13" i="80"/>
  <c r="BB13" i="80" s="1"/>
  <c r="D13" i="80"/>
  <c r="C13" i="80"/>
  <c r="F11" i="80"/>
  <c r="F10" i="80"/>
  <c r="H9" i="80"/>
  <c r="F9" i="80"/>
  <c r="H8" i="80"/>
  <c r="F8" i="80"/>
  <c r="H7" i="80"/>
  <c r="F7" i="80"/>
  <c r="H6" i="80"/>
  <c r="F6" i="80"/>
  <c r="H5" i="80"/>
  <c r="F5" i="80"/>
  <c r="F4" i="80"/>
  <c r="AK3" i="80"/>
  <c r="T3" i="80"/>
  <c r="S3" i="80"/>
  <c r="AT2" i="80"/>
  <c r="AS2" i="80"/>
  <c r="AR2" i="80"/>
  <c r="AQ2" i="80"/>
  <c r="AP2" i="80"/>
  <c r="AO2" i="80"/>
  <c r="AN2" i="80"/>
  <c r="T2" i="80"/>
  <c r="S2" i="80"/>
  <c r="F1" i="80"/>
  <c r="S45" i="79"/>
  <c r="R45" i="79"/>
  <c r="P45" i="79"/>
  <c r="N45" i="79"/>
  <c r="L45" i="79"/>
  <c r="J45" i="79"/>
  <c r="I45" i="79"/>
  <c r="H45" i="79"/>
  <c r="BU44" i="79"/>
  <c r="BT44" i="79"/>
  <c r="BS44" i="79"/>
  <c r="BR44" i="79"/>
  <c r="BQ44" i="79"/>
  <c r="O44" i="79"/>
  <c r="K44" i="79"/>
  <c r="B44" i="79"/>
  <c r="BU43" i="79"/>
  <c r="BT43" i="79"/>
  <c r="BS43" i="79"/>
  <c r="BR43" i="79"/>
  <c r="BQ43" i="79"/>
  <c r="O43" i="79"/>
  <c r="K43" i="79"/>
  <c r="B43" i="79"/>
  <c r="BU42" i="79"/>
  <c r="BT42" i="79"/>
  <c r="BS42" i="79"/>
  <c r="BR42" i="79"/>
  <c r="BQ42" i="79"/>
  <c r="O42" i="79"/>
  <c r="K42" i="79"/>
  <c r="B42" i="79"/>
  <c r="BU41" i="79"/>
  <c r="BT41" i="79"/>
  <c r="BS41" i="79"/>
  <c r="BR41" i="79"/>
  <c r="BQ41" i="79"/>
  <c r="O41" i="79"/>
  <c r="K41" i="79"/>
  <c r="B41" i="79"/>
  <c r="BU40" i="79"/>
  <c r="BT40" i="79"/>
  <c r="BS40" i="79"/>
  <c r="BR40" i="79"/>
  <c r="BQ40" i="79"/>
  <c r="O40" i="79"/>
  <c r="K40" i="79"/>
  <c r="B40" i="79"/>
  <c r="BU39" i="79"/>
  <c r="BT39" i="79"/>
  <c r="BS39" i="79"/>
  <c r="BR39" i="79"/>
  <c r="BQ39" i="79"/>
  <c r="O39" i="79"/>
  <c r="K39" i="79"/>
  <c r="B39" i="79"/>
  <c r="BU38" i="79"/>
  <c r="BT38" i="79"/>
  <c r="BS38" i="79"/>
  <c r="BR38" i="79"/>
  <c r="BQ38" i="79"/>
  <c r="O38" i="79"/>
  <c r="K38" i="79"/>
  <c r="B38" i="79"/>
  <c r="BU37" i="79"/>
  <c r="BT37" i="79"/>
  <c r="BS37" i="79"/>
  <c r="BR37" i="79"/>
  <c r="BQ37" i="79"/>
  <c r="O37" i="79"/>
  <c r="K37" i="79"/>
  <c r="B37" i="79"/>
  <c r="BU36" i="79"/>
  <c r="BT36" i="79"/>
  <c r="BS36" i="79"/>
  <c r="BR36" i="79"/>
  <c r="BQ36" i="79"/>
  <c r="O36" i="79"/>
  <c r="K36" i="79"/>
  <c r="B36" i="79"/>
  <c r="BU35" i="79"/>
  <c r="BT35" i="79"/>
  <c r="BS35" i="79"/>
  <c r="BR35" i="79"/>
  <c r="BQ35" i="79"/>
  <c r="O35" i="79"/>
  <c r="K35" i="79"/>
  <c r="B35" i="79"/>
  <c r="BU34" i="79"/>
  <c r="BT34" i="79"/>
  <c r="BS34" i="79"/>
  <c r="BR34" i="79"/>
  <c r="BQ34" i="79"/>
  <c r="O34" i="79"/>
  <c r="K34" i="79"/>
  <c r="B34" i="79"/>
  <c r="BU33" i="79"/>
  <c r="BT33" i="79"/>
  <c r="BS33" i="79"/>
  <c r="BR33" i="79"/>
  <c r="BQ33" i="79"/>
  <c r="O33" i="79"/>
  <c r="K33" i="79"/>
  <c r="B33" i="79"/>
  <c r="BU32" i="79"/>
  <c r="BT32" i="79"/>
  <c r="BS32" i="79"/>
  <c r="BR32" i="79"/>
  <c r="BQ32" i="79"/>
  <c r="O32" i="79"/>
  <c r="K32" i="79"/>
  <c r="B32" i="79"/>
  <c r="BU31" i="79"/>
  <c r="BT31" i="79"/>
  <c r="BS31" i="79"/>
  <c r="BR31" i="79"/>
  <c r="BQ31" i="79"/>
  <c r="O31" i="79"/>
  <c r="K31" i="79"/>
  <c r="B31" i="79"/>
  <c r="BU30" i="79"/>
  <c r="BT30" i="79"/>
  <c r="BS30" i="79"/>
  <c r="BR30" i="79"/>
  <c r="BQ30" i="79"/>
  <c r="O30" i="79"/>
  <c r="K30" i="79"/>
  <c r="B30" i="79"/>
  <c r="BU29" i="79"/>
  <c r="BT29" i="79"/>
  <c r="BS29" i="79"/>
  <c r="BR29" i="79"/>
  <c r="BQ29" i="79"/>
  <c r="O29" i="79"/>
  <c r="K29" i="79"/>
  <c r="B29" i="79"/>
  <c r="BU28" i="79"/>
  <c r="BT28" i="79"/>
  <c r="BS28" i="79"/>
  <c r="BR28" i="79"/>
  <c r="BQ28" i="79"/>
  <c r="O28" i="79"/>
  <c r="K28" i="79"/>
  <c r="B28" i="79"/>
  <c r="BU27" i="79"/>
  <c r="BT27" i="79"/>
  <c r="BS27" i="79"/>
  <c r="BR27" i="79"/>
  <c r="BQ27" i="79"/>
  <c r="O27" i="79"/>
  <c r="K27" i="79"/>
  <c r="B27" i="79"/>
  <c r="BU26" i="79"/>
  <c r="BT26" i="79"/>
  <c r="BS26" i="79"/>
  <c r="BR26" i="79"/>
  <c r="BQ26" i="79"/>
  <c r="O26" i="79"/>
  <c r="K26" i="79"/>
  <c r="B26" i="79"/>
  <c r="BU25" i="79"/>
  <c r="BT25" i="79"/>
  <c r="BS25" i="79"/>
  <c r="BR25" i="79"/>
  <c r="BQ25" i="79"/>
  <c r="O25" i="79"/>
  <c r="K25" i="79"/>
  <c r="B25" i="79"/>
  <c r="BU24" i="79"/>
  <c r="BT24" i="79"/>
  <c r="BS24" i="79"/>
  <c r="BR24" i="79"/>
  <c r="BQ24" i="79"/>
  <c r="O24" i="79"/>
  <c r="K24" i="79"/>
  <c r="B24" i="79"/>
  <c r="BU23" i="79"/>
  <c r="BT23" i="79"/>
  <c r="BS23" i="79"/>
  <c r="BR23" i="79"/>
  <c r="BQ23" i="79"/>
  <c r="O23" i="79"/>
  <c r="K23" i="79"/>
  <c r="B23" i="79"/>
  <c r="BU22" i="79"/>
  <c r="BT22" i="79"/>
  <c r="BS22" i="79"/>
  <c r="BR22" i="79"/>
  <c r="BQ22" i="79"/>
  <c r="O22" i="79"/>
  <c r="K22" i="79"/>
  <c r="B22" i="79"/>
  <c r="BU21" i="79"/>
  <c r="BT21" i="79"/>
  <c r="BS21" i="79"/>
  <c r="BR21" i="79"/>
  <c r="BQ21" i="79"/>
  <c r="O21" i="79"/>
  <c r="K21" i="79"/>
  <c r="B21" i="79"/>
  <c r="BU20" i="79"/>
  <c r="BT20" i="79"/>
  <c r="BS20" i="79"/>
  <c r="BR20" i="79"/>
  <c r="BQ20" i="79"/>
  <c r="O20" i="79"/>
  <c r="K20" i="79"/>
  <c r="B20" i="79"/>
  <c r="BU19" i="79"/>
  <c r="BT19" i="79"/>
  <c r="BS19" i="79"/>
  <c r="BR19" i="79"/>
  <c r="BQ19" i="79"/>
  <c r="O19" i="79"/>
  <c r="K19" i="79"/>
  <c r="B19" i="79"/>
  <c r="BU18" i="79"/>
  <c r="BT18" i="79"/>
  <c r="BS18" i="79"/>
  <c r="BR18" i="79"/>
  <c r="BQ18" i="79"/>
  <c r="O18" i="79"/>
  <c r="K18" i="79"/>
  <c r="B18" i="79"/>
  <c r="BU17" i="79"/>
  <c r="BT17" i="79"/>
  <c r="BS17" i="79"/>
  <c r="BR17" i="79"/>
  <c r="BQ17" i="79"/>
  <c r="O17" i="79"/>
  <c r="K17" i="79"/>
  <c r="B17" i="79"/>
  <c r="O16" i="79"/>
  <c r="K16" i="79"/>
  <c r="B16" i="79"/>
  <c r="O15" i="79"/>
  <c r="K15" i="79"/>
  <c r="B15" i="79"/>
  <c r="BU14" i="79"/>
  <c r="BU16" i="79" s="1"/>
  <c r="BT14" i="79"/>
  <c r="BT16" i="79" s="1"/>
  <c r="BS14" i="79"/>
  <c r="BS16" i="79" s="1"/>
  <c r="BR14" i="79"/>
  <c r="BR16" i="79" s="1"/>
  <c r="BQ14" i="79"/>
  <c r="BQ16" i="79" s="1"/>
  <c r="V13" i="79"/>
  <c r="BC13" i="79" s="1"/>
  <c r="U13" i="79"/>
  <c r="BB13" i="79" s="1"/>
  <c r="D13" i="79"/>
  <c r="C13" i="79"/>
  <c r="F11" i="79"/>
  <c r="F10" i="79"/>
  <c r="H9" i="79"/>
  <c r="F9" i="79"/>
  <c r="H8" i="79"/>
  <c r="F8" i="79"/>
  <c r="H7" i="79"/>
  <c r="F7" i="79"/>
  <c r="H6" i="79"/>
  <c r="F6" i="79"/>
  <c r="H5" i="79"/>
  <c r="F5" i="79"/>
  <c r="F4" i="79"/>
  <c r="AK3" i="79"/>
  <c r="T3" i="79"/>
  <c r="S3" i="79"/>
  <c r="AT2" i="79"/>
  <c r="AS2" i="79"/>
  <c r="AR2" i="79"/>
  <c r="AQ2" i="79"/>
  <c r="AP2" i="79"/>
  <c r="AO2" i="79"/>
  <c r="AN2" i="79"/>
  <c r="T2" i="79"/>
  <c r="S2" i="79"/>
  <c r="F1" i="79"/>
  <c r="B16" i="78"/>
  <c r="B17" i="78"/>
  <c r="B18" i="78"/>
  <c r="B19" i="78"/>
  <c r="B20" i="78"/>
  <c r="B21" i="78"/>
  <c r="B22" i="78"/>
  <c r="B23" i="78"/>
  <c r="B24" i="78"/>
  <c r="B25" i="78"/>
  <c r="B26" i="78"/>
  <c r="B27" i="78"/>
  <c r="B28" i="78"/>
  <c r="B29" i="78"/>
  <c r="B30" i="78"/>
  <c r="B31" i="78"/>
  <c r="B32" i="78"/>
  <c r="B33" i="78"/>
  <c r="B34" i="78"/>
  <c r="B35" i="78"/>
  <c r="B36" i="78"/>
  <c r="B37" i="78"/>
  <c r="B38" i="78"/>
  <c r="B39" i="78"/>
  <c r="B40" i="78"/>
  <c r="B41" i="78"/>
  <c r="B42" i="78"/>
  <c r="B43" i="78"/>
  <c r="B44" i="78"/>
  <c r="B15" i="78"/>
  <c r="H5" i="78"/>
  <c r="H6" i="78"/>
  <c r="H7" i="78"/>
  <c r="H8" i="78"/>
  <c r="H9" i="78"/>
  <c r="F5" i="78"/>
  <c r="F6" i="78"/>
  <c r="F7" i="78"/>
  <c r="F8" i="78"/>
  <c r="F9" i="78"/>
  <c r="F10" i="78"/>
  <c r="F11" i="78"/>
  <c r="F4" i="78"/>
  <c r="I2" i="97" l="1"/>
  <c r="Y50" i="61"/>
  <c r="I2" i="85"/>
  <c r="I2" i="88"/>
  <c r="I2" i="80"/>
  <c r="I2" i="107"/>
  <c r="I2" i="114"/>
  <c r="I2" i="81"/>
  <c r="I2" i="92"/>
  <c r="I2" i="99"/>
  <c r="I2" i="87"/>
  <c r="BT16" i="96"/>
  <c r="I2" i="101"/>
  <c r="I2" i="95"/>
  <c r="I2" i="108"/>
  <c r="BR15" i="111"/>
  <c r="I2" i="79"/>
  <c r="I2" i="82"/>
  <c r="I2" i="84"/>
  <c r="I2" i="86"/>
  <c r="I2" i="106"/>
  <c r="I2" i="83"/>
  <c r="I2" i="91"/>
  <c r="I2" i="93"/>
  <c r="I2" i="96"/>
  <c r="I2" i="100"/>
  <c r="I2" i="105"/>
  <c r="BT19" i="86"/>
  <c r="I2" i="94"/>
  <c r="I2" i="117"/>
  <c r="I2" i="112"/>
  <c r="I2" i="90"/>
  <c r="I2" i="98"/>
  <c r="I2" i="102"/>
  <c r="I2" i="103"/>
  <c r="I2" i="116"/>
  <c r="I2" i="104"/>
  <c r="BR15" i="110"/>
  <c r="I2" i="111"/>
  <c r="BT15" i="107"/>
  <c r="BQ16" i="96"/>
  <c r="I2" i="110"/>
  <c r="I2" i="113"/>
  <c r="BS19" i="86"/>
  <c r="I2" i="89"/>
  <c r="I2" i="109"/>
  <c r="I2" i="115"/>
  <c r="AL50" i="61"/>
  <c r="BR16" i="97"/>
  <c r="BQ15" i="109"/>
  <c r="BR18" i="109"/>
  <c r="BT15" i="110"/>
  <c r="BR16" i="83"/>
  <c r="BS16" i="96"/>
  <c r="BT16" i="97"/>
  <c r="BR15" i="109"/>
  <c r="BS16" i="109"/>
  <c r="BU16" i="83"/>
  <c r="BT16" i="109"/>
  <c r="BT20" i="89"/>
  <c r="BQ16" i="107"/>
  <c r="Q9" i="114"/>
  <c r="BR16" i="96"/>
  <c r="BS16" i="107"/>
  <c r="BU16" i="107"/>
  <c r="BQ16" i="110"/>
  <c r="BQ16" i="111"/>
  <c r="BT15" i="109"/>
  <c r="K45" i="80"/>
  <c r="BS20" i="86"/>
  <c r="BR16" i="101"/>
  <c r="BQ18" i="109"/>
  <c r="BT16" i="111"/>
  <c r="BT20" i="86"/>
  <c r="BT16" i="101"/>
  <c r="BT18" i="109"/>
  <c r="Q9" i="112"/>
  <c r="BS18" i="86"/>
  <c r="BS17" i="109"/>
  <c r="BU15" i="111"/>
  <c r="K45" i="117"/>
  <c r="BT18" i="86"/>
  <c r="BS20" i="89"/>
  <c r="BS16" i="101"/>
  <c r="BR16" i="107"/>
  <c r="BU16" i="110"/>
  <c r="K45" i="112"/>
  <c r="BU18" i="86"/>
  <c r="BQ20" i="86"/>
  <c r="BU17" i="109"/>
  <c r="AV2" i="113"/>
  <c r="BR20" i="86"/>
  <c r="BU20" i="89"/>
  <c r="BU16" i="101"/>
  <c r="BR16" i="109"/>
  <c r="BS15" i="110"/>
  <c r="BQ19" i="86"/>
  <c r="BU20" i="86"/>
  <c r="BU16" i="109"/>
  <c r="BS16" i="111"/>
  <c r="BR19" i="86"/>
  <c r="BQ16" i="83"/>
  <c r="BU16" i="96"/>
  <c r="BS16" i="97"/>
  <c r="BS15" i="109"/>
  <c r="BS16" i="83"/>
  <c r="BQ18" i="86"/>
  <c r="BU19" i="86"/>
  <c r="BU16" i="97"/>
  <c r="Q9" i="108"/>
  <c r="AV2" i="109"/>
  <c r="BU15" i="109"/>
  <c r="BQ17" i="109"/>
  <c r="K45" i="115"/>
  <c r="BT16" i="83"/>
  <c r="BR18" i="86"/>
  <c r="BQ20" i="89"/>
  <c r="Q9" i="115"/>
  <c r="K45" i="101"/>
  <c r="K45" i="83"/>
  <c r="BU17" i="81"/>
  <c r="BU16" i="81"/>
  <c r="BR16" i="82"/>
  <c r="BR15" i="82"/>
  <c r="BS15" i="79"/>
  <c r="BR17" i="82"/>
  <c r="BR18" i="82"/>
  <c r="BR19" i="82"/>
  <c r="AV2" i="85"/>
  <c r="AV2" i="90"/>
  <c r="K45" i="95"/>
  <c r="BQ17" i="81"/>
  <c r="BT15" i="79"/>
  <c r="AV2" i="101"/>
  <c r="Q9" i="106"/>
  <c r="BU18" i="81"/>
  <c r="K45" i="98"/>
  <c r="K45" i="85"/>
  <c r="AV2" i="93"/>
  <c r="K45" i="99"/>
  <c r="K45" i="110"/>
  <c r="K45" i="94"/>
  <c r="AV2" i="105"/>
  <c r="K45" i="113"/>
  <c r="BU19" i="81"/>
  <c r="AV2" i="82"/>
  <c r="AV2" i="97"/>
  <c r="Q9" i="116"/>
  <c r="BQ19" i="81"/>
  <c r="Q9" i="96"/>
  <c r="K45" i="105"/>
  <c r="K45" i="109"/>
  <c r="Q9" i="88"/>
  <c r="K45" i="89"/>
  <c r="Q9" i="105"/>
  <c r="AV2" i="117"/>
  <c r="K45" i="90"/>
  <c r="BR15" i="79"/>
  <c r="BQ15" i="81"/>
  <c r="BU15" i="81"/>
  <c r="BQ16" i="81"/>
  <c r="BR19" i="81"/>
  <c r="BR18" i="81"/>
  <c r="BR17" i="81"/>
  <c r="BR16" i="81"/>
  <c r="BR15" i="81"/>
  <c r="BS19" i="81"/>
  <c r="BS18" i="81"/>
  <c r="BS17" i="81"/>
  <c r="BS16" i="81"/>
  <c r="BS15" i="81"/>
  <c r="BQ15" i="79"/>
  <c r="BU15" i="79"/>
  <c r="AV2" i="81"/>
  <c r="BT19" i="81"/>
  <c r="BT18" i="81"/>
  <c r="BT15" i="81"/>
  <c r="BT17" i="81"/>
  <c r="BT15" i="82"/>
  <c r="BT16" i="82"/>
  <c r="BT17" i="82"/>
  <c r="BT18" i="82"/>
  <c r="BS15" i="85"/>
  <c r="BS16" i="85"/>
  <c r="BS17" i="85"/>
  <c r="BT15" i="86"/>
  <c r="BT16" i="86"/>
  <c r="BQ15" i="87"/>
  <c r="BU15" i="87"/>
  <c r="BQ16" i="87"/>
  <c r="BU16" i="87"/>
  <c r="BQ17" i="87"/>
  <c r="BU17" i="87"/>
  <c r="BQ18" i="87"/>
  <c r="BU18" i="87"/>
  <c r="BR15" i="88"/>
  <c r="BS15" i="89"/>
  <c r="BS16" i="89"/>
  <c r="BS17" i="89"/>
  <c r="BS18" i="89"/>
  <c r="BT15" i="90"/>
  <c r="BT16" i="90"/>
  <c r="BQ15" i="91"/>
  <c r="BU15" i="91"/>
  <c r="BR15" i="92"/>
  <c r="BT15" i="94"/>
  <c r="BQ15" i="95"/>
  <c r="BU15" i="95"/>
  <c r="BT15" i="98"/>
  <c r="BQ15" i="99"/>
  <c r="BU15" i="99"/>
  <c r="BR15" i="100"/>
  <c r="BS15" i="102"/>
  <c r="BR15" i="106"/>
  <c r="BR16" i="106"/>
  <c r="BR17" i="106"/>
  <c r="BR18" i="106"/>
  <c r="BR19" i="106"/>
  <c r="BR20" i="106"/>
  <c r="BR21" i="106"/>
  <c r="V45" i="110"/>
  <c r="Q9" i="110"/>
  <c r="AV2" i="115"/>
  <c r="BQ15" i="82"/>
  <c r="BU15" i="82"/>
  <c r="BQ16" i="82"/>
  <c r="BU16" i="82"/>
  <c r="BQ17" i="82"/>
  <c r="BU17" i="82"/>
  <c r="BQ18" i="82"/>
  <c r="BU18" i="82"/>
  <c r="BT15" i="85"/>
  <c r="BT16" i="85"/>
  <c r="BT17" i="85"/>
  <c r="BQ15" i="86"/>
  <c r="BU15" i="86"/>
  <c r="BQ16" i="86"/>
  <c r="BU16" i="86"/>
  <c r="BR15" i="87"/>
  <c r="BR16" i="87"/>
  <c r="BR17" i="87"/>
  <c r="BR18" i="87"/>
  <c r="BS15" i="88"/>
  <c r="BT15" i="89"/>
  <c r="BT16" i="89"/>
  <c r="BT17" i="89"/>
  <c r="BT18" i="89"/>
  <c r="BQ15" i="90"/>
  <c r="BU15" i="90"/>
  <c r="BQ16" i="90"/>
  <c r="BU16" i="90"/>
  <c r="BQ17" i="90"/>
  <c r="BR15" i="91"/>
  <c r="BS15" i="92"/>
  <c r="BQ15" i="94"/>
  <c r="BU15" i="94"/>
  <c r="BR15" i="95"/>
  <c r="AV2" i="98"/>
  <c r="BQ15" i="98"/>
  <c r="BU15" i="98"/>
  <c r="BQ16" i="98"/>
  <c r="BR15" i="99"/>
  <c r="BS15" i="100"/>
  <c r="AV2" i="102"/>
  <c r="BT15" i="102"/>
  <c r="BS15" i="106"/>
  <c r="BS16" i="106"/>
  <c r="BS17" i="106"/>
  <c r="BS18" i="106"/>
  <c r="BS19" i="106"/>
  <c r="BS20" i="106"/>
  <c r="BS21" i="106"/>
  <c r="V45" i="107"/>
  <c r="Q9" i="107"/>
  <c r="O45" i="108"/>
  <c r="V45" i="109"/>
  <c r="Q9" i="109"/>
  <c r="AV2" i="110"/>
  <c r="V45" i="113"/>
  <c r="Q9" i="113"/>
  <c r="AV2" i="114"/>
  <c r="V45" i="117"/>
  <c r="Q9" i="117"/>
  <c r="BQ15" i="85"/>
  <c r="BU15" i="85"/>
  <c r="BQ16" i="85"/>
  <c r="BU16" i="85"/>
  <c r="BQ17" i="85"/>
  <c r="BU17" i="85"/>
  <c r="BQ18" i="85"/>
  <c r="BR15" i="86"/>
  <c r="BR16" i="86"/>
  <c r="BS15" i="87"/>
  <c r="BS16" i="87"/>
  <c r="BS17" i="87"/>
  <c r="BS18" i="87"/>
  <c r="BT15" i="88"/>
  <c r="BQ15" i="89"/>
  <c r="BU15" i="89"/>
  <c r="BQ16" i="89"/>
  <c r="BU16" i="89"/>
  <c r="BQ17" i="89"/>
  <c r="BU17" i="89"/>
  <c r="BQ18" i="89"/>
  <c r="BU18" i="89"/>
  <c r="BR15" i="90"/>
  <c r="BR16" i="90"/>
  <c r="BS15" i="91"/>
  <c r="BT15" i="92"/>
  <c r="BR15" i="94"/>
  <c r="BS15" i="95"/>
  <c r="BQ15" i="97"/>
  <c r="BR15" i="98"/>
  <c r="BS15" i="99"/>
  <c r="BT15" i="100"/>
  <c r="BQ15" i="101"/>
  <c r="BQ15" i="102"/>
  <c r="BU15" i="102"/>
  <c r="BS15" i="105"/>
  <c r="BT15" i="106"/>
  <c r="BT16" i="106"/>
  <c r="BT17" i="106"/>
  <c r="BT18" i="106"/>
  <c r="BT19" i="106"/>
  <c r="BT20" i="106"/>
  <c r="BT21" i="106"/>
  <c r="BS15" i="82"/>
  <c r="BS16" i="82"/>
  <c r="BS17" i="82"/>
  <c r="BS18" i="82"/>
  <c r="BR15" i="85"/>
  <c r="BR16" i="85"/>
  <c r="BR17" i="85"/>
  <c r="BS15" i="86"/>
  <c r="BS16" i="86"/>
  <c r="BT15" i="87"/>
  <c r="BT16" i="87"/>
  <c r="BT17" i="87"/>
  <c r="BT18" i="87"/>
  <c r="BQ15" i="88"/>
  <c r="BU15" i="88"/>
  <c r="AV2" i="89"/>
  <c r="BR15" i="89"/>
  <c r="BR16" i="89"/>
  <c r="BR17" i="89"/>
  <c r="BR18" i="89"/>
  <c r="BR19" i="89"/>
  <c r="BS15" i="90"/>
  <c r="BS16" i="90"/>
  <c r="BT15" i="91"/>
  <c r="BQ15" i="92"/>
  <c r="BU15" i="92"/>
  <c r="BS15" i="94"/>
  <c r="BT15" i="95"/>
  <c r="BS15" i="98"/>
  <c r="BT15" i="99"/>
  <c r="BQ15" i="100"/>
  <c r="BU15" i="100"/>
  <c r="BR15" i="102"/>
  <c r="AV2" i="106"/>
  <c r="BQ15" i="106"/>
  <c r="BU15" i="106"/>
  <c r="BQ16" i="106"/>
  <c r="BU16" i="106"/>
  <c r="BQ17" i="106"/>
  <c r="BU17" i="106"/>
  <c r="BQ18" i="106"/>
  <c r="BU18" i="106"/>
  <c r="BQ19" i="106"/>
  <c r="BU19" i="106"/>
  <c r="BQ20" i="106"/>
  <c r="BU20" i="106"/>
  <c r="BQ21" i="106"/>
  <c r="BU21" i="106"/>
  <c r="BQ22" i="106"/>
  <c r="V45" i="111"/>
  <c r="Q9" i="111"/>
  <c r="Q9" i="104"/>
  <c r="Q9" i="102"/>
  <c r="Q9" i="101"/>
  <c r="Q9" i="99"/>
  <c r="Q9" i="98"/>
  <c r="Q9" i="94"/>
  <c r="Q9" i="93"/>
  <c r="T9" i="93"/>
  <c r="Q9" i="89"/>
  <c r="Q9" i="82"/>
  <c r="V45" i="103"/>
  <c r="Q9" i="103"/>
  <c r="O45" i="100"/>
  <c r="Q9" i="100"/>
  <c r="V45" i="97"/>
  <c r="Q9" i="97"/>
  <c r="V45" i="95"/>
  <c r="Q9" i="95"/>
  <c r="O45" i="92"/>
  <c r="Q9" i="92"/>
  <c r="V45" i="91"/>
  <c r="Q9" i="91"/>
  <c r="V45" i="90"/>
  <c r="Q9" i="90"/>
  <c r="V45" i="87"/>
  <c r="Q9" i="87"/>
  <c r="V45" i="86"/>
  <c r="Q9" i="86"/>
  <c r="V45" i="85"/>
  <c r="Q9" i="85"/>
  <c r="K45" i="82"/>
  <c r="O45" i="84"/>
  <c r="Q9" i="84"/>
  <c r="V45" i="83"/>
  <c r="Q9" i="83"/>
  <c r="V45" i="81"/>
  <c r="Q9" i="81"/>
  <c r="T9" i="80"/>
  <c r="Q9" i="80"/>
  <c r="Q9" i="79"/>
  <c r="Q3" i="117" a="1"/>
  <c r="Q3" i="117" s="1"/>
  <c r="AV2" i="94"/>
  <c r="AV2" i="95"/>
  <c r="AV2" i="96"/>
  <c r="AV2" i="111"/>
  <c r="AV2" i="79"/>
  <c r="AV2" i="92"/>
  <c r="AV2" i="86"/>
  <c r="AV2" i="99"/>
  <c r="B15" i="61"/>
  <c r="B21" i="61"/>
  <c r="B27" i="61"/>
  <c r="B34" i="61"/>
  <c r="B48" i="61"/>
  <c r="B16" i="61"/>
  <c r="B22" i="61"/>
  <c r="B43" i="61"/>
  <c r="B28" i="61"/>
  <c r="B39" i="61"/>
  <c r="B13" i="61"/>
  <c r="B17" i="61"/>
  <c r="B23" i="61"/>
  <c r="B29" i="61"/>
  <c r="B35" i="61"/>
  <c r="B44" i="61"/>
  <c r="B30" i="61"/>
  <c r="B40" i="61"/>
  <c r="B45" i="61"/>
  <c r="B12" i="61"/>
  <c r="B18" i="61"/>
  <c r="B24" i="61"/>
  <c r="B41" i="61"/>
  <c r="B31" i="61"/>
  <c r="B36" i="61"/>
  <c r="B46" i="61"/>
  <c r="B14" i="61"/>
  <c r="B25" i="61"/>
  <c r="B37" i="61"/>
  <c r="B32" i="61"/>
  <c r="B42" i="61"/>
  <c r="B47" i="61"/>
  <c r="B20" i="61"/>
  <c r="B26" i="61"/>
  <c r="B38" i="61"/>
  <c r="B33" i="61"/>
  <c r="AV2" i="83"/>
  <c r="AV2" i="87"/>
  <c r="O45" i="104"/>
  <c r="AV2" i="80"/>
  <c r="V45" i="108"/>
  <c r="K45" i="91"/>
  <c r="K45" i="96"/>
  <c r="V45" i="82"/>
  <c r="K45" i="86"/>
  <c r="AV2" i="88"/>
  <c r="O45" i="96"/>
  <c r="K45" i="114"/>
  <c r="AV2" i="84"/>
  <c r="V45" i="105"/>
  <c r="AV2" i="116"/>
  <c r="K45" i="87"/>
  <c r="K45" i="97"/>
  <c r="V45" i="101"/>
  <c r="AV2" i="103"/>
  <c r="K45" i="106"/>
  <c r="AV2" i="107"/>
  <c r="V45" i="114"/>
  <c r="K45" i="92"/>
  <c r="K45" i="116"/>
  <c r="AV2" i="112"/>
  <c r="V45" i="115"/>
  <c r="K45" i="88"/>
  <c r="AV2" i="100"/>
  <c r="K45" i="102"/>
  <c r="AV2" i="104"/>
  <c r="V45" i="106"/>
  <c r="K45" i="84"/>
  <c r="O45" i="88"/>
  <c r="K45" i="93"/>
  <c r="V45" i="102"/>
  <c r="AV2" i="108"/>
  <c r="V45" i="93"/>
  <c r="V45" i="98"/>
  <c r="K45" i="103"/>
  <c r="K45" i="107"/>
  <c r="K45" i="111"/>
  <c r="AV2" i="91"/>
  <c r="O45" i="116"/>
  <c r="V45" i="89"/>
  <c r="V45" i="99"/>
  <c r="K45" i="104"/>
  <c r="O45" i="117"/>
  <c r="V45" i="94"/>
  <c r="K45" i="108"/>
  <c r="K45" i="81"/>
  <c r="K45" i="100"/>
  <c r="O45" i="112"/>
  <c r="P3" i="84" a="1"/>
  <c r="P3" i="84" s="1"/>
  <c r="L3" i="84" a="1"/>
  <c r="L3" i="84" s="1"/>
  <c r="M3" i="84" s="1" a="1"/>
  <c r="M3" i="84" s="1"/>
  <c r="N3" i="84" s="1" a="1"/>
  <c r="N3" i="84" s="1"/>
  <c r="O3" i="84" s="1" a="1"/>
  <c r="O3" i="84" s="1"/>
  <c r="P2" i="84" a="1"/>
  <c r="P2" i="84" s="1"/>
  <c r="P3" i="93" a="1"/>
  <c r="P3" i="93" s="1"/>
  <c r="L3" i="93" a="1"/>
  <c r="L3" i="93" s="1"/>
  <c r="M3" i="93" s="1" a="1"/>
  <c r="M3" i="93" s="1"/>
  <c r="P2" i="93" a="1"/>
  <c r="P2" i="93" s="1"/>
  <c r="L3" i="80" a="1"/>
  <c r="L3" i="80" s="1"/>
  <c r="P3" i="117" a="1"/>
  <c r="P3" i="117" s="1"/>
  <c r="L3" i="117" a="1"/>
  <c r="L3" i="117" s="1"/>
  <c r="M3" i="117" s="1" a="1"/>
  <c r="M3" i="117" s="1"/>
  <c r="P2" i="117" a="1"/>
  <c r="P2" i="117" s="1"/>
  <c r="A13" i="60"/>
  <c r="A12" i="60"/>
  <c r="A12" i="40"/>
  <c r="O45" i="80"/>
  <c r="K45" i="79"/>
  <c r="V45" i="79"/>
  <c r="T45" i="80"/>
  <c r="F2" i="80" s="1"/>
  <c r="T45" i="84"/>
  <c r="F2" i="84" s="1"/>
  <c r="T45" i="117"/>
  <c r="F2" i="117" s="1"/>
  <c r="T45" i="93"/>
  <c r="F2" i="93" s="1"/>
  <c r="B19" i="61"/>
  <c r="O45" i="111"/>
  <c r="O45" i="115"/>
  <c r="U45" i="112"/>
  <c r="U45" i="116"/>
  <c r="V45" i="112"/>
  <c r="V45" i="116"/>
  <c r="O45" i="110"/>
  <c r="O45" i="114"/>
  <c r="U45" i="111"/>
  <c r="U45" i="115"/>
  <c r="O45" i="113"/>
  <c r="U45" i="110"/>
  <c r="U45" i="114"/>
  <c r="U45" i="113"/>
  <c r="U45" i="117"/>
  <c r="O45" i="95"/>
  <c r="O45" i="99"/>
  <c r="O45" i="103"/>
  <c r="O45" i="107"/>
  <c r="U45" i="96"/>
  <c r="U45" i="100"/>
  <c r="U45" i="104"/>
  <c r="U45" i="108"/>
  <c r="V45" i="96"/>
  <c r="V45" i="100"/>
  <c r="V45" i="104"/>
  <c r="O45" i="94"/>
  <c r="O45" i="98"/>
  <c r="O45" i="102"/>
  <c r="O45" i="106"/>
  <c r="U45" i="95"/>
  <c r="U45" i="99"/>
  <c r="U45" i="103"/>
  <c r="U45" i="107"/>
  <c r="O45" i="97"/>
  <c r="O45" i="101"/>
  <c r="O45" i="105"/>
  <c r="O45" i="109"/>
  <c r="U45" i="94"/>
  <c r="U45" i="98"/>
  <c r="U45" i="102"/>
  <c r="U45" i="106"/>
  <c r="U45" i="97"/>
  <c r="U45" i="101"/>
  <c r="U45" i="105"/>
  <c r="U45" i="109"/>
  <c r="O45" i="87"/>
  <c r="O45" i="91"/>
  <c r="U45" i="88"/>
  <c r="U45" i="92"/>
  <c r="V45" i="88"/>
  <c r="V45" i="92"/>
  <c r="O45" i="86"/>
  <c r="O45" i="90"/>
  <c r="U45" i="87"/>
  <c r="U45" i="91"/>
  <c r="O45" i="89"/>
  <c r="O45" i="93"/>
  <c r="U45" i="86"/>
  <c r="U45" i="90"/>
  <c r="U45" i="89"/>
  <c r="U45" i="93"/>
  <c r="O45" i="83"/>
  <c r="U45" i="84"/>
  <c r="V45" i="84"/>
  <c r="O45" i="82"/>
  <c r="U45" i="83"/>
  <c r="O45" i="85"/>
  <c r="U45" i="82"/>
  <c r="U45" i="85"/>
  <c r="U45" i="80"/>
  <c r="V45" i="80"/>
  <c r="O45" i="81"/>
  <c r="U45" i="81"/>
  <c r="O45" i="79"/>
  <c r="U45" i="79"/>
  <c r="P45" i="78"/>
  <c r="R45" i="78"/>
  <c r="S45" i="78"/>
  <c r="O16" i="78"/>
  <c r="O17" i="78"/>
  <c r="O18" i="78"/>
  <c r="O19" i="78"/>
  <c r="O20" i="78"/>
  <c r="O21" i="78"/>
  <c r="O22" i="78"/>
  <c r="O23" i="78"/>
  <c r="O24" i="78"/>
  <c r="O25" i="78"/>
  <c r="O26" i="78"/>
  <c r="O27" i="78"/>
  <c r="O28" i="78"/>
  <c r="O29" i="78"/>
  <c r="O30" i="78"/>
  <c r="O31" i="78"/>
  <c r="O32" i="78"/>
  <c r="O33" i="78"/>
  <c r="O34" i="78"/>
  <c r="O35" i="78"/>
  <c r="O36" i="78"/>
  <c r="O37" i="78"/>
  <c r="O38" i="78"/>
  <c r="O39" i="78"/>
  <c r="O40" i="78"/>
  <c r="O41" i="78"/>
  <c r="O42" i="78"/>
  <c r="O43" i="78"/>
  <c r="O44" i="78"/>
  <c r="O15" i="78"/>
  <c r="K16" i="78"/>
  <c r="K17" i="78"/>
  <c r="K18" i="78"/>
  <c r="K19" i="78"/>
  <c r="K20" i="78"/>
  <c r="K21" i="78"/>
  <c r="K22" i="78"/>
  <c r="K23" i="78"/>
  <c r="K24" i="78"/>
  <c r="K25" i="78"/>
  <c r="K26" i="78"/>
  <c r="K27" i="78"/>
  <c r="K28" i="78"/>
  <c r="K29" i="78"/>
  <c r="K30" i="78"/>
  <c r="K31" i="78"/>
  <c r="K32" i="78"/>
  <c r="K33" i="78"/>
  <c r="K34" i="78"/>
  <c r="K35" i="78"/>
  <c r="K36" i="78"/>
  <c r="K37" i="78"/>
  <c r="K38" i="78"/>
  <c r="K39" i="78"/>
  <c r="K40" i="78"/>
  <c r="K41" i="78"/>
  <c r="K42" i="78"/>
  <c r="K43" i="78"/>
  <c r="K44" i="78"/>
  <c r="K15" i="78"/>
  <c r="T3" i="78"/>
  <c r="T2" i="78"/>
  <c r="AD38" i="61" l="1"/>
  <c r="AE38" i="61" a="1"/>
  <c r="AE38" i="61" s="1"/>
  <c r="AD41" i="61"/>
  <c r="AE41" i="61" a="1"/>
  <c r="AE41" i="61" s="1"/>
  <c r="AD13" i="61"/>
  <c r="AE13" i="61" a="1"/>
  <c r="AE13" i="61" s="1"/>
  <c r="AD36" i="61"/>
  <c r="AE36" i="61" a="1"/>
  <c r="AE36" i="61" s="1"/>
  <c r="AD23" i="61"/>
  <c r="AE23" i="61" a="1"/>
  <c r="AE23" i="61" s="1"/>
  <c r="AD28" i="61"/>
  <c r="AE28" i="61" a="1"/>
  <c r="AE28" i="61" s="1"/>
  <c r="AD17" i="61"/>
  <c r="AE17" i="61" a="1"/>
  <c r="AE17" i="61" s="1"/>
  <c r="AD43" i="61"/>
  <c r="AE43" i="61" a="1"/>
  <c r="AE43" i="61" s="1"/>
  <c r="AD26" i="61"/>
  <c r="AE26" i="61" a="1"/>
  <c r="AE26" i="61" s="1"/>
  <c r="Y38" i="61"/>
  <c r="Y41" i="61"/>
  <c r="Y36" i="61"/>
  <c r="Y43" i="61"/>
  <c r="AL13" i="61"/>
  <c r="Y13" i="61"/>
  <c r="BP13" i="61" s="1"/>
  <c r="AL26" i="61"/>
  <c r="Y26" i="61"/>
  <c r="BP26" i="61" s="1"/>
  <c r="AL23" i="61"/>
  <c r="Y23" i="61"/>
  <c r="AL28" i="61"/>
  <c r="Y28" i="61"/>
  <c r="AL17" i="61"/>
  <c r="Y17" i="61"/>
  <c r="BP17" i="61" s="1"/>
  <c r="AG17" i="61"/>
  <c r="BS17" i="61" s="1"/>
  <c r="AG13" i="61"/>
  <c r="BS13" i="61" s="1"/>
  <c r="AG26" i="61"/>
  <c r="BS26" i="61" s="1"/>
  <c r="P46" i="61"/>
  <c r="BO46" i="61" s="1"/>
  <c r="P49" i="61"/>
  <c r="BO49" i="61" s="1"/>
  <c r="P41" i="61"/>
  <c r="BO41" i="61" s="1"/>
  <c r="P45" i="61"/>
  <c r="BO45" i="61" s="1"/>
  <c r="P48" i="61"/>
  <c r="BO48" i="61" s="1"/>
  <c r="P50" i="61"/>
  <c r="BO50" i="61" s="1"/>
  <c r="P40" i="61"/>
  <c r="BO40" i="61" s="1"/>
  <c r="P47" i="61"/>
  <c r="BO47" i="61" s="1"/>
  <c r="P42" i="61"/>
  <c r="BO42" i="61" s="1"/>
  <c r="P44" i="61"/>
  <c r="BO44" i="61" s="1"/>
  <c r="P43" i="61"/>
  <c r="BO43" i="61" s="1"/>
  <c r="D26" i="61"/>
  <c r="BG26" i="61" s="1"/>
  <c r="D50" i="61"/>
  <c r="BG50" i="61" s="1"/>
  <c r="D17" i="61"/>
  <c r="BG17" i="61" s="1"/>
  <c r="D13" i="61"/>
  <c r="BG13" i="61" s="1"/>
  <c r="Q3" i="93" a="1"/>
  <c r="Q3" i="93" s="1"/>
  <c r="T9" i="84"/>
  <c r="Q3" i="84" a="1"/>
  <c r="Q3" i="84" s="1"/>
  <c r="Q9" i="78"/>
  <c r="F12" i="118"/>
  <c r="F26" i="118"/>
  <c r="F20" i="118"/>
  <c r="F13" i="118"/>
  <c r="AI12" i="82"/>
  <c r="Q3" i="80" a="1"/>
  <c r="Q3" i="80" s="1"/>
  <c r="AI12" i="100"/>
  <c r="AI12" i="114"/>
  <c r="AI12" i="106"/>
  <c r="F36" i="118"/>
  <c r="T36" i="118" s="1"/>
  <c r="C33" i="70"/>
  <c r="F24" i="118"/>
  <c r="F43" i="118"/>
  <c r="F45" i="118"/>
  <c r="BF12" i="61"/>
  <c r="F31" i="118"/>
  <c r="F38" i="118"/>
  <c r="R38" i="118" s="1"/>
  <c r="B12" i="60"/>
  <c r="C32" i="70"/>
  <c r="F49" i="118"/>
  <c r="F33" i="118"/>
  <c r="BE12" i="61"/>
  <c r="F48" i="118"/>
  <c r="F25" i="118"/>
  <c r="M12" i="61"/>
  <c r="BN12" i="61" s="1"/>
  <c r="B13" i="60"/>
  <c r="P12" i="61"/>
  <c r="BO12" i="61" s="1"/>
  <c r="F16" i="118"/>
  <c r="R16" i="118" s="1"/>
  <c r="C34" i="70"/>
  <c r="F18" i="118"/>
  <c r="F22" i="118"/>
  <c r="F27" i="118"/>
  <c r="F14" i="118"/>
  <c r="B14" i="60"/>
  <c r="F17" i="118"/>
  <c r="F15" i="118"/>
  <c r="F28" i="118"/>
  <c r="S28" i="118" s="1"/>
  <c r="F46" i="118"/>
  <c r="F21" i="118"/>
  <c r="F39" i="118"/>
  <c r="F47" i="118"/>
  <c r="F42" i="118"/>
  <c r="F44" i="118"/>
  <c r="F30" i="118"/>
  <c r="F34" i="118"/>
  <c r="F41" i="118"/>
  <c r="F50" i="118"/>
  <c r="F23" i="118"/>
  <c r="R23" i="118" s="1"/>
  <c r="F40" i="118"/>
  <c r="F35" i="118"/>
  <c r="R35" i="118" s="1"/>
  <c r="F32" i="118"/>
  <c r="F29" i="118"/>
  <c r="F37" i="118"/>
  <c r="T37" i="118" s="1"/>
  <c r="AI12" i="115"/>
  <c r="AI12" i="116"/>
  <c r="AI12" i="91"/>
  <c r="AI12" i="85"/>
  <c r="AI12" i="90"/>
  <c r="AI12" i="98"/>
  <c r="AI12" i="84"/>
  <c r="AI12" i="89"/>
  <c r="N3" i="117" a="1"/>
  <c r="N3" i="117" s="1"/>
  <c r="O3" i="117" s="1" a="1"/>
  <c r="O3" i="117" s="1"/>
  <c r="AI12" i="88"/>
  <c r="AI12" i="86"/>
  <c r="AI12" i="81"/>
  <c r="AI12" i="101"/>
  <c r="AI12" i="107"/>
  <c r="AI12" i="97"/>
  <c r="AI12" i="117"/>
  <c r="AI12" i="92"/>
  <c r="AI12" i="87"/>
  <c r="AI12" i="95"/>
  <c r="AI12" i="93"/>
  <c r="M3" i="80" a="1"/>
  <c r="M3" i="80" s="1"/>
  <c r="N3" i="80" s="1" a="1"/>
  <c r="N3" i="80" s="1"/>
  <c r="O3" i="80" s="1" a="1"/>
  <c r="O3" i="80" s="1"/>
  <c r="AI12" i="105"/>
  <c r="AI12" i="83"/>
  <c r="AI12" i="112"/>
  <c r="AI12" i="103"/>
  <c r="AI12" i="113"/>
  <c r="AI12" i="110"/>
  <c r="AI12" i="102"/>
  <c r="AI12" i="104"/>
  <c r="AI12" i="94"/>
  <c r="N3" i="93" a="1"/>
  <c r="N3" i="93" s="1"/>
  <c r="O3" i="93" s="1" a="1"/>
  <c r="O3" i="93" s="1"/>
  <c r="P3" i="80" a="1"/>
  <c r="P3" i="80" s="1"/>
  <c r="P2" i="80" a="1"/>
  <c r="P2" i="80" s="1"/>
  <c r="AI12" i="109"/>
  <c r="AI12" i="111"/>
  <c r="F19" i="118"/>
  <c r="AI12" i="80"/>
  <c r="AI12" i="108"/>
  <c r="AI12" i="99"/>
  <c r="AI12" i="96"/>
  <c r="AI12" i="79"/>
  <c r="S3" i="78"/>
  <c r="S2" i="78"/>
  <c r="N45" i="78"/>
  <c r="L45" i="78"/>
  <c r="K45" i="78"/>
  <c r="J45" i="78"/>
  <c r="I45" i="78"/>
  <c r="H45" i="78"/>
  <c r="BU14" i="78"/>
  <c r="BT14" i="78"/>
  <c r="BS14" i="78"/>
  <c r="BR14" i="78"/>
  <c r="BQ14" i="78"/>
  <c r="BL14" i="78"/>
  <c r="BK14" i="78"/>
  <c r="BJ14" i="78"/>
  <c r="BI14" i="78"/>
  <c r="BH14" i="78"/>
  <c r="BL13" i="78"/>
  <c r="BK13" i="78"/>
  <c r="BJ13" i="78"/>
  <c r="BI13" i="78"/>
  <c r="BH13" i="78"/>
  <c r="D13" i="78"/>
  <c r="C13" i="78"/>
  <c r="V13" i="78"/>
  <c r="BC13" i="78" s="1"/>
  <c r="U13" i="78"/>
  <c r="BB13" i="78" s="1"/>
  <c r="AK3" i="78"/>
  <c r="AT2" i="78"/>
  <c r="AS2" i="78"/>
  <c r="AR2" i="78"/>
  <c r="AQ2" i="78"/>
  <c r="AP2" i="78"/>
  <c r="AO2" i="78"/>
  <c r="AN2" i="78"/>
  <c r="F1" i="78"/>
  <c r="S29" i="118"/>
  <c r="R34" i="118"/>
  <c r="S32" i="118"/>
  <c r="T30" i="118"/>
  <c r="T12" i="118"/>
  <c r="R14" i="118"/>
  <c r="S20" i="118"/>
  <c r="S27" i="118"/>
  <c r="T33" i="118"/>
  <c r="R25" i="118"/>
  <c r="S18" i="118"/>
  <c r="R22" i="118"/>
  <c r="R24" i="118"/>
  <c r="T31" i="118"/>
  <c r="T19" i="118"/>
  <c r="R15" i="118"/>
  <c r="T21" i="118"/>
  <c r="S39" i="118"/>
  <c r="C34" i="71" l="1"/>
  <c r="G34" i="70"/>
  <c r="C33" i="71"/>
  <c r="G33" i="70"/>
  <c r="C32" i="71"/>
  <c r="G32" i="70"/>
  <c r="I2" i="78"/>
  <c r="L6" i="84"/>
  <c r="L6" i="117"/>
  <c r="L6" i="93"/>
  <c r="S13" i="118"/>
  <c r="R13" i="118"/>
  <c r="S26" i="118"/>
  <c r="R26" i="118"/>
  <c r="S17" i="118"/>
  <c r="R17" i="118"/>
  <c r="T13" i="118"/>
  <c r="T17" i="118"/>
  <c r="T26" i="118"/>
  <c r="B33" i="70"/>
  <c r="S33" i="70" s="1"/>
  <c r="S33" i="71" s="1"/>
  <c r="B32" i="70"/>
  <c r="S32" i="70" s="1"/>
  <c r="S32" i="71" s="1"/>
  <c r="B34" i="70"/>
  <c r="S34" i="70" s="1"/>
  <c r="S34" i="71" s="1"/>
  <c r="B11" i="61"/>
  <c r="BU37" i="78"/>
  <c r="BQ18" i="78"/>
  <c r="BU19" i="78"/>
  <c r="AV2" i="78"/>
  <c r="BQ15" i="78"/>
  <c r="BR15" i="78"/>
  <c r="BS20" i="78"/>
  <c r="AI26" i="78"/>
  <c r="BS15" i="78"/>
  <c r="BR27" i="78"/>
  <c r="BU16" i="78"/>
  <c r="AI42" i="78"/>
  <c r="BQ17" i="78"/>
  <c r="BS37" i="78"/>
  <c r="BT23" i="78"/>
  <c r="BU30" i="78"/>
  <c r="AI37" i="78"/>
  <c r="BT37" i="78"/>
  <c r="BU44" i="78"/>
  <c r="BS34" i="78"/>
  <c r="BT15" i="78"/>
  <c r="AI18" i="78"/>
  <c r="BR18" i="78"/>
  <c r="BS24" i="78"/>
  <c r="BU27" i="78"/>
  <c r="BT34" i="78"/>
  <c r="AI44" i="78"/>
  <c r="BU15" i="78"/>
  <c r="BS18" i="78"/>
  <c r="BR21" i="78"/>
  <c r="BT24" i="78"/>
  <c r="BR31" i="78"/>
  <c r="BU34" i="78"/>
  <c r="BT27" i="78"/>
  <c r="BT18" i="78"/>
  <c r="BS21" i="78"/>
  <c r="BU24" i="78"/>
  <c r="BS31" i="78"/>
  <c r="BS38" i="78"/>
  <c r="BS42" i="78"/>
  <c r="BU18" i="78"/>
  <c r="BT21" i="78"/>
  <c r="BR28" i="78"/>
  <c r="BT31" i="78"/>
  <c r="BU38" i="78"/>
  <c r="BT42" i="78"/>
  <c r="BQ16" i="78"/>
  <c r="BU21" i="78"/>
  <c r="BS28" i="78"/>
  <c r="AI38" i="78"/>
  <c r="BU42" i="78"/>
  <c r="BS16" i="78"/>
  <c r="BU28" i="78"/>
  <c r="BT35" i="78"/>
  <c r="AI16" i="78"/>
  <c r="BT16" i="78"/>
  <c r="BQ32" i="78"/>
  <c r="BU35" i="78"/>
  <c r="BS39" i="78"/>
  <c r="BT19" i="78"/>
  <c r="BS22" i="78"/>
  <c r="BS32" i="78"/>
  <c r="BT39" i="78"/>
  <c r="BR43" i="78"/>
  <c r="BU22" i="78"/>
  <c r="BR26" i="78"/>
  <c r="BR29" i="78"/>
  <c r="AI32" i="78"/>
  <c r="BT32" i="78"/>
  <c r="BT43" i="78"/>
  <c r="AI22" i="78"/>
  <c r="BS26" i="78"/>
  <c r="BS29" i="78"/>
  <c r="BU32" i="78"/>
  <c r="BS36" i="78"/>
  <c r="BU43" i="78"/>
  <c r="BT26" i="78"/>
  <c r="BT29" i="78"/>
  <c r="BS40" i="78"/>
  <c r="BR17" i="78"/>
  <c r="BQ20" i="78"/>
  <c r="BR23" i="78"/>
  <c r="BU26" i="78"/>
  <c r="BU29" i="78"/>
  <c r="BT40" i="78"/>
  <c r="BT17" i="78"/>
  <c r="BR20" i="78"/>
  <c r="BS23" i="78"/>
  <c r="BT33" i="78"/>
  <c r="AI40" i="78"/>
  <c r="BU40" i="78"/>
  <c r="BS44" i="78"/>
  <c r="AI17" i="78"/>
  <c r="AI21" i="78"/>
  <c r="AI34" i="78"/>
  <c r="AI30" i="78"/>
  <c r="AI19" i="78"/>
  <c r="AI28" i="78"/>
  <c r="AI29" i="78"/>
  <c r="AI23" i="78"/>
  <c r="AI35" i="78"/>
  <c r="AI39" i="78"/>
  <c r="AI43" i="78"/>
  <c r="AI33" i="78"/>
  <c r="AI27" i="78"/>
  <c r="AI24" i="78"/>
  <c r="AI31" i="78"/>
  <c r="AI15" i="78"/>
  <c r="BR16" i="78"/>
  <c r="BU17" i="78"/>
  <c r="BQ21" i="78"/>
  <c r="BT22" i="78"/>
  <c r="BS27" i="78"/>
  <c r="BR32" i="78"/>
  <c r="BU33" i="78"/>
  <c r="BQ37" i="78"/>
  <c r="BT38" i="78"/>
  <c r="BS43" i="78"/>
  <c r="AI20" i="78"/>
  <c r="BQ26" i="78"/>
  <c r="AI36" i="78"/>
  <c r="BR37" i="78"/>
  <c r="BQ42" i="78"/>
  <c r="AI25" i="78"/>
  <c r="BQ31" i="78"/>
  <c r="AI41" i="78"/>
  <c r="BR42" i="78"/>
  <c r="BQ36" i="78"/>
  <c r="BR36" i="78"/>
  <c r="BQ41" i="78"/>
  <c r="BQ25" i="78"/>
  <c r="BQ19" i="78"/>
  <c r="BT20" i="78"/>
  <c r="BS25" i="78"/>
  <c r="BR30" i="78"/>
  <c r="BU31" i="78"/>
  <c r="BQ35" i="78"/>
  <c r="BT36" i="78"/>
  <c r="BS41" i="78"/>
  <c r="BQ30" i="78"/>
  <c r="BR19" i="78"/>
  <c r="BU20" i="78"/>
  <c r="BQ24" i="78"/>
  <c r="BT25" i="78"/>
  <c r="BS30" i="78"/>
  <c r="BR35" i="78"/>
  <c r="BU36" i="78"/>
  <c r="BQ40" i="78"/>
  <c r="BT41" i="78"/>
  <c r="BR25" i="78"/>
  <c r="BR41" i="78"/>
  <c r="BS19" i="78"/>
  <c r="BR24" i="78"/>
  <c r="BU25" i="78"/>
  <c r="BQ29" i="78"/>
  <c r="BT30" i="78"/>
  <c r="BS35" i="78"/>
  <c r="BR40" i="78"/>
  <c r="BU41" i="78"/>
  <c r="BQ34" i="78"/>
  <c r="BQ23" i="78"/>
  <c r="BR34" i="78"/>
  <c r="BQ39" i="78"/>
  <c r="BQ28" i="78"/>
  <c r="BR39" i="78"/>
  <c r="BQ44" i="78"/>
  <c r="BQ33" i="78"/>
  <c r="BR44" i="78"/>
  <c r="BQ22" i="78"/>
  <c r="BQ38" i="78"/>
  <c r="BR33" i="78"/>
  <c r="BS17" i="78"/>
  <c r="BR22" i="78"/>
  <c r="BU23" i="78"/>
  <c r="BQ27" i="78"/>
  <c r="BT28" i="78"/>
  <c r="BS33" i="78"/>
  <c r="BR38" i="78"/>
  <c r="BU39" i="78"/>
  <c r="BQ43" i="78"/>
  <c r="BT44" i="78"/>
  <c r="T28" i="118"/>
  <c r="S23" i="118"/>
  <c r="R28" i="118"/>
  <c r="T23" i="118"/>
  <c r="T50" i="118"/>
  <c r="S50" i="118"/>
  <c r="R50" i="118"/>
  <c r="S38" i="118"/>
  <c r="T38" i="118"/>
  <c r="R41" i="118"/>
  <c r="S36" i="118"/>
  <c r="S43" i="118"/>
  <c r="T43" i="118"/>
  <c r="R43" i="118"/>
  <c r="R36" i="118"/>
  <c r="T41" i="118"/>
  <c r="S41" i="118"/>
  <c r="T16" i="118"/>
  <c r="R49" i="118"/>
  <c r="R48" i="118"/>
  <c r="T48" i="118"/>
  <c r="S49" i="118"/>
  <c r="S48" i="118"/>
  <c r="T49" i="118"/>
  <c r="S16" i="118"/>
  <c r="T47" i="118"/>
  <c r="S47" i="118"/>
  <c r="S35" i="118"/>
  <c r="R37" i="118"/>
  <c r="R45" i="118"/>
  <c r="S45" i="118"/>
  <c r="S37" i="118"/>
  <c r="R47" i="118"/>
  <c r="T45" i="118"/>
  <c r="T35" i="118"/>
  <c r="R42" i="118"/>
  <c r="R31" i="118"/>
  <c r="S30" i="118"/>
  <c r="T44" i="118"/>
  <c r="R27" i="118"/>
  <c r="T32" i="118"/>
  <c r="S12" i="118"/>
  <c r="T25" i="118"/>
  <c r="T46" i="118"/>
  <c r="R33" i="118"/>
  <c r="R29" i="118"/>
  <c r="T15" i="118"/>
  <c r="S14" i="118"/>
  <c r="T20" i="118"/>
  <c r="S25" i="118"/>
  <c r="S21" i="118"/>
  <c r="R32" i="118"/>
  <c r="S34" i="118"/>
  <c r="S22" i="118"/>
  <c r="T27" i="118"/>
  <c r="R12" i="118"/>
  <c r="R20" i="118"/>
  <c r="R19" i="118"/>
  <c r="S40" i="118"/>
  <c r="R18" i="118"/>
  <c r="T34" i="118"/>
  <c r="S44" i="118"/>
  <c r="T14" i="118"/>
  <c r="R46" i="118"/>
  <c r="R21" i="118"/>
  <c r="S31" i="118"/>
  <c r="T39" i="118"/>
  <c r="S46" i="118"/>
  <c r="S24" i="118"/>
  <c r="R40" i="118"/>
  <c r="S33" i="118"/>
  <c r="R39" i="118"/>
  <c r="T40" i="118"/>
  <c r="T42" i="118"/>
  <c r="T24" i="118"/>
  <c r="S42" i="118"/>
  <c r="S19" i="118"/>
  <c r="T29" i="118"/>
  <c r="T22" i="118"/>
  <c r="R44" i="118"/>
  <c r="S15" i="118"/>
  <c r="R30" i="118"/>
  <c r="T18" i="118"/>
  <c r="G33" i="71" l="1"/>
  <c r="F33" i="120"/>
  <c r="BD33" i="120" s="1"/>
  <c r="G32" i="71"/>
  <c r="F32" i="120"/>
  <c r="BD32" i="120" s="1"/>
  <c r="G34" i="71"/>
  <c r="F34" i="120"/>
  <c r="BD34" i="120" s="1"/>
  <c r="B33" i="71"/>
  <c r="B32" i="71"/>
  <c r="B34" i="71"/>
  <c r="AE50" i="61"/>
  <c r="T1" i="78"/>
  <c r="T16" i="78" s="1"/>
  <c r="L6" i="80"/>
  <c r="F11" i="118"/>
  <c r="C31" i="70"/>
  <c r="B11" i="60"/>
  <c r="P11" i="61"/>
  <c r="BO11" i="61" s="1"/>
  <c r="M11" i="61"/>
  <c r="BN11" i="61" s="1"/>
  <c r="AI12" i="78"/>
  <c r="O45" i="78"/>
  <c r="U45" i="78"/>
  <c r="V45" i="78"/>
  <c r="T11" i="118"/>
  <c r="C31" i="71" l="1"/>
  <c r="B31" i="71" s="1"/>
  <c r="G31" i="70"/>
  <c r="T15" i="78"/>
  <c r="B31" i="70"/>
  <c r="S31" i="70" s="1"/>
  <c r="S31" i="71" s="1"/>
  <c r="I35" i="57"/>
  <c r="I36" i="57"/>
  <c r="I37" i="57"/>
  <c r="I38" i="57"/>
  <c r="I41" i="57"/>
  <c r="I43" i="57"/>
  <c r="I45" i="57"/>
  <c r="I46" i="57"/>
  <c r="I47" i="57"/>
  <c r="I48" i="57"/>
  <c r="I49" i="57"/>
  <c r="I50" i="57"/>
  <c r="R11" i="118"/>
  <c r="S11" i="118"/>
  <c r="U11" i="118"/>
  <c r="G31" i="71" l="1"/>
  <c r="F31" i="120"/>
  <c r="Z11" i="61"/>
  <c r="L2" i="78" a="1"/>
  <c r="L2" i="78" s="1"/>
  <c r="Q3" i="78" a="1"/>
  <c r="Q3" i="78" s="1"/>
  <c r="T9" i="78"/>
  <c r="P3" i="78" a="1"/>
  <c r="P3" i="78" s="1"/>
  <c r="L3" i="78" a="1"/>
  <c r="L3" i="78" s="1"/>
  <c r="M3" i="78" s="1" a="1"/>
  <c r="M3" i="78" s="1"/>
  <c r="N3" i="78" s="1" a="1"/>
  <c r="N3" i="78" s="1"/>
  <c r="O3" i="78" s="1" a="1"/>
  <c r="O3" i="78" s="1"/>
  <c r="P2" i="78" a="1"/>
  <c r="P2" i="78" s="1"/>
  <c r="T45" i="78"/>
  <c r="F2" i="78" s="1"/>
  <c r="BE41" i="61"/>
  <c r="BF41" i="61"/>
  <c r="BE42" i="61"/>
  <c r="BF42" i="61"/>
  <c r="BE43" i="61"/>
  <c r="BF43" i="61"/>
  <c r="BE44" i="61"/>
  <c r="BF44" i="61"/>
  <c r="BE45" i="61"/>
  <c r="BF45" i="61"/>
  <c r="BE46" i="61"/>
  <c r="BF46" i="61"/>
  <c r="BE47" i="61"/>
  <c r="BF47" i="61"/>
  <c r="BE48" i="61"/>
  <c r="BF48" i="61"/>
  <c r="BE49" i="61"/>
  <c r="BF49" i="61"/>
  <c r="BE50" i="61"/>
  <c r="BF50" i="61"/>
  <c r="M2" i="78" l="1" a="1"/>
  <c r="M2" i="78" s="1"/>
  <c r="P13" i="61"/>
  <c r="BO13" i="61" s="1"/>
  <c r="P14" i="61"/>
  <c r="BO14" i="61" s="1"/>
  <c r="P15" i="61"/>
  <c r="BO15" i="61" s="1"/>
  <c r="P16" i="61"/>
  <c r="BO16" i="61" s="1"/>
  <c r="P17" i="61"/>
  <c r="BO17" i="61" s="1"/>
  <c r="P18" i="61"/>
  <c r="BO18" i="61" s="1"/>
  <c r="P19" i="61"/>
  <c r="BO19" i="61" s="1"/>
  <c r="P20" i="61"/>
  <c r="BO20" i="61" s="1"/>
  <c r="P21" i="61"/>
  <c r="BO21" i="61" s="1"/>
  <c r="P22" i="61"/>
  <c r="BO22" i="61" s="1"/>
  <c r="P23" i="61"/>
  <c r="BO23" i="61" s="1"/>
  <c r="P24" i="61"/>
  <c r="BO24" i="61" s="1"/>
  <c r="P25" i="61"/>
  <c r="BO25" i="61" s="1"/>
  <c r="P26" i="61"/>
  <c r="BO26" i="61" s="1"/>
  <c r="P27" i="61"/>
  <c r="BO27" i="61" s="1"/>
  <c r="P28" i="61"/>
  <c r="BO28" i="61" s="1"/>
  <c r="P29" i="61"/>
  <c r="BO29" i="61" s="1"/>
  <c r="P30" i="61"/>
  <c r="BO30" i="61" s="1"/>
  <c r="P31" i="61"/>
  <c r="BO31" i="61" s="1"/>
  <c r="P32" i="61"/>
  <c r="BO32" i="61" s="1"/>
  <c r="P33" i="61"/>
  <c r="BO33" i="61" s="1"/>
  <c r="P34" i="61"/>
  <c r="BO34" i="61" s="1"/>
  <c r="P35" i="61"/>
  <c r="BO35" i="61" s="1"/>
  <c r="P36" i="61"/>
  <c r="BO36" i="61" s="1"/>
  <c r="P37" i="61"/>
  <c r="BO37" i="61" s="1"/>
  <c r="P38" i="61"/>
  <c r="BO38" i="61" s="1"/>
  <c r="P39" i="61"/>
  <c r="BO39" i="61" s="1"/>
  <c r="M13" i="61"/>
  <c r="BN13" i="61" s="1"/>
  <c r="M14" i="61"/>
  <c r="BN14" i="61" s="1"/>
  <c r="M15" i="61"/>
  <c r="BN15" i="61" s="1"/>
  <c r="M16" i="61"/>
  <c r="BN16" i="61" s="1"/>
  <c r="M17" i="61"/>
  <c r="BN17" i="61" s="1"/>
  <c r="M18" i="61"/>
  <c r="BN18" i="61" s="1"/>
  <c r="M19" i="61"/>
  <c r="BN19" i="61" s="1"/>
  <c r="M20" i="61"/>
  <c r="BN20" i="61" s="1"/>
  <c r="M21" i="61"/>
  <c r="BN21" i="61" s="1"/>
  <c r="M22" i="61"/>
  <c r="BN22" i="61" s="1"/>
  <c r="M23" i="61"/>
  <c r="BN23" i="61" s="1"/>
  <c r="M24" i="61"/>
  <c r="BN24" i="61" s="1"/>
  <c r="M25" i="61"/>
  <c r="BN25" i="61" s="1"/>
  <c r="M26" i="61"/>
  <c r="BN26" i="61" s="1"/>
  <c r="M27" i="61"/>
  <c r="BN27" i="61" s="1"/>
  <c r="M28" i="61"/>
  <c r="BN28" i="61" s="1"/>
  <c r="M29" i="61"/>
  <c r="BN29" i="61" s="1"/>
  <c r="M30" i="61"/>
  <c r="BN30" i="61" s="1"/>
  <c r="M31" i="61"/>
  <c r="BN31" i="61" s="1"/>
  <c r="M32" i="61"/>
  <c r="BN32" i="61" s="1"/>
  <c r="M33" i="61"/>
  <c r="BN33" i="61" s="1"/>
  <c r="M34" i="61"/>
  <c r="BN34" i="61" s="1"/>
  <c r="M35" i="61"/>
  <c r="BN35" i="61" s="1"/>
  <c r="M36" i="61"/>
  <c r="BN36" i="61" s="1"/>
  <c r="M37" i="61"/>
  <c r="BN37" i="61" s="1"/>
  <c r="M38" i="61"/>
  <c r="BN38" i="61" s="1"/>
  <c r="M39" i="61"/>
  <c r="BN39" i="61" s="1"/>
  <c r="M40" i="61"/>
  <c r="BN40" i="61" s="1"/>
  <c r="M41" i="61"/>
  <c r="BN41" i="61" s="1"/>
  <c r="M42" i="61"/>
  <c r="BN42" i="61" s="1"/>
  <c r="M43" i="61"/>
  <c r="BN43" i="61" s="1"/>
  <c r="M44" i="61"/>
  <c r="BN44" i="61" s="1"/>
  <c r="M45" i="61"/>
  <c r="BN45" i="61" s="1"/>
  <c r="M46" i="61"/>
  <c r="BN46" i="61" s="1"/>
  <c r="M47" i="61"/>
  <c r="BN47" i="61" s="1"/>
  <c r="M48" i="61"/>
  <c r="BN48" i="61" s="1"/>
  <c r="M49" i="61"/>
  <c r="BN49" i="61" s="1"/>
  <c r="M50" i="61"/>
  <c r="BN50" i="61" s="1"/>
  <c r="G2" i="77"/>
  <c r="G3" i="77"/>
  <c r="G4" i="77"/>
  <c r="F3" i="77"/>
  <c r="F4" i="77"/>
  <c r="F2" i="77"/>
  <c r="N2" i="78" l="1" a="1"/>
  <c r="N2" i="78" s="1"/>
  <c r="M51" i="61"/>
  <c r="P51" i="61"/>
  <c r="Z46" i="61"/>
  <c r="Z45" i="61"/>
  <c r="Z44" i="61"/>
  <c r="Z43" i="61"/>
  <c r="Z41" i="61"/>
  <c r="BM49" i="118"/>
  <c r="BL49" i="118"/>
  <c r="BK49" i="118"/>
  <c r="AF49" i="118"/>
  <c r="BJ49" i="118"/>
  <c r="BH49" i="118"/>
  <c r="BG49" i="118"/>
  <c r="BF49" i="118"/>
  <c r="BE49" i="118"/>
  <c r="BD49" i="118"/>
  <c r="AE49" i="118"/>
  <c r="BI49" i="118"/>
  <c r="BM48" i="118"/>
  <c r="BE47" i="118"/>
  <c r="BH47" i="118"/>
  <c r="BG47" i="118"/>
  <c r="BI47" i="118"/>
  <c r="BM46" i="118"/>
  <c r="BL46" i="118"/>
  <c r="BK46" i="118"/>
  <c r="BJ46" i="118"/>
  <c r="BH46" i="118"/>
  <c r="BG46" i="118"/>
  <c r="BF46" i="118"/>
  <c r="BE46" i="118"/>
  <c r="BL45" i="118"/>
  <c r="BK45" i="118"/>
  <c r="BJ45" i="118"/>
  <c r="BH45" i="118"/>
  <c r="BG45" i="118"/>
  <c r="BF45" i="118"/>
  <c r="BE45" i="118"/>
  <c r="BD45" i="118"/>
  <c r="BM45" i="118"/>
  <c r="AF45" i="118"/>
  <c r="BI45" i="118"/>
  <c r="BF44" i="118"/>
  <c r="BE44" i="118"/>
  <c r="BD44" i="118"/>
  <c r="AF44" i="118"/>
  <c r="BM44" i="118"/>
  <c r="BL44" i="118"/>
  <c r="BK44" i="118"/>
  <c r="BI44" i="118"/>
  <c r="AE44" i="118"/>
  <c r="BK43" i="118"/>
  <c r="BH43" i="118"/>
  <c r="BG43" i="118"/>
  <c r="BF43" i="118"/>
  <c r="BD43" i="118"/>
  <c r="AF43" i="118"/>
  <c r="AE43" i="118"/>
  <c r="BE43" i="118"/>
  <c r="BI43" i="118"/>
  <c r="BJ43" i="118"/>
  <c r="BL43" i="118"/>
  <c r="BM41" i="118"/>
  <c r="BK41" i="118"/>
  <c r="BJ41" i="118"/>
  <c r="BI41" i="118"/>
  <c r="BG41" i="118"/>
  <c r="D2" i="77"/>
  <c r="C2" i="77"/>
  <c r="D1" i="77"/>
  <c r="C1" i="77"/>
  <c r="Y41" i="118"/>
  <c r="Y43" i="118"/>
  <c r="Z43" i="118"/>
  <c r="Z41" i="118"/>
  <c r="AB49" i="118"/>
  <c r="X49" i="118"/>
  <c r="AA49" i="118"/>
  <c r="Z49" i="118"/>
  <c r="Y49" i="118"/>
  <c r="X47" i="118"/>
  <c r="AB45" i="118"/>
  <c r="Y45" i="118"/>
  <c r="Y46" i="118"/>
  <c r="AA46" i="118"/>
  <c r="AA44" i="118"/>
  <c r="X42" i="118"/>
  <c r="AB46" i="118"/>
  <c r="AB44" i="118"/>
  <c r="Z44" i="118"/>
  <c r="Y44" i="118"/>
  <c r="Z46" i="118"/>
  <c r="O2" i="78" l="1" a="1"/>
  <c r="O2" i="78" s="1"/>
  <c r="Z38" i="61"/>
  <c r="Z36" i="61"/>
  <c r="Z27" i="61"/>
  <c r="BJ47" i="118"/>
  <c r="BK47" i="118"/>
  <c r="BL47" i="118"/>
  <c r="BM47" i="118"/>
  <c r="AF47" i="118"/>
  <c r="BF47" i="118"/>
  <c r="BD47" i="118"/>
  <c r="AE47" i="118"/>
  <c r="Z50" i="61"/>
  <c r="BQ50" i="61" s="1"/>
  <c r="Z42" i="61"/>
  <c r="Z47" i="61"/>
  <c r="Z48" i="61"/>
  <c r="Z49" i="61"/>
  <c r="BG36" i="118"/>
  <c r="BJ38" i="118"/>
  <c r="BE41" i="118"/>
  <c r="BJ44" i="118"/>
  <c r="BD46" i="118"/>
  <c r="BH41" i="118"/>
  <c r="AF41" i="118"/>
  <c r="BF41" i="118"/>
  <c r="BD41" i="118"/>
  <c r="BL36" i="118"/>
  <c r="AF36" i="118"/>
  <c r="BJ36" i="118"/>
  <c r="BK36" i="118"/>
  <c r="BM36" i="118"/>
  <c r="BH36" i="118"/>
  <c r="BK38" i="118"/>
  <c r="BM38" i="118"/>
  <c r="BI36" i="118"/>
  <c r="BH38" i="118"/>
  <c r="AE27" i="118"/>
  <c r="AF27" i="118"/>
  <c r="BE27" i="118"/>
  <c r="BI27" i="118"/>
  <c r="BF27" i="118"/>
  <c r="AE41" i="118"/>
  <c r="BE36" i="118"/>
  <c r="BJ27" i="118"/>
  <c r="BK27" i="118"/>
  <c r="BM27" i="118"/>
  <c r="BH27" i="118"/>
  <c r="BG27" i="118"/>
  <c r="BD36" i="118"/>
  <c r="BG38" i="118"/>
  <c r="BH44" i="118"/>
  <c r="AE45" i="118"/>
  <c r="AE46" i="118"/>
  <c r="BF36" i="118"/>
  <c r="BL27" i="118"/>
  <c r="AE36" i="118"/>
  <c r="BL38" i="118"/>
  <c r="BG44" i="118"/>
  <c r="BI46" i="118"/>
  <c r="BD27" i="118"/>
  <c r="BL41" i="118"/>
  <c r="BM43" i="118"/>
  <c r="AF46" i="118"/>
  <c r="AF38" i="118"/>
  <c r="AE38" i="118"/>
  <c r="BF38" i="118"/>
  <c r="BD38" i="118"/>
  <c r="BE38" i="118"/>
  <c r="BI38" i="118"/>
  <c r="BE22" i="118"/>
  <c r="BL39" i="118"/>
  <c r="AB50" i="61"/>
  <c r="AG50" i="61" s="1"/>
  <c r="BS50" i="61" s="1"/>
  <c r="AA50" i="61"/>
  <c r="BR50" i="61" s="1"/>
  <c r="AA41" i="61"/>
  <c r="AB41" i="61"/>
  <c r="AG41" i="61" s="1"/>
  <c r="BS41" i="61" s="1"/>
  <c r="AB42" i="61"/>
  <c r="AA42" i="61"/>
  <c r="AA43" i="61"/>
  <c r="AB43" i="61"/>
  <c r="AG43" i="61" s="1"/>
  <c r="BS43" i="61" s="1"/>
  <c r="AA44" i="61"/>
  <c r="AB44" i="61"/>
  <c r="AA45" i="61"/>
  <c r="AB45" i="61"/>
  <c r="AA46" i="61"/>
  <c r="AB46" i="61"/>
  <c r="AA47" i="61"/>
  <c r="AB47" i="61"/>
  <c r="AA48" i="61"/>
  <c r="AB48" i="61"/>
  <c r="AA49" i="61"/>
  <c r="AB49" i="61"/>
  <c r="AG49" i="61" s="1"/>
  <c r="BS49" i="61" s="1"/>
  <c r="AF48" i="118"/>
  <c r="BD48" i="118"/>
  <c r="BE48" i="118"/>
  <c r="BL48" i="118"/>
  <c r="BG48" i="118"/>
  <c r="BH48" i="118"/>
  <c r="BF48" i="118"/>
  <c r="BI48" i="118"/>
  <c r="BJ48" i="118"/>
  <c r="AE48" i="118"/>
  <c r="BK48" i="118"/>
  <c r="BK39" i="118"/>
  <c r="BJ22" i="118"/>
  <c r="BK22" i="118"/>
  <c r="BL22" i="118"/>
  <c r="BG22" i="118"/>
  <c r="BM22" i="118"/>
  <c r="AF22" i="118"/>
  <c r="BH22" i="118"/>
  <c r="AE22" i="118"/>
  <c r="BF22" i="118"/>
  <c r="BD22" i="118"/>
  <c r="BI22" i="118"/>
  <c r="B22" i="118"/>
  <c r="B27" i="118"/>
  <c r="B36" i="118"/>
  <c r="BM19" i="118"/>
  <c r="B38" i="118"/>
  <c r="B39" i="118"/>
  <c r="BD50" i="118"/>
  <c r="B41" i="118"/>
  <c r="B43" i="118"/>
  <c r="B44" i="118"/>
  <c r="B45" i="118"/>
  <c r="B46" i="118"/>
  <c r="B47" i="118"/>
  <c r="B48" i="118"/>
  <c r="B49" i="118"/>
  <c r="AE39" i="118"/>
  <c r="BE39" i="118"/>
  <c r="BI39" i="118"/>
  <c r="BJ39" i="118"/>
  <c r="BM39" i="118"/>
  <c r="AF39" i="118"/>
  <c r="BH39" i="118"/>
  <c r="BF39" i="118"/>
  <c r="BD39" i="118"/>
  <c r="BG39" i="118"/>
  <c r="BK19" i="118"/>
  <c r="AE50" i="118"/>
  <c r="BE50" i="118"/>
  <c r="BJ50" i="118"/>
  <c r="BK50" i="118"/>
  <c r="BL50" i="118"/>
  <c r="BM50" i="118"/>
  <c r="BI50" i="118"/>
  <c r="AF50" i="118"/>
  <c r="BG19" i="118"/>
  <c r="B19" i="118"/>
  <c r="B42" i="118"/>
  <c r="BI42" i="118"/>
  <c r="AF42" i="118"/>
  <c r="BD42" i="118"/>
  <c r="BD19" i="118"/>
  <c r="AF19" i="118"/>
  <c r="BH42" i="118"/>
  <c r="AE42" i="118"/>
  <c r="BG42" i="118"/>
  <c r="BE19" i="118"/>
  <c r="BF42" i="118"/>
  <c r="BL42" i="118"/>
  <c r="BI19" i="118"/>
  <c r="BM42" i="118"/>
  <c r="BJ42" i="118"/>
  <c r="BL19" i="118"/>
  <c r="BF50" i="118"/>
  <c r="BJ19" i="118"/>
  <c r="BK42" i="118"/>
  <c r="BH19" i="118"/>
  <c r="BG50" i="118"/>
  <c r="B50" i="118"/>
  <c r="AE19" i="118"/>
  <c r="BF19" i="118"/>
  <c r="BE42" i="118"/>
  <c r="BH50" i="118"/>
  <c r="B3" i="46"/>
  <c r="U50" i="118"/>
  <c r="AA50" i="118"/>
  <c r="W50" i="118"/>
  <c r="Y50" i="118"/>
  <c r="AB50" i="118"/>
  <c r="Z50" i="118"/>
  <c r="X50" i="118"/>
  <c r="X43" i="118"/>
  <c r="AA41" i="118"/>
  <c r="U41" i="118"/>
  <c r="AB43" i="118"/>
  <c r="X41" i="118"/>
  <c r="AA43" i="118"/>
  <c r="Z36" i="118"/>
  <c r="U36" i="118"/>
  <c r="AA38" i="118"/>
  <c r="X36" i="118"/>
  <c r="U38" i="118"/>
  <c r="Z38" i="118"/>
  <c r="AB36" i="118"/>
  <c r="U43" i="118"/>
  <c r="Y36" i="118"/>
  <c r="AB41" i="118"/>
  <c r="X38" i="118"/>
  <c r="AA36" i="118"/>
  <c r="Y38" i="118"/>
  <c r="AB38" i="118"/>
  <c r="U49" i="118"/>
  <c r="U48" i="118"/>
  <c r="AB48" i="118"/>
  <c r="AA48" i="118"/>
  <c r="X48" i="118"/>
  <c r="Y48" i="118"/>
  <c r="Z48" i="118"/>
  <c r="AA45" i="118"/>
  <c r="Z45" i="118"/>
  <c r="Y47" i="118"/>
  <c r="AA47" i="118"/>
  <c r="Z47" i="118"/>
  <c r="U45" i="118"/>
  <c r="AB47" i="118"/>
  <c r="X45" i="118"/>
  <c r="U47" i="118"/>
  <c r="U27" i="118"/>
  <c r="AA39" i="118"/>
  <c r="AB27" i="118"/>
  <c r="Z39" i="118"/>
  <c r="AA42" i="118"/>
  <c r="AD11" i="61"/>
  <c r="U42" i="118"/>
  <c r="U44" i="118"/>
  <c r="AB39" i="118"/>
  <c r="AB22" i="118"/>
  <c r="AB19" i="118"/>
  <c r="U22" i="118"/>
  <c r="X27" i="118"/>
  <c r="X39" i="118"/>
  <c r="AB42" i="118"/>
  <c r="AA27" i="118"/>
  <c r="Z22" i="118"/>
  <c r="Y42" i="118"/>
  <c r="AA19" i="118"/>
  <c r="U46" i="118"/>
  <c r="Z42" i="118"/>
  <c r="Z27" i="118"/>
  <c r="Z19" i="118"/>
  <c r="U39" i="118"/>
  <c r="Y22" i="118"/>
  <c r="Y19" i="118"/>
  <c r="AA22" i="118"/>
  <c r="U19" i="118"/>
  <c r="X22" i="118"/>
  <c r="X46" i="118"/>
  <c r="X44" i="118"/>
  <c r="Y27" i="118"/>
  <c r="Y39" i="118"/>
  <c r="X19" i="118"/>
  <c r="AH48" i="61" l="1"/>
  <c r="AJ48" i="61" s="1"/>
  <c r="BT48" i="61" s="1"/>
  <c r="AH47" i="61"/>
  <c r="AJ47" i="61" s="1"/>
  <c r="BT47" i="61" s="1"/>
  <c r="AH46" i="61"/>
  <c r="AJ46" i="61" s="1"/>
  <c r="BT46" i="61" s="1"/>
  <c r="AH45" i="61"/>
  <c r="AJ45" i="61" s="1"/>
  <c r="BT45" i="61" s="1"/>
  <c r="L6" i="78"/>
  <c r="AH44" i="61"/>
  <c r="AJ44" i="61" s="1"/>
  <c r="BT44" i="61" s="1"/>
  <c r="AH43" i="61"/>
  <c r="AJ43" i="61" s="1"/>
  <c r="BT43" i="61" s="1"/>
  <c r="AH42" i="61"/>
  <c r="AJ42" i="61" s="1"/>
  <c r="BT42" i="61" s="1"/>
  <c r="AH41" i="61"/>
  <c r="AJ41" i="61" s="1"/>
  <c r="BT41" i="61" s="1"/>
  <c r="AH50" i="61"/>
  <c r="AJ50" i="61" s="1"/>
  <c r="BT50" i="61" s="1"/>
  <c r="AH49" i="61"/>
  <c r="AJ49" i="61" s="1"/>
  <c r="BT49" i="61" s="1"/>
  <c r="AH39" i="61"/>
  <c r="AJ39" i="61" s="1"/>
  <c r="BT39" i="61" s="1"/>
  <c r="AB39" i="61"/>
  <c r="AA39" i="61"/>
  <c r="Z39" i="61"/>
  <c r="AB38" i="61"/>
  <c r="AA38" i="61"/>
  <c r="AH38" i="61"/>
  <c r="AJ38" i="61" s="1"/>
  <c r="BT38" i="61" s="1"/>
  <c r="AH36" i="61"/>
  <c r="AJ36" i="61" s="1"/>
  <c r="BT36" i="61" s="1"/>
  <c r="AB36" i="61"/>
  <c r="AG36" i="61" s="1"/>
  <c r="BS36" i="61" s="1"/>
  <c r="AA36" i="61"/>
  <c r="AB27" i="61"/>
  <c r="AA27" i="61"/>
  <c r="AH27" i="61"/>
  <c r="AJ27" i="61" s="1"/>
  <c r="BT27" i="61" s="1"/>
  <c r="Z22" i="61"/>
  <c r="AH22" i="61"/>
  <c r="AJ22" i="61" s="1"/>
  <c r="BT22" i="61" s="1"/>
  <c r="AB22" i="61"/>
  <c r="AA22" i="61"/>
  <c r="AB19" i="61"/>
  <c r="AA19" i="61"/>
  <c r="Z19" i="61"/>
  <c r="AH19" i="61"/>
  <c r="AJ19" i="61" s="1"/>
  <c r="BT19" i="61" s="1"/>
  <c r="C35" i="70"/>
  <c r="C36" i="70"/>
  <c r="C37" i="70"/>
  <c r="C38" i="70"/>
  <c r="C39" i="70"/>
  <c r="C40" i="70"/>
  <c r="C41" i="70"/>
  <c r="C42" i="70"/>
  <c r="C43" i="70"/>
  <c r="C44" i="70"/>
  <c r="C45" i="70"/>
  <c r="C46" i="70"/>
  <c r="C47" i="70"/>
  <c r="C48" i="70"/>
  <c r="C49" i="70"/>
  <c r="C50" i="70"/>
  <c r="C51" i="70"/>
  <c r="C52" i="70"/>
  <c r="C53" i="70"/>
  <c r="C54" i="70"/>
  <c r="C55" i="70"/>
  <c r="C56" i="70"/>
  <c r="C57" i="70"/>
  <c r="C58" i="70"/>
  <c r="C59" i="70"/>
  <c r="C60" i="70"/>
  <c r="C61" i="70"/>
  <c r="C62" i="70"/>
  <c r="C63" i="70"/>
  <c r="C64" i="70"/>
  <c r="C65" i="70"/>
  <c r="C66" i="70"/>
  <c r="C67" i="70"/>
  <c r="C68" i="70"/>
  <c r="C69" i="70"/>
  <c r="C70" i="70"/>
  <c r="AE11" i="61" a="1"/>
  <c r="C43" i="71" l="1"/>
  <c r="G43" i="70"/>
  <c r="C38" i="71"/>
  <c r="G38" i="70"/>
  <c r="C44" i="71"/>
  <c r="G44" i="70"/>
  <c r="C66" i="71"/>
  <c r="G66" i="70"/>
  <c r="C59" i="71"/>
  <c r="G59" i="70"/>
  <c r="C46" i="71"/>
  <c r="G46" i="70"/>
  <c r="C68" i="71"/>
  <c r="G68" i="70"/>
  <c r="C64" i="71"/>
  <c r="G64" i="70"/>
  <c r="C63" i="71"/>
  <c r="G63" i="70"/>
  <c r="C37" i="71"/>
  <c r="G37" i="70"/>
  <c r="C58" i="71"/>
  <c r="G58" i="70"/>
  <c r="C42" i="71"/>
  <c r="G42" i="70"/>
  <c r="C65" i="71"/>
  <c r="G65" i="70"/>
  <c r="C39" i="71"/>
  <c r="G39" i="70"/>
  <c r="C60" i="71"/>
  <c r="G60" i="70"/>
  <c r="C57" i="71"/>
  <c r="G57" i="70"/>
  <c r="C50" i="71"/>
  <c r="G50" i="70"/>
  <c r="C48" i="71"/>
  <c r="G48" i="70"/>
  <c r="C70" i="71"/>
  <c r="G70" i="70"/>
  <c r="C69" i="71"/>
  <c r="G69" i="70"/>
  <c r="C61" i="71"/>
  <c r="G61" i="70"/>
  <c r="C36" i="71"/>
  <c r="G36" i="70"/>
  <c r="C54" i="71"/>
  <c r="G54" i="70"/>
  <c r="C67" i="71"/>
  <c r="G67" i="70"/>
  <c r="C41" i="71"/>
  <c r="G41" i="70"/>
  <c r="C62" i="71"/>
  <c r="G62" i="70"/>
  <c r="C56" i="71"/>
  <c r="G56" i="70"/>
  <c r="C55" i="71"/>
  <c r="G55" i="70"/>
  <c r="C49" i="71"/>
  <c r="G49" i="70"/>
  <c r="C47" i="71"/>
  <c r="G47" i="70"/>
  <c r="C45" i="71"/>
  <c r="G45" i="70"/>
  <c r="C40" i="71"/>
  <c r="G40" i="70"/>
  <c r="C35" i="71"/>
  <c r="G35" i="70"/>
  <c r="C53" i="71"/>
  <c r="G53" i="70"/>
  <c r="C52" i="71"/>
  <c r="G52" i="70"/>
  <c r="C51" i="71"/>
  <c r="G51" i="70"/>
  <c r="AE11" i="61"/>
  <c r="CA45" i="61"/>
  <c r="BX46" i="61"/>
  <c r="BY48" i="61"/>
  <c r="BY49" i="61"/>
  <c r="BX45" i="61"/>
  <c r="BZ47" i="61"/>
  <c r="BX50" i="61"/>
  <c r="BY50" i="61"/>
  <c r="BZ48" i="61"/>
  <c r="BW49" i="61"/>
  <c r="BW47" i="61"/>
  <c r="BY45" i="61"/>
  <c r="BX47" i="61"/>
  <c r="BZ46" i="61"/>
  <c r="BZ49" i="61"/>
  <c r="CA49" i="61"/>
  <c r="BZ50" i="61"/>
  <c r="BW50" i="61"/>
  <c r="BX49" i="61"/>
  <c r="BZ45" i="61"/>
  <c r="BX48" i="61"/>
  <c r="BW46" i="61"/>
  <c r="BW45" i="61"/>
  <c r="CA48" i="61"/>
  <c r="BW48" i="61"/>
  <c r="BY47" i="61"/>
  <c r="CA47" i="61"/>
  <c r="BY46" i="61"/>
  <c r="CA50" i="61"/>
  <c r="CA46" i="61"/>
  <c r="C2" i="76"/>
  <c r="B2" i="76"/>
  <c r="C1" i="76"/>
  <c r="B1" i="76"/>
  <c r="E71" i="76"/>
  <c r="B28" i="76"/>
  <c r="K27" i="76"/>
  <c r="C2" i="74"/>
  <c r="B2" i="74"/>
  <c r="C1" i="74"/>
  <c r="B1" i="74"/>
  <c r="G63" i="71" l="1"/>
  <c r="F63" i="120"/>
  <c r="BD63" i="120" s="1"/>
  <c r="G52" i="71"/>
  <c r="F52" i="120"/>
  <c r="BD52" i="120" s="1"/>
  <c r="G41" i="71"/>
  <c r="F41" i="120"/>
  <c r="BD41" i="120" s="1"/>
  <c r="G51" i="71"/>
  <c r="F51" i="120"/>
  <c r="BD51" i="120" s="1"/>
  <c r="G38" i="71"/>
  <c r="F38" i="120"/>
  <c r="BD38" i="120" s="1"/>
  <c r="G40" i="71"/>
  <c r="F40" i="120"/>
  <c r="BD40" i="120" s="1"/>
  <c r="G37" i="71"/>
  <c r="F37" i="120"/>
  <c r="BD37" i="120" s="1"/>
  <c r="G61" i="71"/>
  <c r="F61" i="120"/>
  <c r="BD61" i="120" s="1"/>
  <c r="G39" i="71"/>
  <c r="F39" i="120"/>
  <c r="BD39" i="120" s="1"/>
  <c r="G55" i="71"/>
  <c r="F55" i="120"/>
  <c r="BD55" i="120" s="1"/>
  <c r="G45" i="71"/>
  <c r="F45" i="120"/>
  <c r="BD45" i="120" s="1"/>
  <c r="G50" i="71"/>
  <c r="F50" i="120"/>
  <c r="BD50" i="120" s="1"/>
  <c r="G44" i="71"/>
  <c r="F44" i="120"/>
  <c r="BD44" i="120" s="1"/>
  <c r="G60" i="71"/>
  <c r="F60" i="120"/>
  <c r="BD60" i="120" s="1"/>
  <c r="G49" i="71"/>
  <c r="F49" i="120"/>
  <c r="BD49" i="120" s="1"/>
  <c r="G58" i="71"/>
  <c r="F58" i="120"/>
  <c r="BD58" i="120" s="1"/>
  <c r="G46" i="71"/>
  <c r="F46" i="120"/>
  <c r="BD46" i="120" s="1"/>
  <c r="G47" i="71"/>
  <c r="F47" i="120"/>
  <c r="BD47" i="120" s="1"/>
  <c r="G36" i="71"/>
  <c r="F36" i="120"/>
  <c r="BD36" i="120" s="1"/>
  <c r="G65" i="71"/>
  <c r="F65" i="120"/>
  <c r="BD65" i="120" s="1"/>
  <c r="G35" i="71"/>
  <c r="F35" i="120"/>
  <c r="BD35" i="120" s="1"/>
  <c r="G67" i="71"/>
  <c r="F67" i="120"/>
  <c r="BD67" i="120" s="1"/>
  <c r="G56" i="71"/>
  <c r="F56" i="120"/>
  <c r="BD56" i="120" s="1"/>
  <c r="G42" i="71"/>
  <c r="F42" i="120"/>
  <c r="BD42" i="120" s="1"/>
  <c r="G43" i="71"/>
  <c r="F43" i="120"/>
  <c r="BD43" i="120" s="1"/>
  <c r="G59" i="71"/>
  <c r="F59" i="120"/>
  <c r="BD59" i="120" s="1"/>
  <c r="G57" i="71"/>
  <c r="F57" i="120"/>
  <c r="BD57" i="120" s="1"/>
  <c r="G62" i="71"/>
  <c r="F62" i="120"/>
  <c r="BD62" i="120" s="1"/>
  <c r="G48" i="71"/>
  <c r="F48" i="120"/>
  <c r="BD48" i="120" s="1"/>
  <c r="G64" i="71"/>
  <c r="F64" i="120"/>
  <c r="BD64" i="120" s="1"/>
  <c r="G53" i="71"/>
  <c r="F53" i="120"/>
  <c r="BD53" i="120" s="1"/>
  <c r="G70" i="71"/>
  <c r="F70" i="120"/>
  <c r="BD70" i="120" s="1"/>
  <c r="G54" i="71"/>
  <c r="F54" i="120"/>
  <c r="BD54" i="120" s="1"/>
  <c r="G69" i="71"/>
  <c r="F69" i="120"/>
  <c r="BD69" i="120" s="1"/>
  <c r="G68" i="71"/>
  <c r="F68" i="120"/>
  <c r="BD68" i="120" s="1"/>
  <c r="G66" i="71"/>
  <c r="F66" i="120"/>
  <c r="BD66" i="120" s="1"/>
  <c r="B50" i="9"/>
  <c r="BP50" i="61"/>
  <c r="B36" i="71"/>
  <c r="B35" i="71"/>
  <c r="E71" i="74"/>
  <c r="B28" i="74"/>
  <c r="C50" i="9" l="1" a="1"/>
  <c r="C50" i="9" s="1"/>
  <c r="D2" i="71"/>
  <c r="C2" i="71"/>
  <c r="D1" i="71"/>
  <c r="C1" i="71"/>
  <c r="D2" i="70"/>
  <c r="C2" i="70"/>
  <c r="D1" i="70"/>
  <c r="C1" i="70"/>
  <c r="B2" i="69"/>
  <c r="A2" i="69"/>
  <c r="B1" i="69"/>
  <c r="A1" i="69"/>
  <c r="B1" i="66"/>
  <c r="B2" i="66"/>
  <c r="C2" i="66"/>
  <c r="C1" i="66"/>
  <c r="A28" i="69"/>
  <c r="B28" i="66"/>
  <c r="B1" i="65" l="1"/>
  <c r="D48" i="65"/>
  <c r="F48" i="65"/>
  <c r="E48" i="65"/>
  <c r="D3" i="65"/>
  <c r="B3" i="65"/>
  <c r="C3" i="65"/>
  <c r="B4" i="65"/>
  <c r="C4" i="65"/>
  <c r="B5" i="65"/>
  <c r="C5" i="65"/>
  <c r="C2" i="65"/>
  <c r="D2" i="65"/>
  <c r="B2" i="65"/>
  <c r="D45" i="64"/>
  <c r="B50" i="40" l="1"/>
  <c r="B50" i="42" l="1"/>
  <c r="B50" i="46" s="1"/>
  <c r="D50" i="40"/>
  <c r="B28" i="5"/>
  <c r="G5" i="120" s="1"/>
  <c r="C50" i="46" l="1" a="1"/>
  <c r="C50" i="46" s="1"/>
  <c r="I50" i="46" s="1"/>
  <c r="G50" i="46" s="1"/>
  <c r="E50" i="46"/>
  <c r="F50" i="46"/>
  <c r="B50" i="51"/>
  <c r="B50" i="58" s="1"/>
  <c r="F50" i="58" s="1"/>
  <c r="C70" i="120" l="1"/>
  <c r="AU70" i="120" s="1"/>
  <c r="B2" i="63"/>
  <c r="C1" i="63"/>
  <c r="B1" i="63"/>
  <c r="AS70" i="120" l="1"/>
  <c r="AV70" i="120"/>
  <c r="C44" i="64" s="1"/>
  <c r="AF70" i="120"/>
  <c r="H70" i="120"/>
  <c r="Y70" i="120"/>
  <c r="S70" i="120"/>
  <c r="V70" i="120" s="1"/>
  <c r="AM70" i="120"/>
  <c r="AP70" i="120" s="1"/>
  <c r="O70" i="120"/>
  <c r="R70" i="120" s="1"/>
  <c r="AJ70" i="120"/>
  <c r="AE70" i="120"/>
  <c r="AH70" i="120" s="1"/>
  <c r="AQ70" i="120"/>
  <c r="AT70" i="120" s="1"/>
  <c r="G70" i="120"/>
  <c r="J70" i="120" s="1"/>
  <c r="X70" i="120"/>
  <c r="L70" i="120"/>
  <c r="K70" i="120"/>
  <c r="N70" i="120" s="1"/>
  <c r="Q70" i="120"/>
  <c r="B44" i="64"/>
  <c r="T70" i="120"/>
  <c r="BA70" i="120"/>
  <c r="AA70" i="120"/>
  <c r="AD70" i="120" s="1"/>
  <c r="B70" i="120"/>
  <c r="AI70" i="120"/>
  <c r="AL70" i="120" s="1"/>
  <c r="I70" i="120"/>
  <c r="AC70" i="120"/>
  <c r="W70" i="120"/>
  <c r="Z70" i="120" s="1"/>
  <c r="M70" i="120"/>
  <c r="U70" i="120"/>
  <c r="AB70" i="120"/>
  <c r="AG70" i="120"/>
  <c r="AK70" i="120"/>
  <c r="AR70" i="120"/>
  <c r="BB70" i="120"/>
  <c r="P70" i="120"/>
  <c r="AO70" i="120"/>
  <c r="B50" i="77"/>
  <c r="AN70" i="120"/>
  <c r="C47" i="65"/>
  <c r="C50" i="77"/>
  <c r="G50" i="77" s="1"/>
  <c r="E70" i="120"/>
  <c r="E51" i="63"/>
  <c r="B15" i="60"/>
  <c r="B16" i="60"/>
  <c r="B17" i="60"/>
  <c r="B18" i="60"/>
  <c r="B19" i="60"/>
  <c r="B20" i="60"/>
  <c r="B21" i="60"/>
  <c r="B22" i="60"/>
  <c r="B23" i="60"/>
  <c r="B24" i="60"/>
  <c r="B25" i="60"/>
  <c r="B26" i="60"/>
  <c r="B27" i="60"/>
  <c r="B28" i="60"/>
  <c r="B29" i="60"/>
  <c r="B30" i="60"/>
  <c r="B31" i="60"/>
  <c r="B32" i="60"/>
  <c r="B33" i="60"/>
  <c r="B34" i="60"/>
  <c r="B35" i="60"/>
  <c r="B36" i="60"/>
  <c r="B37" i="60"/>
  <c r="B38" i="60"/>
  <c r="B39" i="60"/>
  <c r="B40" i="60"/>
  <c r="B41" i="60"/>
  <c r="B42" i="60"/>
  <c r="B43" i="60"/>
  <c r="B44" i="60"/>
  <c r="B45" i="60"/>
  <c r="B46" i="60"/>
  <c r="B47" i="60"/>
  <c r="B48" i="60"/>
  <c r="B49" i="60"/>
  <c r="B50" i="60"/>
  <c r="F50" i="77" l="1"/>
  <c r="H50" i="77" s="1"/>
  <c r="B50" i="63"/>
  <c r="B50" i="57" s="1"/>
  <c r="G50" i="57" s="1"/>
  <c r="J50" i="77"/>
  <c r="K50" i="42"/>
  <c r="L50" i="42"/>
  <c r="M50" i="42"/>
  <c r="H50" i="40"/>
  <c r="D50" i="63" l="1"/>
  <c r="E50" i="57"/>
  <c r="C70" i="74"/>
  <c r="C70" i="66"/>
  <c r="D70" i="66" s="1"/>
  <c r="K50" i="51"/>
  <c r="F50" i="57"/>
  <c r="J50" i="40"/>
  <c r="I50" i="40"/>
  <c r="H44" i="64"/>
  <c r="B47" i="65"/>
  <c r="D45" i="60"/>
  <c r="D46" i="60"/>
  <c r="D47" i="60"/>
  <c r="D48" i="60"/>
  <c r="D49" i="60"/>
  <c r="D50" i="60"/>
  <c r="BE16" i="61"/>
  <c r="BF16" i="61"/>
  <c r="BE17" i="61"/>
  <c r="BF17" i="61"/>
  <c r="BE18" i="61"/>
  <c r="BF18" i="61"/>
  <c r="BE19" i="61"/>
  <c r="BF19" i="61"/>
  <c r="BE20" i="61"/>
  <c r="BF20" i="61"/>
  <c r="BE21" i="61"/>
  <c r="BF21" i="61"/>
  <c r="BE22" i="61"/>
  <c r="BF22" i="61"/>
  <c r="BE23" i="61"/>
  <c r="BF23" i="61"/>
  <c r="BE24" i="61"/>
  <c r="BF24" i="61"/>
  <c r="BE25" i="61"/>
  <c r="BF25" i="61"/>
  <c r="BE26" i="61"/>
  <c r="BF26" i="61"/>
  <c r="BE27" i="61"/>
  <c r="BF27" i="61"/>
  <c r="BE28" i="61"/>
  <c r="BF28" i="61"/>
  <c r="BE29" i="61"/>
  <c r="BF29" i="61"/>
  <c r="BE30" i="61"/>
  <c r="BF30" i="61"/>
  <c r="BE31" i="61"/>
  <c r="BF31" i="61"/>
  <c r="BE32" i="61"/>
  <c r="BF32" i="61"/>
  <c r="BE33" i="61"/>
  <c r="BF33" i="61"/>
  <c r="BE34" i="61"/>
  <c r="BF34" i="61"/>
  <c r="BE35" i="61"/>
  <c r="BF35" i="61"/>
  <c r="BE36" i="61"/>
  <c r="BF36" i="61"/>
  <c r="BE37" i="61"/>
  <c r="BF37" i="61"/>
  <c r="BE38" i="61"/>
  <c r="BF38" i="61"/>
  <c r="BE39" i="61"/>
  <c r="BF39" i="61"/>
  <c r="BE40" i="61"/>
  <c r="BF40" i="61"/>
  <c r="AP45" i="61"/>
  <c r="AQ45" i="61"/>
  <c r="AR45" i="61"/>
  <c r="AS45" i="61"/>
  <c r="AP46" i="61"/>
  <c r="AQ46" i="61"/>
  <c r="AR46" i="61"/>
  <c r="AS46" i="61"/>
  <c r="AP47" i="61"/>
  <c r="AQ47" i="61"/>
  <c r="AR47" i="61"/>
  <c r="AS47" i="61"/>
  <c r="AP48" i="61"/>
  <c r="AQ48" i="61"/>
  <c r="AR48" i="61"/>
  <c r="AS48" i="61"/>
  <c r="AP49" i="61"/>
  <c r="AQ49" i="61"/>
  <c r="AR49" i="61"/>
  <c r="AS49" i="61"/>
  <c r="AP50" i="61"/>
  <c r="AQ50" i="61"/>
  <c r="AR50" i="61"/>
  <c r="AS50" i="61"/>
  <c r="G49" i="42" l="1"/>
  <c r="D49" i="9"/>
  <c r="G48" i="42"/>
  <c r="D48" i="9"/>
  <c r="G45" i="42"/>
  <c r="D45" i="9"/>
  <c r="G47" i="42"/>
  <c r="D47" i="9"/>
  <c r="G50" i="42"/>
  <c r="D50" i="9"/>
  <c r="G46" i="42"/>
  <c r="D46" i="9"/>
  <c r="E70" i="66"/>
  <c r="C50" i="63"/>
  <c r="C50" i="58"/>
  <c r="I50" i="58" s="1"/>
  <c r="L50" i="51"/>
  <c r="Y70" i="66"/>
  <c r="G70" i="66"/>
  <c r="S70" i="66"/>
  <c r="Q70" i="66"/>
  <c r="F70" i="66"/>
  <c r="M70" i="66"/>
  <c r="J70" i="66"/>
  <c r="K70" i="66"/>
  <c r="P70" i="66"/>
  <c r="B70" i="66"/>
  <c r="H70" i="66"/>
  <c r="V70" i="66"/>
  <c r="T70" i="66"/>
  <c r="U70" i="66" s="1"/>
  <c r="N70" i="66"/>
  <c r="Q47" i="65"/>
  <c r="R47" i="65"/>
  <c r="C70" i="76"/>
  <c r="J70" i="74"/>
  <c r="F70" i="74"/>
  <c r="R70" i="70" s="1"/>
  <c r="R70" i="71" s="1"/>
  <c r="L70" i="74"/>
  <c r="B70" i="74"/>
  <c r="G70" i="74"/>
  <c r="K70" i="74"/>
  <c r="H70" i="74"/>
  <c r="D70" i="76" s="1"/>
  <c r="M70" i="74"/>
  <c r="AT46" i="61" a="1"/>
  <c r="AT46" i="61" s="1"/>
  <c r="AT47" i="61" a="1"/>
  <c r="AT47" i="61" s="1"/>
  <c r="AT49" i="61" a="1"/>
  <c r="AT49" i="61" s="1"/>
  <c r="AT50" i="61" a="1"/>
  <c r="AT50" i="61" s="1"/>
  <c r="E50" i="9" s="1"/>
  <c r="AT48" i="61" a="1"/>
  <c r="AT48" i="61" s="1"/>
  <c r="AT45" i="61" a="1"/>
  <c r="AT45" i="61" s="1"/>
  <c r="I50" i="77" l="1"/>
  <c r="G50" i="58"/>
  <c r="H50" i="58" s="1"/>
  <c r="D70" i="120" s="1"/>
  <c r="I70" i="66"/>
  <c r="L70" i="66" s="1"/>
  <c r="O70" i="66" s="1"/>
  <c r="G70" i="76"/>
  <c r="J70" i="76"/>
  <c r="I70" i="76"/>
  <c r="B70" i="76"/>
  <c r="K70" i="76"/>
  <c r="L70" i="76"/>
  <c r="B70" i="69"/>
  <c r="F70" i="76"/>
  <c r="A11" i="60"/>
  <c r="D70" i="69" l="1"/>
  <c r="K70" i="69"/>
  <c r="H70" i="69"/>
  <c r="U70" i="69"/>
  <c r="V70" i="69" s="1"/>
  <c r="P70" i="70" s="1"/>
  <c r="I70" i="69"/>
  <c r="L70" i="69"/>
  <c r="O70" i="69"/>
  <c r="A70" i="69"/>
  <c r="G70" i="69"/>
  <c r="Q70" i="69"/>
  <c r="E70" i="69"/>
  <c r="W70" i="69" s="1"/>
  <c r="C70" i="69"/>
  <c r="T70" i="69"/>
  <c r="R70" i="69"/>
  <c r="N70" i="69"/>
  <c r="R70" i="66"/>
  <c r="F70" i="69"/>
  <c r="Q70" i="70" l="1"/>
  <c r="Q70" i="71" s="1"/>
  <c r="P70" i="71"/>
  <c r="J70" i="69"/>
  <c r="M70" i="69" s="1"/>
  <c r="B62" i="70"/>
  <c r="S62" i="70" s="1"/>
  <c r="S62" i="71" s="1"/>
  <c r="B67" i="70"/>
  <c r="S67" i="70" s="1"/>
  <c r="S67" i="71" s="1"/>
  <c r="B54" i="70"/>
  <c r="S54" i="70" s="1"/>
  <c r="S54" i="71" s="1"/>
  <c r="B70" i="70"/>
  <c r="S70" i="70" s="1"/>
  <c r="S70" i="71" s="1"/>
  <c r="B55" i="70"/>
  <c r="S55" i="70" s="1"/>
  <c r="S55" i="71" s="1"/>
  <c r="B68" i="70"/>
  <c r="S68" i="70" s="1"/>
  <c r="S68" i="71" s="1"/>
  <c r="B69" i="70"/>
  <c r="S69" i="70" s="1"/>
  <c r="S69" i="71" s="1"/>
  <c r="B56" i="70"/>
  <c r="S56" i="70" s="1"/>
  <c r="S56" i="71" s="1"/>
  <c r="B63" i="70"/>
  <c r="S63" i="70" s="1"/>
  <c r="S63" i="71" s="1"/>
  <c r="B60" i="70"/>
  <c r="S60" i="70" s="1"/>
  <c r="S60" i="71" s="1"/>
  <c r="B59" i="70"/>
  <c r="S59" i="70" s="1"/>
  <c r="S59" i="71" s="1"/>
  <c r="B58" i="70"/>
  <c r="S58" i="70" s="1"/>
  <c r="S58" i="71" s="1"/>
  <c r="B61" i="70"/>
  <c r="S61" i="70" s="1"/>
  <c r="S61" i="71" s="1"/>
  <c r="B57" i="70"/>
  <c r="S57" i="70" s="1"/>
  <c r="S57" i="71" s="1"/>
  <c r="B53" i="70"/>
  <c r="S53" i="70" s="1"/>
  <c r="S53" i="71" s="1"/>
  <c r="B65" i="70"/>
  <c r="S65" i="70" s="1"/>
  <c r="S65" i="71" s="1"/>
  <c r="B64" i="70"/>
  <c r="S64" i="70" s="1"/>
  <c r="S64" i="71" s="1"/>
  <c r="B66" i="70"/>
  <c r="S66" i="70" s="1"/>
  <c r="S66" i="71" s="1"/>
  <c r="H51" i="57"/>
  <c r="I17" i="57"/>
  <c r="J17" i="57" s="1"/>
  <c r="I26" i="57"/>
  <c r="J26" i="57" s="1"/>
  <c r="I28" i="57"/>
  <c r="J28" i="57" s="1"/>
  <c r="E17" i="5"/>
  <c r="E10" i="9"/>
  <c r="A9" i="61"/>
  <c r="A9" i="9"/>
  <c r="BF15" i="61"/>
  <c r="BE15" i="61"/>
  <c r="BF14" i="61"/>
  <c r="BE14" i="61"/>
  <c r="BF13" i="61"/>
  <c r="BE13" i="61"/>
  <c r="A12" i="61"/>
  <c r="T1" i="79" s="1"/>
  <c r="T17" i="79" s="1"/>
  <c r="BF11" i="61"/>
  <c r="BE11" i="61"/>
  <c r="I4" i="61"/>
  <c r="J3" i="61"/>
  <c r="I3" i="61"/>
  <c r="D1" i="61"/>
  <c r="C1" i="61"/>
  <c r="B1" i="61"/>
  <c r="A1" i="61"/>
  <c r="C4" i="60"/>
  <c r="G3" i="60" s="1"/>
  <c r="C5" i="60"/>
  <c r="G5" i="60" s="1"/>
  <c r="C3" i="60"/>
  <c r="G4" i="60" s="1"/>
  <c r="B4" i="60"/>
  <c r="B5" i="60"/>
  <c r="B3" i="60"/>
  <c r="C2" i="60"/>
  <c r="B2" i="60"/>
  <c r="B1" i="60"/>
  <c r="D2" i="60"/>
  <c r="E1" i="60"/>
  <c r="D1" i="60"/>
  <c r="D46" i="61" l="1"/>
  <c r="BG46" i="61" s="1"/>
  <c r="D49" i="61"/>
  <c r="BG49" i="61" s="1"/>
  <c r="D45" i="61"/>
  <c r="BG45" i="61" s="1"/>
  <c r="D47" i="61"/>
  <c r="BG47" i="61" s="1"/>
  <c r="D48" i="61"/>
  <c r="BG48" i="61" s="1"/>
  <c r="T15" i="79"/>
  <c r="T16" i="79"/>
  <c r="D41" i="60"/>
  <c r="D42" i="60"/>
  <c r="D43" i="60"/>
  <c r="D44" i="60"/>
  <c r="D40" i="61"/>
  <c r="BG40" i="61" s="1"/>
  <c r="D43" i="61"/>
  <c r="BG43" i="61" s="1"/>
  <c r="D44" i="61"/>
  <c r="BG44" i="61" s="1"/>
  <c r="D41" i="61"/>
  <c r="BG41" i="61" s="1"/>
  <c r="D42" i="61"/>
  <c r="BG42" i="61" s="1"/>
  <c r="I10" i="61"/>
  <c r="D39" i="61"/>
  <c r="BG39" i="61" s="1"/>
  <c r="D37" i="61"/>
  <c r="BG37" i="61" s="1"/>
  <c r="D23" i="61"/>
  <c r="BG23" i="61" s="1"/>
  <c r="D28" i="61"/>
  <c r="BG28" i="61" s="1"/>
  <c r="D29" i="61"/>
  <c r="BG29" i="61" s="1"/>
  <c r="D36" i="61"/>
  <c r="BG36" i="61" s="1"/>
  <c r="D32" i="61"/>
  <c r="BG32" i="61" s="1"/>
  <c r="D18" i="61"/>
  <c r="BG18" i="61" s="1"/>
  <c r="D25" i="61"/>
  <c r="BG25" i="61" s="1"/>
  <c r="D22" i="61"/>
  <c r="BG22" i="61" s="1"/>
  <c r="D24" i="61"/>
  <c r="BG24" i="61" s="1"/>
  <c r="D19" i="61"/>
  <c r="BG19" i="61" s="1"/>
  <c r="D15" i="61"/>
  <c r="BG15" i="61" s="1"/>
  <c r="D33" i="61"/>
  <c r="BG33" i="61" s="1"/>
  <c r="D35" i="61"/>
  <c r="BG35" i="61" s="1"/>
  <c r="D12" i="61"/>
  <c r="BG12" i="61" s="1"/>
  <c r="D14" i="61"/>
  <c r="BG14" i="61" s="1"/>
  <c r="D31" i="61"/>
  <c r="BG31" i="61" s="1"/>
  <c r="D16" i="61"/>
  <c r="BG16" i="61" s="1"/>
  <c r="D38" i="61"/>
  <c r="BG38" i="61" s="1"/>
  <c r="D34" i="61"/>
  <c r="BG34" i="61" s="1"/>
  <c r="D20" i="61"/>
  <c r="BG20" i="61" s="1"/>
  <c r="D27" i="61"/>
  <c r="BG27" i="61" s="1"/>
  <c r="D30" i="61"/>
  <c r="BG30" i="61" s="1"/>
  <c r="D21" i="61"/>
  <c r="BG21" i="61" s="1"/>
  <c r="D11" i="61"/>
  <c r="BG11" i="61" s="1"/>
  <c r="D37" i="60"/>
  <c r="D37" i="9" s="1"/>
  <c r="D36" i="60"/>
  <c r="D36" i="9" s="1"/>
  <c r="D12" i="60"/>
  <c r="D12" i="9" s="1"/>
  <c r="D13" i="60"/>
  <c r="D13" i="9" s="1"/>
  <c r="D14" i="60"/>
  <c r="D14" i="9" s="1"/>
  <c r="D11" i="60"/>
  <c r="D33" i="60"/>
  <c r="D33" i="9" s="1"/>
  <c r="D34" i="60"/>
  <c r="D34" i="9" s="1"/>
  <c r="D35" i="60"/>
  <c r="D35" i="9" s="1"/>
  <c r="D39" i="60"/>
  <c r="D39" i="9" s="1"/>
  <c r="D38" i="60"/>
  <c r="D38" i="9" s="1"/>
  <c r="D40" i="60"/>
  <c r="D40" i="9" s="1"/>
  <c r="P70" i="69"/>
  <c r="S70" i="69" s="1"/>
  <c r="B55" i="71"/>
  <c r="B67" i="71"/>
  <c r="B54" i="71"/>
  <c r="B63" i="71"/>
  <c r="B56" i="71"/>
  <c r="B69" i="71"/>
  <c r="B68" i="71"/>
  <c r="B70" i="71"/>
  <c r="B62" i="71"/>
  <c r="B60" i="71"/>
  <c r="B59" i="71"/>
  <c r="B58" i="71"/>
  <c r="B61" i="71"/>
  <c r="B57" i="71"/>
  <c r="B53" i="71"/>
  <c r="B64" i="71"/>
  <c r="B66" i="71"/>
  <c r="B65" i="71"/>
  <c r="D31" i="60"/>
  <c r="D31" i="9" s="1"/>
  <c r="D32" i="60"/>
  <c r="D32" i="9" s="1"/>
  <c r="AU47" i="61"/>
  <c r="AU48" i="61"/>
  <c r="AU45" i="61"/>
  <c r="AU49" i="61"/>
  <c r="AU46" i="61"/>
  <c r="AU50" i="61"/>
  <c r="A13" i="61"/>
  <c r="D26" i="60"/>
  <c r="D26" i="9" s="1"/>
  <c r="D30" i="60"/>
  <c r="D30" i="9" s="1"/>
  <c r="D28" i="60"/>
  <c r="D28" i="9" s="1"/>
  <c r="D29" i="60"/>
  <c r="D29" i="9" s="1"/>
  <c r="D27" i="60"/>
  <c r="D27" i="9" s="1"/>
  <c r="D25" i="60"/>
  <c r="D25" i="9" s="1"/>
  <c r="D18" i="60"/>
  <c r="D18" i="9" s="1"/>
  <c r="D22" i="60"/>
  <c r="D22" i="9" s="1"/>
  <c r="D15" i="60"/>
  <c r="D15" i="9" s="1"/>
  <c r="D20" i="60"/>
  <c r="D20" i="9" s="1"/>
  <c r="D23" i="60"/>
  <c r="D23" i="9" s="1"/>
  <c r="D24" i="60"/>
  <c r="D24" i="9" s="1"/>
  <c r="D16" i="60"/>
  <c r="D16" i="9" s="1"/>
  <c r="D17" i="60"/>
  <c r="D17" i="9" s="1"/>
  <c r="D19" i="60"/>
  <c r="D19" i="9" s="1"/>
  <c r="D21" i="60"/>
  <c r="D21" i="9" s="1"/>
  <c r="B5" i="46"/>
  <c r="C4" i="46"/>
  <c r="C5" i="46"/>
  <c r="A7" i="9"/>
  <c r="B7" i="9"/>
  <c r="C7" i="9"/>
  <c r="D7" i="9"/>
  <c r="G42" i="42" l="1"/>
  <c r="D42" i="9"/>
  <c r="G41" i="42"/>
  <c r="D41" i="9"/>
  <c r="G44" i="42"/>
  <c r="D44" i="9"/>
  <c r="G43" i="42"/>
  <c r="D43" i="9"/>
  <c r="D11" i="9"/>
  <c r="G11" i="42"/>
  <c r="G40" i="42"/>
  <c r="P3" i="79" a="1"/>
  <c r="P3" i="79" s="1"/>
  <c r="L3" i="79" a="1"/>
  <c r="L3" i="79" s="1"/>
  <c r="M3" i="79" s="1" a="1"/>
  <c r="M3" i="79" s="1"/>
  <c r="N3" i="79" s="1" a="1"/>
  <c r="N3" i="79" s="1"/>
  <c r="O3" i="79" s="1" a="1"/>
  <c r="O3" i="79" s="1"/>
  <c r="L2" i="79" a="1"/>
  <c r="L2" i="79" s="1"/>
  <c r="T9" i="79"/>
  <c r="P2" i="79" a="1"/>
  <c r="P2" i="79" s="1"/>
  <c r="Q3" i="79" a="1"/>
  <c r="Q3" i="79" s="1"/>
  <c r="T45" i="79"/>
  <c r="F2" i="79" s="1"/>
  <c r="G13" i="42"/>
  <c r="G39" i="42"/>
  <c r="G38" i="42"/>
  <c r="G37" i="42"/>
  <c r="G36" i="42"/>
  <c r="G35" i="42"/>
  <c r="G34" i="42"/>
  <c r="G12" i="42"/>
  <c r="G33" i="42"/>
  <c r="G32" i="42"/>
  <c r="G31" i="42"/>
  <c r="G30" i="42"/>
  <c r="G29" i="42"/>
  <c r="G28" i="42"/>
  <c r="G27" i="42"/>
  <c r="G26" i="42"/>
  <c r="G25" i="42"/>
  <c r="G24" i="42"/>
  <c r="G23" i="42"/>
  <c r="G22" i="42"/>
  <c r="G21" i="42"/>
  <c r="G20" i="42"/>
  <c r="G19" i="42"/>
  <c r="G18" i="42"/>
  <c r="G17" i="42"/>
  <c r="G16" i="42"/>
  <c r="G15" i="42"/>
  <c r="G14" i="42"/>
  <c r="A14" i="61"/>
  <c r="Z40" i="61"/>
  <c r="AA40" i="61"/>
  <c r="AB40" i="61"/>
  <c r="AF40" i="118"/>
  <c r="BF40" i="118"/>
  <c r="BD40" i="118"/>
  <c r="B40" i="118"/>
  <c r="BG40" i="118"/>
  <c r="BL40" i="118"/>
  <c r="BE40" i="118"/>
  <c r="BI40" i="118"/>
  <c r="BJ40" i="118"/>
  <c r="BK40" i="118"/>
  <c r="BM40" i="118"/>
  <c r="BH40" i="118"/>
  <c r="AE40" i="118"/>
  <c r="AV46" i="61"/>
  <c r="BC46" i="61" s="1"/>
  <c r="BD46" i="61"/>
  <c r="AV49" i="61"/>
  <c r="BD49" i="61"/>
  <c r="AV45" i="61"/>
  <c r="BC45" i="61" s="1"/>
  <c r="BD45" i="61"/>
  <c r="AV47" i="61"/>
  <c r="BC47" i="61" s="1"/>
  <c r="BD47" i="61"/>
  <c r="AV50" i="61"/>
  <c r="BC50" i="61" s="1"/>
  <c r="BD50" i="61"/>
  <c r="AV48" i="61"/>
  <c r="BC48" i="61" s="1"/>
  <c r="BD48" i="61"/>
  <c r="C3" i="46"/>
  <c r="C3" i="44"/>
  <c r="A1" i="9"/>
  <c r="A10" i="42"/>
  <c r="A7" i="43" s="1"/>
  <c r="A5" i="44" s="1"/>
  <c r="A10" i="60" s="1"/>
  <c r="B10" i="42"/>
  <c r="B7" i="43" s="1"/>
  <c r="B5" i="44" s="1"/>
  <c r="B10" i="60" s="1"/>
  <c r="A11" i="40"/>
  <c r="A11" i="42" s="1"/>
  <c r="A11" i="46" s="1"/>
  <c r="F1" i="58"/>
  <c r="G1" i="58"/>
  <c r="D5" i="58" s="1"/>
  <c r="B2" i="44"/>
  <c r="C2" i="44"/>
  <c r="B3" i="44"/>
  <c r="B1" i="44"/>
  <c r="B2" i="46"/>
  <c r="C2" i="46"/>
  <c r="B4" i="46"/>
  <c r="B1" i="46"/>
  <c r="C10" i="51" a="1"/>
  <c r="D10" i="51" s="1"/>
  <c r="E20" i="5"/>
  <c r="E19" i="5"/>
  <c r="B9" i="51"/>
  <c r="A11" i="51"/>
  <c r="A9" i="51"/>
  <c r="F10" i="40"/>
  <c r="E10" i="40"/>
  <c r="B10" i="40"/>
  <c r="A10" i="40"/>
  <c r="A2" i="9"/>
  <c r="B2" i="9"/>
  <c r="D2" i="9"/>
  <c r="A3" i="9"/>
  <c r="B3" i="9"/>
  <c r="C3" i="9"/>
  <c r="D3" i="9"/>
  <c r="A4" i="9"/>
  <c r="B4" i="9"/>
  <c r="C4" i="9"/>
  <c r="D4" i="9"/>
  <c r="A5" i="9"/>
  <c r="B5" i="9"/>
  <c r="C5" i="9"/>
  <c r="D5" i="9"/>
  <c r="A6" i="9"/>
  <c r="B6" i="9"/>
  <c r="C6" i="9"/>
  <c r="D6" i="9"/>
  <c r="A8" i="9"/>
  <c r="B8" i="9"/>
  <c r="C8" i="9"/>
  <c r="D8" i="9"/>
  <c r="F21" i="5"/>
  <c r="B2" i="57"/>
  <c r="C1" i="57"/>
  <c r="B1" i="57"/>
  <c r="D2" i="64"/>
  <c r="J3" i="65" s="1"/>
  <c r="D1" i="64"/>
  <c r="J2" i="65" s="1"/>
  <c r="F2" i="51"/>
  <c r="G1" i="51"/>
  <c r="K1" i="51" s="1"/>
  <c r="F1" i="51"/>
  <c r="E18" i="5"/>
  <c r="D1" i="46"/>
  <c r="E1" i="46"/>
  <c r="D2" i="46"/>
  <c r="A9" i="46"/>
  <c r="G10" i="46"/>
  <c r="A6" i="43"/>
  <c r="E7" i="43"/>
  <c r="B2" i="42"/>
  <c r="C1" i="42"/>
  <c r="B1" i="42"/>
  <c r="I10" i="42"/>
  <c r="B2" i="40"/>
  <c r="C1" i="40"/>
  <c r="B1" i="40"/>
  <c r="D1" i="44"/>
  <c r="E1" i="44"/>
  <c r="D2" i="44"/>
  <c r="A4" i="44"/>
  <c r="D5" i="44"/>
  <c r="D2" i="43"/>
  <c r="E2" i="43"/>
  <c r="D3" i="43"/>
  <c r="A9" i="42"/>
  <c r="A9" i="40"/>
  <c r="Y13" i="118"/>
  <c r="X13" i="118"/>
  <c r="AB13" i="118"/>
  <c r="U13" i="118"/>
  <c r="Z13" i="118"/>
  <c r="AA13" i="118"/>
  <c r="Y40" i="118"/>
  <c r="AA40" i="118"/>
  <c r="Z40" i="118"/>
  <c r="AB40" i="118"/>
  <c r="U40" i="118"/>
  <c r="X40" i="118"/>
  <c r="R2" i="80" l="1" a="1"/>
  <c r="R2" i="80" s="1"/>
  <c r="R2" i="117" a="1"/>
  <c r="R2" i="117" s="1"/>
  <c r="R2" i="84" a="1"/>
  <c r="R2" i="84" s="1"/>
  <c r="R2" i="121" a="1"/>
  <c r="R2" i="121" s="1"/>
  <c r="R2" i="93" a="1"/>
  <c r="R2" i="93" s="1"/>
  <c r="R2" i="78" a="1"/>
  <c r="R2" i="78" s="1"/>
  <c r="AH40" i="61"/>
  <c r="AJ40" i="61" s="1"/>
  <c r="BT40" i="61" s="1"/>
  <c r="M2" i="79" a="1"/>
  <c r="M2" i="79" s="1"/>
  <c r="A15" i="61"/>
  <c r="T1" i="81"/>
  <c r="Z13" i="61"/>
  <c r="BQ13" i="61" s="1"/>
  <c r="BJ29" i="118"/>
  <c r="BM15" i="118"/>
  <c r="BH25" i="118"/>
  <c r="BJ18" i="118"/>
  <c r="BK21" i="118"/>
  <c r="AE13" i="118"/>
  <c r="BK33" i="118"/>
  <c r="AE15" i="118"/>
  <c r="BH15" i="118"/>
  <c r="BD15" i="118"/>
  <c r="BM25" i="118"/>
  <c r="BD18" i="118"/>
  <c r="BL18" i="118"/>
  <c r="BG15" i="118"/>
  <c r="AF25" i="118"/>
  <c r="AE25" i="118"/>
  <c r="BL29" i="118"/>
  <c r="AF29" i="118"/>
  <c r="BE18" i="118"/>
  <c r="AF13" i="118"/>
  <c r="BI13" i="118"/>
  <c r="AE29" i="118"/>
  <c r="BM29" i="118"/>
  <c r="BH29" i="118"/>
  <c r="BH13" i="118"/>
  <c r="BH33" i="118"/>
  <c r="AF15" i="118"/>
  <c r="BM33" i="118"/>
  <c r="BI15" i="118"/>
  <c r="BK15" i="118"/>
  <c r="BJ15" i="118"/>
  <c r="BD33" i="118"/>
  <c r="BF29" i="118"/>
  <c r="BG33" i="118"/>
  <c r="BE15" i="118"/>
  <c r="BL33" i="118"/>
  <c r="BL15" i="118"/>
  <c r="BK29" i="118"/>
  <c r="AF33" i="118"/>
  <c r="BF15" i="118"/>
  <c r="BE33" i="118"/>
  <c r="AE33" i="118"/>
  <c r="BF33" i="118"/>
  <c r="AE21" i="118"/>
  <c r="BG21" i="118"/>
  <c r="BL21" i="118"/>
  <c r="BI33" i="118"/>
  <c r="BJ33" i="118"/>
  <c r="BF32" i="118"/>
  <c r="BE29" i="118"/>
  <c r="BD29" i="118"/>
  <c r="BI29" i="118"/>
  <c r="BD32" i="118"/>
  <c r="BG29" i="118"/>
  <c r="BG32" i="118"/>
  <c r="BL32" i="118"/>
  <c r="B30" i="118"/>
  <c r="B21" i="118"/>
  <c r="B17" i="118"/>
  <c r="B14" i="118"/>
  <c r="B13" i="118"/>
  <c r="AF21" i="118"/>
  <c r="BI26" i="118"/>
  <c r="BI21" i="118"/>
  <c r="BI23" i="118"/>
  <c r="B32" i="118"/>
  <c r="BJ21" i="118"/>
  <c r="B33" i="118"/>
  <c r="B28" i="118"/>
  <c r="B24" i="118"/>
  <c r="BM21" i="118"/>
  <c r="B16" i="118"/>
  <c r="BH21" i="118"/>
  <c r="B29" i="118"/>
  <c r="B35" i="118"/>
  <c r="AF30" i="118"/>
  <c r="BE32" i="118"/>
  <c r="B15" i="118"/>
  <c r="B37" i="118"/>
  <c r="AF32" i="118"/>
  <c r="BI32" i="118"/>
  <c r="B20" i="118"/>
  <c r="B31" i="118"/>
  <c r="BM32" i="118"/>
  <c r="AE32" i="118"/>
  <c r="BF13" i="118"/>
  <c r="B25" i="118"/>
  <c r="BM13" i="118"/>
  <c r="B18" i="118"/>
  <c r="BL25" i="118"/>
  <c r="AE18" i="118"/>
  <c r="BH18" i="118"/>
  <c r="BD21" i="118"/>
  <c r="BF21" i="118"/>
  <c r="BH32" i="118"/>
  <c r="AF18" i="118"/>
  <c r="BI18" i="118"/>
  <c r="BJ32" i="118"/>
  <c r="BK25" i="118"/>
  <c r="BE21" i="118"/>
  <c r="BK32" i="118"/>
  <c r="BJ13" i="118"/>
  <c r="BD13" i="118"/>
  <c r="AE30" i="118"/>
  <c r="BF18" i="118"/>
  <c r="BF30" i="118"/>
  <c r="BF25" i="118"/>
  <c r="BM18" i="118"/>
  <c r="BM17" i="118"/>
  <c r="BD30" i="118"/>
  <c r="BK17" i="118"/>
  <c r="BD25" i="118"/>
  <c r="BE25" i="118"/>
  <c r="BK18" i="118"/>
  <c r="BI25" i="118"/>
  <c r="BG18" i="118"/>
  <c r="AE17" i="118"/>
  <c r="BG25" i="118"/>
  <c r="BJ25" i="118"/>
  <c r="BH30" i="118"/>
  <c r="BH17" i="118"/>
  <c r="BL30" i="118"/>
  <c r="BJ17" i="118"/>
  <c r="BD17" i="118"/>
  <c r="BJ30" i="118"/>
  <c r="BE14" i="118"/>
  <c r="BK30" i="118"/>
  <c r="BM30" i="118"/>
  <c r="BG17" i="118"/>
  <c r="BF14" i="118"/>
  <c r="BE30" i="118"/>
  <c r="AF17" i="118"/>
  <c r="BE13" i="118"/>
  <c r="BI30" i="118"/>
  <c r="BE17" i="118"/>
  <c r="BI17" i="118"/>
  <c r="BL13" i="118"/>
  <c r="BF17" i="118"/>
  <c r="BK13" i="118"/>
  <c r="BG30" i="118"/>
  <c r="BL17" i="118"/>
  <c r="BG13" i="118"/>
  <c r="AF24" i="118"/>
  <c r="BF24" i="118"/>
  <c r="BD24" i="118"/>
  <c r="BF16" i="118"/>
  <c r="BL20" i="118"/>
  <c r="BF28" i="118"/>
  <c r="BM16" i="118"/>
  <c r="BD28" i="118"/>
  <c r="BG16" i="118"/>
  <c r="AE28" i="118"/>
  <c r="BM20" i="118"/>
  <c r="BG37" i="118"/>
  <c r="BG24" i="118"/>
  <c r="BG20" i="118"/>
  <c r="BD20" i="118"/>
  <c r="AF28" i="118"/>
  <c r="AE37" i="118"/>
  <c r="AE20" i="118"/>
  <c r="BI20" i="118"/>
  <c r="AF20" i="118"/>
  <c r="BJ37" i="118"/>
  <c r="BH37" i="118"/>
  <c r="BE24" i="118"/>
  <c r="BI24" i="118"/>
  <c r="BH28" i="118"/>
  <c r="BJ24" i="118"/>
  <c r="BL16" i="118"/>
  <c r="AE16" i="118"/>
  <c r="BH16" i="118"/>
  <c r="BG28" i="118"/>
  <c r="BE28" i="118"/>
  <c r="BI28" i="118"/>
  <c r="AE24" i="118"/>
  <c r="BK20" i="118"/>
  <c r="BH35" i="118"/>
  <c r="BL28" i="118"/>
  <c r="BJ28" i="118"/>
  <c r="BL24" i="118"/>
  <c r="BE20" i="118"/>
  <c r="BE37" i="118"/>
  <c r="BK28" i="118"/>
  <c r="BI16" i="118"/>
  <c r="BL31" i="118"/>
  <c r="BM28" i="118"/>
  <c r="AF16" i="118"/>
  <c r="BK24" i="118"/>
  <c r="BJ16" i="118"/>
  <c r="BG35" i="118"/>
  <c r="BD37" i="118"/>
  <c r="AF37" i="118"/>
  <c r="BF31" i="118"/>
  <c r="BM24" i="118"/>
  <c r="BD16" i="118"/>
  <c r="BL35" i="118"/>
  <c r="BH24" i="118"/>
  <c r="BK16" i="118"/>
  <c r="BD31" i="118"/>
  <c r="BE16" i="118"/>
  <c r="BK35" i="118"/>
  <c r="BM35" i="118"/>
  <c r="BF37" i="118"/>
  <c r="BG31" i="118"/>
  <c r="AE35" i="118"/>
  <c r="BL37" i="118"/>
  <c r="BI14" i="118"/>
  <c r="BL14" i="118"/>
  <c r="BJ14" i="118"/>
  <c r="BK14" i="118"/>
  <c r="BM14" i="118"/>
  <c r="BG14" i="118"/>
  <c r="AE14" i="118"/>
  <c r="BF20" i="118"/>
  <c r="BF35" i="118"/>
  <c r="BI37" i="118"/>
  <c r="AF31" i="118"/>
  <c r="BE31" i="118"/>
  <c r="BD14" i="118"/>
  <c r="BH14" i="118"/>
  <c r="BI31" i="118"/>
  <c r="AF14" i="118"/>
  <c r="BH20" i="118"/>
  <c r="BJ35" i="118"/>
  <c r="BK37" i="118"/>
  <c r="BJ31" i="118"/>
  <c r="BJ20" i="118"/>
  <c r="BD35" i="118"/>
  <c r="BM37" i="118"/>
  <c r="AE31" i="118"/>
  <c r="BH31" i="118"/>
  <c r="BE35" i="118"/>
  <c r="BI35" i="118"/>
  <c r="BK31" i="118"/>
  <c r="AF35" i="118"/>
  <c r="BM31" i="118"/>
  <c r="BJ23" i="118"/>
  <c r="BK23" i="118"/>
  <c r="BM23" i="118"/>
  <c r="BL23" i="118"/>
  <c r="BD23" i="118"/>
  <c r="BG23" i="118"/>
  <c r="B26" i="118"/>
  <c r="BM26" i="118"/>
  <c r="BL26" i="118"/>
  <c r="BH26" i="118"/>
  <c r="BH23" i="118"/>
  <c r="AE26" i="118"/>
  <c r="BK26" i="118"/>
  <c r="AF26" i="118"/>
  <c r="AE23" i="118"/>
  <c r="B23" i="118"/>
  <c r="BF26" i="118"/>
  <c r="BJ26" i="118"/>
  <c r="BD26" i="118"/>
  <c r="AF23" i="118"/>
  <c r="BG26" i="118"/>
  <c r="BE26" i="118"/>
  <c r="BF23" i="118"/>
  <c r="BE23" i="118"/>
  <c r="C9" i="51" a="1"/>
  <c r="E9" i="51" s="1"/>
  <c r="E1" i="64"/>
  <c r="K2" i="65" s="1"/>
  <c r="F7" i="65" s="1"/>
  <c r="A10" i="58"/>
  <c r="A10" i="77"/>
  <c r="A10" i="63" s="1"/>
  <c r="A10" i="57" s="1"/>
  <c r="A11" i="58"/>
  <c r="A11" i="77"/>
  <c r="A11" i="63" s="1"/>
  <c r="A11" i="57" s="1"/>
  <c r="B10" i="58"/>
  <c r="B10" i="77"/>
  <c r="B10" i="63" s="1"/>
  <c r="B10" i="57" s="1"/>
  <c r="B4" i="64"/>
  <c r="B7" i="65" s="1"/>
  <c r="A8" i="43"/>
  <c r="A6" i="44" s="1"/>
  <c r="AW45" i="61"/>
  <c r="BB45" i="61" s="1"/>
  <c r="AW50" i="61"/>
  <c r="BB50" i="61" s="1"/>
  <c r="AW47" i="61"/>
  <c r="BB47" i="61" s="1"/>
  <c r="AW48" i="61"/>
  <c r="BB48" i="61" s="1"/>
  <c r="AW49" i="61"/>
  <c r="BB49" i="61" s="1"/>
  <c r="BC49" i="61"/>
  <c r="AW46" i="61"/>
  <c r="A14" i="9"/>
  <c r="A12" i="51"/>
  <c r="A12" i="42"/>
  <c r="A12" i="46" s="1"/>
  <c r="B10" i="46"/>
  <c r="A10" i="46"/>
  <c r="H10" i="51"/>
  <c r="J10" i="51"/>
  <c r="E10" i="51"/>
  <c r="I10" i="51"/>
  <c r="C10" i="51"/>
  <c r="G10" i="51"/>
  <c r="F10" i="51"/>
  <c r="Z35" i="118"/>
  <c r="U37" i="118"/>
  <c r="AA35" i="118"/>
  <c r="AB35" i="118"/>
  <c r="Y37" i="118"/>
  <c r="Z37" i="118"/>
  <c r="X37" i="118"/>
  <c r="X35" i="118"/>
  <c r="AB37" i="118"/>
  <c r="Y35" i="118"/>
  <c r="U35" i="118"/>
  <c r="AA37" i="118"/>
  <c r="T15" i="81" l="1"/>
  <c r="T18" i="81"/>
  <c r="T16" i="81"/>
  <c r="T19" i="81"/>
  <c r="T17" i="81"/>
  <c r="A5" i="64"/>
  <c r="A8" i="65" s="1"/>
  <c r="E7" i="65"/>
  <c r="A4" i="64"/>
  <c r="A7" i="65" s="1"/>
  <c r="N2" i="79" a="1"/>
  <c r="N2" i="79" s="1"/>
  <c r="AB37" i="61"/>
  <c r="AG37" i="61" s="1"/>
  <c r="BS37" i="61" s="1"/>
  <c r="AA37" i="61"/>
  <c r="Z37" i="61"/>
  <c r="AH37" i="61"/>
  <c r="AJ37" i="61" s="1"/>
  <c r="BT37" i="61" s="1"/>
  <c r="Z35" i="61"/>
  <c r="AB35" i="61"/>
  <c r="AG35" i="61" s="1"/>
  <c r="BS35" i="61" s="1"/>
  <c r="AH35" i="61"/>
  <c r="AJ35" i="61" s="1"/>
  <c r="BT35" i="61" s="1"/>
  <c r="AA35" i="61"/>
  <c r="A16" i="61"/>
  <c r="T1" i="82"/>
  <c r="G9" i="51"/>
  <c r="H9" i="51"/>
  <c r="D9" i="51"/>
  <c r="C9" i="51"/>
  <c r="J9" i="51"/>
  <c r="F9" i="51"/>
  <c r="I9" i="51"/>
  <c r="A14" i="40"/>
  <c r="A14" i="42" s="1"/>
  <c r="A14" i="46" s="1"/>
  <c r="A14" i="60"/>
  <c r="AH13" i="61"/>
  <c r="AJ13" i="61" s="1"/>
  <c r="BT13" i="61" s="1"/>
  <c r="BE34" i="118"/>
  <c r="AE34" i="118"/>
  <c r="AF34" i="118"/>
  <c r="BM34" i="118"/>
  <c r="BH34" i="118"/>
  <c r="B34" i="118"/>
  <c r="BF34" i="118"/>
  <c r="BD34" i="118"/>
  <c r="BI34" i="118"/>
  <c r="BJ34" i="118"/>
  <c r="BL34" i="118"/>
  <c r="BK34" i="118"/>
  <c r="BG34" i="118"/>
  <c r="K10" i="51"/>
  <c r="A12" i="58"/>
  <c r="A12" i="77"/>
  <c r="A12" i="63" s="1"/>
  <c r="A12" i="57" s="1"/>
  <c r="A13" i="51"/>
  <c r="AX50" i="61"/>
  <c r="AY50" i="61" s="1"/>
  <c r="A13" i="42"/>
  <c r="A13" i="46" s="1"/>
  <c r="A9" i="43"/>
  <c r="A7" i="44" s="1"/>
  <c r="AX45" i="61"/>
  <c r="AY45" i="61" s="1"/>
  <c r="AX49" i="61"/>
  <c r="AY49" i="61" s="1"/>
  <c r="AX47" i="61"/>
  <c r="AY47" i="61" s="1"/>
  <c r="AX48" i="61"/>
  <c r="AY48" i="61" s="1"/>
  <c r="AX46" i="61"/>
  <c r="AY46" i="61" s="1"/>
  <c r="BB46" i="61"/>
  <c r="A15" i="9"/>
  <c r="A15" i="60" s="1"/>
  <c r="A14" i="51"/>
  <c r="O2" i="79" l="1" a="1"/>
  <c r="O2" i="79" s="1"/>
  <c r="T15" i="82"/>
  <c r="T16" i="82"/>
  <c r="T18" i="82"/>
  <c r="T17" i="82"/>
  <c r="A6" i="64"/>
  <c r="A9" i="65" s="1"/>
  <c r="L3" i="81" a="1"/>
  <c r="L3" i="81" s="1"/>
  <c r="M3" i="81" s="1" a="1"/>
  <c r="M3" i="81" s="1"/>
  <c r="N3" i="81" s="1" a="1"/>
  <c r="N3" i="81" s="1"/>
  <c r="O3" i="81" s="1" a="1"/>
  <c r="O3" i="81" s="1"/>
  <c r="P3" i="81" a="1"/>
  <c r="P3" i="81" s="1"/>
  <c r="T9" i="81"/>
  <c r="L2" i="81" a="1"/>
  <c r="L2" i="81" s="1"/>
  <c r="Q3" i="81" a="1"/>
  <c r="Q3" i="81" s="1"/>
  <c r="P2" i="81" a="1"/>
  <c r="P2" i="81" s="1"/>
  <c r="T45" i="81"/>
  <c r="F2" i="81" s="1"/>
  <c r="A17" i="61"/>
  <c r="T1" i="83"/>
  <c r="T17" i="83" s="1"/>
  <c r="A14" i="58"/>
  <c r="A14" i="77"/>
  <c r="A14" i="63" s="1"/>
  <c r="A14" i="57" s="1"/>
  <c r="A13" i="58"/>
  <c r="A13" i="77"/>
  <c r="A13" i="63" s="1"/>
  <c r="A13" i="57" s="1"/>
  <c r="B43" i="70"/>
  <c r="S43" i="70" s="1"/>
  <c r="S43" i="71" s="1"/>
  <c r="B48" i="70"/>
  <c r="S48" i="70" s="1"/>
  <c r="S48" i="71" s="1"/>
  <c r="B47" i="70"/>
  <c r="S47" i="70" s="1"/>
  <c r="S47" i="71" s="1"/>
  <c r="B44" i="70"/>
  <c r="S44" i="70" s="1"/>
  <c r="S44" i="71" s="1"/>
  <c r="B42" i="70"/>
  <c r="S42" i="70" s="1"/>
  <c r="S42" i="71" s="1"/>
  <c r="B41" i="70"/>
  <c r="S41" i="70" s="1"/>
  <c r="S41" i="71" s="1"/>
  <c r="B51" i="70"/>
  <c r="S51" i="70" s="1"/>
  <c r="S51" i="71" s="1"/>
  <c r="B52" i="70"/>
  <c r="S52" i="70" s="1"/>
  <c r="S52" i="71" s="1"/>
  <c r="B50" i="70"/>
  <c r="S50" i="70" s="1"/>
  <c r="S50" i="71" s="1"/>
  <c r="B49" i="70"/>
  <c r="S49" i="70" s="1"/>
  <c r="S49" i="71" s="1"/>
  <c r="B45" i="70"/>
  <c r="S45" i="70" s="1"/>
  <c r="S45" i="71" s="1"/>
  <c r="BA45" i="61"/>
  <c r="B46" i="70"/>
  <c r="S46" i="70" s="1"/>
  <c r="S46" i="71" s="1"/>
  <c r="BA50" i="61"/>
  <c r="A10" i="43"/>
  <c r="A8" i="44" s="1"/>
  <c r="A11" i="43"/>
  <c r="A9" i="44" s="1"/>
  <c r="BA49" i="61"/>
  <c r="BA48" i="61"/>
  <c r="BA47" i="61"/>
  <c r="BA46" i="61"/>
  <c r="AZ49" i="61"/>
  <c r="AZ50" i="61"/>
  <c r="AZ47" i="61"/>
  <c r="AZ45" i="61"/>
  <c r="AZ48" i="61"/>
  <c r="AZ46" i="61"/>
  <c r="A15" i="40"/>
  <c r="A15" i="42" s="1"/>
  <c r="A15" i="46" s="1"/>
  <c r="A15" i="51"/>
  <c r="A16" i="9"/>
  <c r="A16" i="60" s="1"/>
  <c r="Y17" i="118"/>
  <c r="X17" i="118"/>
  <c r="AB26" i="118"/>
  <c r="AA26" i="118"/>
  <c r="Z26" i="118"/>
  <c r="U17" i="118"/>
  <c r="W13" i="118"/>
  <c r="W17" i="118"/>
  <c r="U26" i="118"/>
  <c r="AA17" i="118"/>
  <c r="Z17" i="118"/>
  <c r="X26" i="118"/>
  <c r="Y26" i="118"/>
  <c r="AB17" i="118"/>
  <c r="W26" i="118"/>
  <c r="AB28" i="118"/>
  <c r="AB23" i="118"/>
  <c r="Y23" i="118"/>
  <c r="U23" i="118"/>
  <c r="X23" i="118"/>
  <c r="U28" i="118"/>
  <c r="AA23" i="118"/>
  <c r="Y28" i="118"/>
  <c r="Z23" i="118"/>
  <c r="AA28" i="118"/>
  <c r="X28" i="118"/>
  <c r="Z28" i="118"/>
  <c r="U16" i="118"/>
  <c r="Y16" i="118"/>
  <c r="X16" i="118"/>
  <c r="AA16" i="118"/>
  <c r="AB16" i="118"/>
  <c r="Z16" i="118"/>
  <c r="Z20" i="118"/>
  <c r="AB30" i="118"/>
  <c r="AA18" i="118"/>
  <c r="AA32" i="118"/>
  <c r="Z34" i="118"/>
  <c r="Z32" i="118"/>
  <c r="AA20" i="118"/>
  <c r="W14" i="118"/>
  <c r="Z15" i="118"/>
  <c r="AA33" i="118"/>
  <c r="AB14" i="118"/>
  <c r="Y31" i="118"/>
  <c r="U30" i="118"/>
  <c r="Z21" i="118"/>
  <c r="Y29" i="118"/>
  <c r="AA25" i="118"/>
  <c r="U24" i="118"/>
  <c r="Z25" i="118"/>
  <c r="AA34" i="118"/>
  <c r="AB24" i="118"/>
  <c r="X25" i="118"/>
  <c r="AA21" i="118"/>
  <c r="U25" i="118"/>
  <c r="Z31" i="118"/>
  <c r="X33" i="118"/>
  <c r="U20" i="118"/>
  <c r="Y20" i="118"/>
  <c r="X29" i="118"/>
  <c r="AB15" i="118"/>
  <c r="AA24" i="118"/>
  <c r="AB21" i="118"/>
  <c r="Z30" i="118"/>
  <c r="U14" i="118"/>
  <c r="X14" i="118"/>
  <c r="X30" i="118"/>
  <c r="X32" i="118"/>
  <c r="Z14" i="118"/>
  <c r="Y24" i="118"/>
  <c r="X20" i="118"/>
  <c r="Y32" i="118"/>
  <c r="AB20" i="118"/>
  <c r="Y25" i="118"/>
  <c r="AA14" i="118"/>
  <c r="U32" i="118"/>
  <c r="X31" i="118"/>
  <c r="AB32" i="118"/>
  <c r="AB34" i="118"/>
  <c r="AA15" i="118"/>
  <c r="X24" i="118"/>
  <c r="AB29" i="118"/>
  <c r="Z29" i="118"/>
  <c r="Y18" i="118"/>
  <c r="AB18" i="118"/>
  <c r="AB33" i="118"/>
  <c r="U31" i="118"/>
  <c r="Y15" i="118"/>
  <c r="AB31" i="118"/>
  <c r="Y34" i="118"/>
  <c r="U33" i="118"/>
  <c r="U21" i="118"/>
  <c r="X34" i="118"/>
  <c r="Y21" i="118"/>
  <c r="Z24" i="118"/>
  <c r="U15" i="118"/>
  <c r="U29" i="118"/>
  <c r="Y14" i="118"/>
  <c r="Y30" i="118"/>
  <c r="U34" i="118"/>
  <c r="AD12" i="61"/>
  <c r="AA29" i="118"/>
  <c r="X15" i="118"/>
  <c r="AB25" i="118"/>
  <c r="AA31" i="118"/>
  <c r="X21" i="118"/>
  <c r="X18" i="118"/>
  <c r="Z33" i="118"/>
  <c r="Y33" i="118"/>
  <c r="AA30" i="118"/>
  <c r="Z18" i="118"/>
  <c r="U18" i="118"/>
  <c r="R2" i="79" l="1" a="1"/>
  <c r="R2" i="79" s="1"/>
  <c r="L6" i="79"/>
  <c r="T15" i="83"/>
  <c r="T16" i="83"/>
  <c r="P3" i="82" a="1"/>
  <c r="P3" i="82" s="1"/>
  <c r="M2" i="81" a="1"/>
  <c r="M2" i="81" s="1"/>
  <c r="L3" i="82" a="1"/>
  <c r="L3" i="82" s="1"/>
  <c r="L2" i="82" a="1"/>
  <c r="L2" i="82" s="1"/>
  <c r="T45" i="82"/>
  <c r="F2" i="82" s="1"/>
  <c r="Q3" i="82" a="1"/>
  <c r="Q3" i="82" s="1"/>
  <c r="T9" i="82"/>
  <c r="P2" i="82" a="1"/>
  <c r="P2" i="82" s="1"/>
  <c r="BX17" i="61"/>
  <c r="Z34" i="61"/>
  <c r="AA18" i="61"/>
  <c r="AA16" i="61"/>
  <c r="AH20" i="61"/>
  <c r="AJ20" i="61" s="1"/>
  <c r="BT20" i="61" s="1"/>
  <c r="AS17" i="61"/>
  <c r="AH25" i="61"/>
  <c r="AJ25" i="61" s="1"/>
  <c r="BT25" i="61" s="1"/>
  <c r="Z29" i="61"/>
  <c r="Z30" i="61"/>
  <c r="AB18" i="61"/>
  <c r="AA33" i="61"/>
  <c r="Z28" i="61"/>
  <c r="BQ28" i="61" s="1"/>
  <c r="AH33" i="61"/>
  <c r="AJ33" i="61" s="1"/>
  <c r="BT33" i="61" s="1"/>
  <c r="AH28" i="61"/>
  <c r="AJ28" i="61" s="1"/>
  <c r="BT28" i="61" s="1"/>
  <c r="CA14" i="61"/>
  <c r="AH15" i="61"/>
  <c r="AJ15" i="61" s="1"/>
  <c r="BT15" i="61" s="1"/>
  <c r="AA26" i="61"/>
  <c r="BR26" i="61" s="1"/>
  <c r="AB17" i="61"/>
  <c r="AA29" i="61"/>
  <c r="AR13" i="61"/>
  <c r="AU13" i="61"/>
  <c r="BD13" i="61" s="1"/>
  <c r="AH34" i="61"/>
  <c r="AJ34" i="61" s="1"/>
  <c r="BT34" i="61" s="1"/>
  <c r="AB14" i="61"/>
  <c r="AH32" i="61"/>
  <c r="AJ32" i="61" s="1"/>
  <c r="BT32" i="61" s="1"/>
  <c r="AH23" i="61"/>
  <c r="AJ23" i="61" s="1"/>
  <c r="BT23" i="61" s="1"/>
  <c r="AA31" i="61"/>
  <c r="BW13" i="61"/>
  <c r="AB23" i="61"/>
  <c r="AH17" i="61"/>
  <c r="AJ17" i="61" s="1"/>
  <c r="BT17" i="61" s="1"/>
  <c r="AH24" i="61"/>
  <c r="AJ24" i="61" s="1"/>
  <c r="BT24" i="61" s="1"/>
  <c r="AB34" i="61"/>
  <c r="Z25" i="61"/>
  <c r="Z17" i="61"/>
  <c r="BQ17" i="61" s="1"/>
  <c r="AB13" i="61"/>
  <c r="AR26" i="61"/>
  <c r="AA25" i="61"/>
  <c r="AH21" i="61"/>
  <c r="AJ21" i="61" s="1"/>
  <c r="BT21" i="61" s="1"/>
  <c r="Z31" i="61"/>
  <c r="Z33" i="61"/>
  <c r="AA14" i="61"/>
  <c r="BR14" i="61" s="1"/>
  <c r="Z18" i="61"/>
  <c r="AR17" i="61"/>
  <c r="BX13" i="61"/>
  <c r="BW17" i="61"/>
  <c r="BW26" i="61"/>
  <c r="AS26" i="61"/>
  <c r="AB31" i="61"/>
  <c r="Z23" i="61"/>
  <c r="BQ23" i="61" s="1"/>
  <c r="AB24" i="61"/>
  <c r="AB29" i="61"/>
  <c r="BZ13" i="61"/>
  <c r="AH16" i="61"/>
  <c r="AJ16" i="61" s="1"/>
  <c r="BT16" i="61" s="1"/>
  <c r="AA28" i="61"/>
  <c r="BR28" i="61" s="1"/>
  <c r="Z21" i="61"/>
  <c r="Z24" i="61"/>
  <c r="AB28" i="61"/>
  <c r="Z20" i="61"/>
  <c r="AB21" i="61"/>
  <c r="AB15" i="61"/>
  <c r="AB25" i="61"/>
  <c r="AA17" i="61"/>
  <c r="BR17" i="61" s="1"/>
  <c r="AA20" i="61"/>
  <c r="AH14" i="61"/>
  <c r="AJ14" i="61" s="1"/>
  <c r="BT14" i="61" s="1"/>
  <c r="AB16" i="61"/>
  <c r="AA34" i="61"/>
  <c r="AH26" i="61"/>
  <c r="AJ26" i="61" s="1"/>
  <c r="BT26" i="61" s="1"/>
  <c r="AA30" i="61"/>
  <c r="AB30" i="61"/>
  <c r="Z32" i="61"/>
  <c r="Z26" i="61"/>
  <c r="BQ26" i="61" s="1"/>
  <c r="AA13" i="61"/>
  <c r="BR13" i="61" s="1"/>
  <c r="Z16" i="61"/>
  <c r="AU17" i="61"/>
  <c r="BD17" i="61" s="1"/>
  <c r="AQ26" i="61"/>
  <c r="AH18" i="61"/>
  <c r="AJ18" i="61" s="1"/>
  <c r="BT18" i="61" s="1"/>
  <c r="AH30" i="61"/>
  <c r="AJ30" i="61" s="1"/>
  <c r="BT30" i="61" s="1"/>
  <c r="AA24" i="61"/>
  <c r="Z15" i="61"/>
  <c r="AH29" i="61"/>
  <c r="AJ29" i="61" s="1"/>
  <c r="BT29" i="61" s="1"/>
  <c r="AB20" i="61"/>
  <c r="AB26" i="61"/>
  <c r="AA32" i="61"/>
  <c r="AB33" i="61"/>
  <c r="AB32" i="61"/>
  <c r="CA26" i="61"/>
  <c r="Z14" i="61"/>
  <c r="BQ14" i="61" s="1"/>
  <c r="AA21" i="61"/>
  <c r="AA15" i="61"/>
  <c r="AH31" i="61"/>
  <c r="AJ31" i="61" s="1"/>
  <c r="BT31" i="61" s="1"/>
  <c r="AA23" i="61"/>
  <c r="BR23" i="61" s="1"/>
  <c r="A8" i="64"/>
  <c r="A11" i="65" s="1"/>
  <c r="A18" i="61"/>
  <c r="A15" i="58"/>
  <c r="A15" i="77"/>
  <c r="A15" i="63" s="1"/>
  <c r="A15" i="57" s="1"/>
  <c r="A7" i="64"/>
  <c r="A10" i="65" s="1"/>
  <c r="B44" i="71"/>
  <c r="B47" i="71"/>
  <c r="B43" i="71"/>
  <c r="B48" i="71"/>
  <c r="B42" i="71"/>
  <c r="B41" i="71"/>
  <c r="B51" i="71"/>
  <c r="B52" i="71"/>
  <c r="B50" i="71"/>
  <c r="B49" i="71"/>
  <c r="B45" i="71"/>
  <c r="B46" i="71"/>
  <c r="A12" i="43"/>
  <c r="A10" i="44" s="1"/>
  <c r="A17" i="9"/>
  <c r="A17" i="60" s="1"/>
  <c r="A16" i="51"/>
  <c r="A16" i="40"/>
  <c r="A16" i="42" s="1"/>
  <c r="A16" i="46" s="1"/>
  <c r="W15" i="118"/>
  <c r="AE12" i="61" a="1"/>
  <c r="AE12" i="61" l="1"/>
  <c r="N2" i="81" a="1"/>
  <c r="N2" i="81" s="1"/>
  <c r="M2" i="82" a="1"/>
  <c r="M2" i="82" s="1"/>
  <c r="CA15" i="61"/>
  <c r="BR15" i="61"/>
  <c r="BQ15" i="61"/>
  <c r="L2" i="83" a="1"/>
  <c r="L2" i="83" s="1"/>
  <c r="Q3" i="83" a="1"/>
  <c r="Q3" i="83" s="1"/>
  <c r="P3" i="83" a="1"/>
  <c r="P3" i="83" s="1"/>
  <c r="L3" i="83" a="1"/>
  <c r="L3" i="83" s="1"/>
  <c r="M3" i="83" s="1" a="1"/>
  <c r="M3" i="83" s="1"/>
  <c r="T45" i="83"/>
  <c r="F2" i="83" s="1"/>
  <c r="P2" i="83" a="1"/>
  <c r="P2" i="83" s="1"/>
  <c r="T9" i="83"/>
  <c r="AQ14" i="61"/>
  <c r="M3" i="82" a="1"/>
  <c r="M3" i="82" s="1"/>
  <c r="BW14" i="61"/>
  <c r="AQ17" i="61"/>
  <c r="CA13" i="61"/>
  <c r="AU14" i="61"/>
  <c r="BD14" i="61" s="1"/>
  <c r="BZ17" i="61"/>
  <c r="AS13" i="61"/>
  <c r="AV13" i="61"/>
  <c r="BC13" i="61" s="1"/>
  <c r="B17" i="9"/>
  <c r="BX26" i="61"/>
  <c r="CA17" i="61"/>
  <c r="BY26" i="61"/>
  <c r="B13" i="9"/>
  <c r="AP17" i="61"/>
  <c r="BY17" i="61"/>
  <c r="AV17" i="61"/>
  <c r="BC17" i="61" s="1"/>
  <c r="AP14" i="61"/>
  <c r="B26" i="9"/>
  <c r="AU26" i="61"/>
  <c r="AV26" i="61" s="1"/>
  <c r="AW26" i="61" s="1"/>
  <c r="BB26" i="61" s="1"/>
  <c r="AQ13" i="61"/>
  <c r="BY13" i="61"/>
  <c r="AP26" i="61"/>
  <c r="AT26" i="61" s="1" a="1"/>
  <c r="AT26" i="61" s="1"/>
  <c r="BZ26" i="61"/>
  <c r="A9" i="64"/>
  <c r="A12" i="65" s="1"/>
  <c r="A19" i="61"/>
  <c r="T1" i="85"/>
  <c r="T19" i="85" s="1"/>
  <c r="A16" i="58"/>
  <c r="A16" i="77"/>
  <c r="A16" i="63" s="1"/>
  <c r="A16" i="57" s="1"/>
  <c r="A13" i="43"/>
  <c r="A11" i="44" s="1"/>
  <c r="A17" i="40"/>
  <c r="A17" i="42" s="1"/>
  <c r="A17" i="46" s="1"/>
  <c r="A17" i="51"/>
  <c r="A18" i="9"/>
  <c r="A18" i="60" s="1"/>
  <c r="B47" i="43"/>
  <c r="W16" i="118"/>
  <c r="N2" i="82" l="1" a="1"/>
  <c r="N2" i="82" s="1"/>
  <c r="O2" i="81" a="1"/>
  <c r="O2" i="81" s="1"/>
  <c r="L6" i="81" s="1"/>
  <c r="E26" i="9"/>
  <c r="C26" i="9" a="1"/>
  <c r="C26" i="9" s="1"/>
  <c r="C17" i="9" a="1"/>
  <c r="C17" i="9" s="1"/>
  <c r="C13" i="9" a="1"/>
  <c r="C13" i="9" s="1"/>
  <c r="AP16" i="61"/>
  <c r="BQ16" i="61"/>
  <c r="BR16" i="61"/>
  <c r="T15" i="85"/>
  <c r="T17" i="85"/>
  <c r="T16" i="85"/>
  <c r="T18" i="85"/>
  <c r="M2" i="83" a="1"/>
  <c r="M2" i="83" s="1"/>
  <c r="CA16" i="61"/>
  <c r="A10" i="64"/>
  <c r="A13" i="65" s="1"/>
  <c r="BW15" i="61"/>
  <c r="BX14" i="61"/>
  <c r="N3" i="82" a="1"/>
  <c r="N3" i="82" s="1"/>
  <c r="O3" i="82" s="1" a="1"/>
  <c r="O3" i="82" s="1"/>
  <c r="AP15" i="61"/>
  <c r="AU15" i="61"/>
  <c r="BD15" i="61" s="1"/>
  <c r="N3" i="83" a="1"/>
  <c r="N3" i="83" s="1"/>
  <c r="AT17" i="61" a="1"/>
  <c r="AT17" i="61" s="1"/>
  <c r="E17" i="9" s="1"/>
  <c r="AT13" i="61" a="1"/>
  <c r="AT13" i="61" s="1"/>
  <c r="E13" i="9" s="1"/>
  <c r="AW13" i="61"/>
  <c r="BB13" i="61" s="1"/>
  <c r="B17" i="40"/>
  <c r="I17" i="40" s="1"/>
  <c r="BD26" i="61"/>
  <c r="AW17" i="61"/>
  <c r="BB17" i="61" s="1"/>
  <c r="B26" i="40"/>
  <c r="I26" i="40" s="1"/>
  <c r="BC26" i="61"/>
  <c r="AX26" i="61"/>
  <c r="AY26" i="61" s="1"/>
  <c r="AZ26" i="61" s="1"/>
  <c r="A20" i="61"/>
  <c r="T1" i="86"/>
  <c r="B13" i="40"/>
  <c r="B13" i="42" s="1"/>
  <c r="B13" i="46" s="1"/>
  <c r="A17" i="58"/>
  <c r="A17" i="77"/>
  <c r="A17" i="63" s="1"/>
  <c r="A17" i="57" s="1"/>
  <c r="A14" i="43"/>
  <c r="A12" i="44" s="1"/>
  <c r="A19" i="9"/>
  <c r="A19" i="60" s="1"/>
  <c r="A18" i="51"/>
  <c r="A18" i="40"/>
  <c r="A18" i="42" s="1"/>
  <c r="A18" i="46" s="1"/>
  <c r="B45" i="44"/>
  <c r="G47" i="43"/>
  <c r="H47" i="43"/>
  <c r="AE14" i="61" a="1"/>
  <c r="AD14" i="61"/>
  <c r="C13" i="46" l="1" a="1"/>
  <c r="C13" i="46" s="1"/>
  <c r="E13" i="46"/>
  <c r="AE14" i="61"/>
  <c r="R2" i="81" a="1"/>
  <c r="R2" i="81" s="1"/>
  <c r="O2" i="82" a="1"/>
  <c r="O2" i="82" s="1"/>
  <c r="Y14" i="61"/>
  <c r="T18" i="86"/>
  <c r="T19" i="86"/>
  <c r="T16" i="86"/>
  <c r="T17" i="86"/>
  <c r="T20" i="86"/>
  <c r="T15" i="86"/>
  <c r="BW16" i="61"/>
  <c r="BX16" i="61"/>
  <c r="N2" i="83" a="1"/>
  <c r="N2" i="83" s="1"/>
  <c r="AU16" i="61"/>
  <c r="BD16" i="61" s="1"/>
  <c r="BY14" i="61"/>
  <c r="AR14" i="61"/>
  <c r="L2" i="85" a="1"/>
  <c r="L2" i="85" s="1"/>
  <c r="P2" i="85" a="1"/>
  <c r="P2" i="85" s="1"/>
  <c r="T9" i="85"/>
  <c r="T45" i="85"/>
  <c r="F2" i="85" s="1"/>
  <c r="Q3" i="85" a="1"/>
  <c r="Q3" i="85" s="1"/>
  <c r="L3" i="85" a="1"/>
  <c r="L3" i="85" s="1"/>
  <c r="M3" i="85" s="1" a="1"/>
  <c r="M3" i="85" s="1"/>
  <c r="P3" i="85" a="1"/>
  <c r="P3" i="85" s="1"/>
  <c r="BX15" i="61"/>
  <c r="AQ15" i="61"/>
  <c r="O3" i="83" a="1"/>
  <c r="O3" i="83" s="1"/>
  <c r="AX13" i="61"/>
  <c r="AY13" i="61" s="1"/>
  <c r="AZ13" i="61" s="1"/>
  <c r="D17" i="40"/>
  <c r="B17" i="42"/>
  <c r="M17" i="42" s="1"/>
  <c r="H17" i="40"/>
  <c r="J17" i="40"/>
  <c r="J26" i="40"/>
  <c r="AX17" i="61"/>
  <c r="BA17" i="61" s="1"/>
  <c r="B26" i="42"/>
  <c r="K26" i="42" s="1"/>
  <c r="H26" i="40"/>
  <c r="D26" i="40"/>
  <c r="BA26" i="61"/>
  <c r="A21" i="61"/>
  <c r="T1" i="87"/>
  <c r="J13" i="40"/>
  <c r="H13" i="40"/>
  <c r="I13" i="40"/>
  <c r="G13" i="40"/>
  <c r="J13" i="42"/>
  <c r="E13" i="42" s="1"/>
  <c r="L13" i="42"/>
  <c r="D13" i="40"/>
  <c r="K13" i="42"/>
  <c r="B10" i="43"/>
  <c r="H10" i="43" s="1"/>
  <c r="M13" i="42"/>
  <c r="B13" i="51"/>
  <c r="B13" i="58" s="1"/>
  <c r="F13" i="58" s="1"/>
  <c r="F13" i="46"/>
  <c r="A11" i="64"/>
  <c r="A14" i="65" s="1"/>
  <c r="A18" i="58"/>
  <c r="A18" i="77"/>
  <c r="A18" i="63" s="1"/>
  <c r="A18" i="57" s="1"/>
  <c r="A15" i="43"/>
  <c r="A13" i="44" s="1"/>
  <c r="A19" i="40"/>
  <c r="A19" i="42" s="1"/>
  <c r="A19" i="46" s="1"/>
  <c r="A19" i="51"/>
  <c r="A20" i="9"/>
  <c r="A20" i="60" s="1"/>
  <c r="F45" i="44"/>
  <c r="D45" i="44" s="1"/>
  <c r="AD15" i="61"/>
  <c r="W18" i="118"/>
  <c r="R2" i="82" l="1" a="1"/>
  <c r="R2" i="82" s="1"/>
  <c r="M2" i="85" a="1"/>
  <c r="M2" i="85" s="1"/>
  <c r="N2" i="85" s="1" a="1"/>
  <c r="N2" i="85" s="1"/>
  <c r="O2" i="85" s="1" a="1"/>
  <c r="O2" i="85" s="1"/>
  <c r="CA18" i="61"/>
  <c r="Y15" i="61"/>
  <c r="BP15" i="61" s="1"/>
  <c r="C33" i="120"/>
  <c r="AU33" i="120" s="1"/>
  <c r="BR18" i="61"/>
  <c r="BQ18" i="61"/>
  <c r="T15" i="87"/>
  <c r="T17" i="87"/>
  <c r="T19" i="87"/>
  <c r="T16" i="87"/>
  <c r="T18" i="87"/>
  <c r="AQ16" i="61"/>
  <c r="AR16" i="61"/>
  <c r="O2" i="83" a="1"/>
  <c r="O2" i="83" s="1"/>
  <c r="J13" i="58"/>
  <c r="BP14" i="61"/>
  <c r="P3" i="86" a="1"/>
  <c r="P3" i="86" s="1"/>
  <c r="BZ14" i="61"/>
  <c r="AS14" i="61"/>
  <c r="AT14" i="61" s="1" a="1"/>
  <c r="AT14" i="61" s="1"/>
  <c r="AV14" i="61"/>
  <c r="AG14" i="61"/>
  <c r="BS14" i="61" s="1"/>
  <c r="L2" i="86" a="1"/>
  <c r="L2" i="86" s="1"/>
  <c r="P2" i="86" a="1"/>
  <c r="P2" i="86" s="1"/>
  <c r="L3" i="86" a="1"/>
  <c r="L3" i="86" s="1"/>
  <c r="M3" i="86" s="1" a="1"/>
  <c r="M3" i="86" s="1"/>
  <c r="T45" i="86"/>
  <c r="F2" i="86" s="1"/>
  <c r="T9" i="86"/>
  <c r="Q3" i="86" a="1"/>
  <c r="Q3" i="86" s="1"/>
  <c r="L6" i="82"/>
  <c r="AR15" i="61"/>
  <c r="BY15" i="61"/>
  <c r="N3" i="85" a="1"/>
  <c r="N3" i="85" s="1"/>
  <c r="BA13" i="61"/>
  <c r="L26" i="42"/>
  <c r="K17" i="42"/>
  <c r="B17" i="46"/>
  <c r="E17" i="46" s="1"/>
  <c r="L17" i="42"/>
  <c r="B14" i="43"/>
  <c r="H14" i="43" s="1"/>
  <c r="M26" i="42"/>
  <c r="B23" i="43"/>
  <c r="G23" i="43" s="1"/>
  <c r="B26" i="46"/>
  <c r="E26" i="46" s="1"/>
  <c r="AY17" i="61"/>
  <c r="AZ17" i="61" s="1"/>
  <c r="A12" i="64"/>
  <c r="A15" i="65" s="1"/>
  <c r="A22" i="61"/>
  <c r="T1" i="88"/>
  <c r="B8" i="44"/>
  <c r="F8" i="44" s="1"/>
  <c r="D8" i="44" s="1"/>
  <c r="G10" i="43"/>
  <c r="E10" i="43" s="1"/>
  <c r="I13" i="46"/>
  <c r="G13" i="46" s="1"/>
  <c r="A19" i="58"/>
  <c r="A19" i="77"/>
  <c r="A19" i="63" s="1"/>
  <c r="A19" i="57" s="1"/>
  <c r="A16" i="43"/>
  <c r="A14" i="44" s="1"/>
  <c r="A20" i="40"/>
  <c r="A20" i="42" s="1"/>
  <c r="A20" i="46" s="1"/>
  <c r="A21" i="9"/>
  <c r="A21" i="60" s="1"/>
  <c r="A20" i="51"/>
  <c r="AD16" i="61"/>
  <c r="AE15" i="61" a="1"/>
  <c r="W19" i="118"/>
  <c r="AD18" i="61"/>
  <c r="C26" i="46" l="1" a="1"/>
  <c r="C26" i="46" s="1"/>
  <c r="I26" i="46" s="1"/>
  <c r="G26" i="46" s="1"/>
  <c r="C17" i="46" a="1"/>
  <c r="C17" i="46" s="1"/>
  <c r="I17" i="46" s="1"/>
  <c r="AE15" i="61"/>
  <c r="L6" i="83"/>
  <c r="R2" i="85" a="1"/>
  <c r="R2" i="85" s="1"/>
  <c r="R2" i="83" a="1"/>
  <c r="R2" i="83" s="1"/>
  <c r="M2" i="86" a="1"/>
  <c r="M2" i="86" s="1"/>
  <c r="Y16" i="61"/>
  <c r="BP16" i="61" s="1"/>
  <c r="AA33" i="120"/>
  <c r="AD33" i="120" s="1"/>
  <c r="G33" i="120"/>
  <c r="J33" i="120" s="1"/>
  <c r="BA33" i="120"/>
  <c r="X33" i="120"/>
  <c r="AR33" i="120"/>
  <c r="AN33" i="120"/>
  <c r="AJ33" i="120"/>
  <c r="W33" i="120"/>
  <c r="Z33" i="120" s="1"/>
  <c r="AO33" i="120"/>
  <c r="B13" i="77"/>
  <c r="B13" i="63" s="1"/>
  <c r="B13" i="57" s="1"/>
  <c r="C33" i="66" s="1"/>
  <c r="D33" i="66" s="1"/>
  <c r="AM33" i="120"/>
  <c r="AP33" i="120" s="1"/>
  <c r="I33" i="120"/>
  <c r="AI33" i="120"/>
  <c r="AL33" i="120" s="1"/>
  <c r="L33" i="120"/>
  <c r="M33" i="120"/>
  <c r="H33" i="120"/>
  <c r="B33" i="120"/>
  <c r="AG33" i="120"/>
  <c r="AB33" i="120"/>
  <c r="AS33" i="120"/>
  <c r="AE33" i="120"/>
  <c r="AH33" i="120" s="1"/>
  <c r="P33" i="120"/>
  <c r="Y33" i="120"/>
  <c r="Q33" i="120"/>
  <c r="T33" i="120"/>
  <c r="AQ33" i="120"/>
  <c r="AT33" i="120" s="1"/>
  <c r="AK33" i="120"/>
  <c r="AC33" i="120"/>
  <c r="O33" i="120"/>
  <c r="R33" i="120" s="1"/>
  <c r="AV33" i="120"/>
  <c r="C7" i="64" s="1"/>
  <c r="AF33" i="120"/>
  <c r="S33" i="120"/>
  <c r="V33" i="120" s="1"/>
  <c r="K33" i="120"/>
  <c r="N33" i="120" s="1"/>
  <c r="BB33" i="120"/>
  <c r="U33" i="120"/>
  <c r="B7" i="64"/>
  <c r="H7" i="64" s="1"/>
  <c r="BQ19" i="61"/>
  <c r="BR19" i="61"/>
  <c r="AL14" i="61"/>
  <c r="B14" i="9" s="1"/>
  <c r="T15" i="88"/>
  <c r="T16" i="88"/>
  <c r="BY16" i="61"/>
  <c r="C13" i="77"/>
  <c r="C10" i="65"/>
  <c r="E33" i="120"/>
  <c r="BW18" i="61"/>
  <c r="AU18" i="61"/>
  <c r="BD18" i="61" s="1"/>
  <c r="BC14" i="61"/>
  <c r="AW14" i="61"/>
  <c r="AP18" i="61"/>
  <c r="L2" i="87" a="1"/>
  <c r="L2" i="87" s="1"/>
  <c r="P3" i="87" a="1"/>
  <c r="P3" i="87" s="1"/>
  <c r="L3" i="87" a="1"/>
  <c r="L3" i="87" s="1"/>
  <c r="M3" i="87" s="1" a="1"/>
  <c r="M3" i="87" s="1"/>
  <c r="N3" i="87" s="1" a="1"/>
  <c r="N3" i="87" s="1"/>
  <c r="Q3" i="87" a="1"/>
  <c r="Q3" i="87" s="1"/>
  <c r="T9" i="87"/>
  <c r="CA19" i="61"/>
  <c r="P2" i="87" a="1"/>
  <c r="P2" i="87" s="1"/>
  <c r="T45" i="87"/>
  <c r="F2" i="87" s="1"/>
  <c r="BZ15" i="61"/>
  <c r="AS15" i="61"/>
  <c r="AT15" i="61" s="1" a="1"/>
  <c r="AT15" i="61" s="1"/>
  <c r="AV15" i="61"/>
  <c r="L6" i="85"/>
  <c r="O3" i="85" a="1"/>
  <c r="O3" i="85" s="1"/>
  <c r="BX18" i="61"/>
  <c r="AQ18" i="61"/>
  <c r="N3" i="86" a="1"/>
  <c r="N3" i="86" s="1"/>
  <c r="B26" i="51"/>
  <c r="B26" i="58" s="1"/>
  <c r="F26" i="58" s="1"/>
  <c r="B17" i="51"/>
  <c r="B17" i="58" s="1"/>
  <c r="F17" i="58" s="1"/>
  <c r="F26" i="46"/>
  <c r="F17" i="46"/>
  <c r="B21" i="44"/>
  <c r="F21" i="44" s="1"/>
  <c r="D21" i="44" s="1"/>
  <c r="B12" i="44"/>
  <c r="F12" i="44" s="1"/>
  <c r="D12" i="44" s="1"/>
  <c r="G14" i="43"/>
  <c r="H23" i="43"/>
  <c r="A23" i="61"/>
  <c r="T1" i="89"/>
  <c r="A13" i="64"/>
  <c r="A16" i="65" s="1"/>
  <c r="A20" i="58"/>
  <c r="A20" i="77"/>
  <c r="A20" i="63" s="1"/>
  <c r="A20" i="57" s="1"/>
  <c r="A17" i="43"/>
  <c r="A15" i="44" s="1"/>
  <c r="A22" i="9"/>
  <c r="A22" i="60" s="1"/>
  <c r="A21" i="40"/>
  <c r="A21" i="42" s="1"/>
  <c r="A21" i="46" s="1"/>
  <c r="A21" i="51"/>
  <c r="AE16" i="61" a="1"/>
  <c r="AE18" i="61" a="1"/>
  <c r="W20" i="118"/>
  <c r="C14" i="9" a="1"/>
  <c r="AE18" i="61" l="1"/>
  <c r="AE16" i="61"/>
  <c r="AG16" i="61" s="1"/>
  <c r="BS16" i="61" s="1"/>
  <c r="N2" i="86" a="1"/>
  <c r="N2" i="86" s="1"/>
  <c r="M2" i="87" a="1"/>
  <c r="M2" i="87" s="1"/>
  <c r="N2" i="87" s="1" a="1"/>
  <c r="N2" i="87" s="1"/>
  <c r="O2" i="87" s="1" a="1"/>
  <c r="O2" i="87" s="1"/>
  <c r="C14" i="9"/>
  <c r="E14" i="9" s="1"/>
  <c r="Y18" i="61"/>
  <c r="C33" i="74"/>
  <c r="F13" i="77"/>
  <c r="E13" i="57"/>
  <c r="C37" i="120"/>
  <c r="AU37" i="120" s="1"/>
  <c r="C46" i="120"/>
  <c r="AU46" i="120" s="1"/>
  <c r="BQ20" i="61"/>
  <c r="BR20" i="61"/>
  <c r="T20" i="89"/>
  <c r="T17" i="89"/>
  <c r="T18" i="89"/>
  <c r="T19" i="89"/>
  <c r="T16" i="89"/>
  <c r="T15" i="89"/>
  <c r="AV16" i="61"/>
  <c r="AW16" i="61" s="1"/>
  <c r="AS16" i="61"/>
  <c r="AT16" i="61" s="1" a="1"/>
  <c r="AT16" i="61" s="1"/>
  <c r="BZ16" i="61"/>
  <c r="J17" i="58"/>
  <c r="B10" i="65"/>
  <c r="R10" i="65" s="1"/>
  <c r="P3" i="88" a="1"/>
  <c r="P3" i="88" s="1"/>
  <c r="AU19" i="61"/>
  <c r="BD19" i="61" s="1"/>
  <c r="BB14" i="61"/>
  <c r="AX14" i="61"/>
  <c r="B14" i="40"/>
  <c r="L2" i="88" a="1"/>
  <c r="L2" i="88" s="1"/>
  <c r="L3" i="88" a="1"/>
  <c r="L3" i="88" s="1"/>
  <c r="M3" i="88" s="1" a="1"/>
  <c r="M3" i="88" s="1"/>
  <c r="N3" i="88" s="1" a="1"/>
  <c r="N3" i="88" s="1"/>
  <c r="AG15" i="61"/>
  <c r="BS15" i="61" s="1"/>
  <c r="BW19" i="61"/>
  <c r="AP19" i="61"/>
  <c r="CA20" i="61"/>
  <c r="T45" i="88"/>
  <c r="F2" i="88" s="1"/>
  <c r="Q3" i="88" a="1"/>
  <c r="Q3" i="88" s="1"/>
  <c r="T9" i="88"/>
  <c r="BW20" i="61"/>
  <c r="P2" i="88" a="1"/>
  <c r="P2" i="88" s="1"/>
  <c r="BC15" i="61"/>
  <c r="AW15" i="61"/>
  <c r="BB15" i="61" s="1"/>
  <c r="O3" i="87" a="1"/>
  <c r="O3" i="87" s="1"/>
  <c r="BX19" i="61"/>
  <c r="AQ19" i="61"/>
  <c r="O3" i="86" a="1"/>
  <c r="O3" i="86" s="1"/>
  <c r="BY18" i="61"/>
  <c r="AR18" i="61"/>
  <c r="G17" i="46"/>
  <c r="A24" i="61"/>
  <c r="T1" i="90"/>
  <c r="A14" i="64"/>
  <c r="A17" i="65" s="1"/>
  <c r="A21" i="58"/>
  <c r="A21" i="77"/>
  <c r="A21" i="63" s="1"/>
  <c r="A21" i="57" s="1"/>
  <c r="G17" i="40"/>
  <c r="E14" i="43" s="1"/>
  <c r="J17" i="42"/>
  <c r="A18" i="43"/>
  <c r="A16" i="44" s="1"/>
  <c r="A22" i="40"/>
  <c r="A22" i="42" s="1"/>
  <c r="A22" i="46" s="1"/>
  <c r="A23" i="9"/>
  <c r="A23" i="60" s="1"/>
  <c r="A22" i="51"/>
  <c r="AD20" i="61"/>
  <c r="W21" i="118"/>
  <c r="R2" i="87" l="1" a="1"/>
  <c r="R2" i="87" s="1"/>
  <c r="O2" i="86" a="1"/>
  <c r="O2" i="86" s="1"/>
  <c r="M2" i="88" a="1"/>
  <c r="M2" i="88" s="1"/>
  <c r="Y20" i="61"/>
  <c r="S46" i="120"/>
  <c r="V46" i="120" s="1"/>
  <c r="AB46" i="120"/>
  <c r="K46" i="120"/>
  <c r="N46" i="120" s="1"/>
  <c r="T46" i="120"/>
  <c r="P46" i="120"/>
  <c r="G46" i="120"/>
  <c r="J46" i="120" s="1"/>
  <c r="M46" i="120"/>
  <c r="B20" i="64"/>
  <c r="H20" i="64" s="1"/>
  <c r="Q46" i="120"/>
  <c r="X46" i="120"/>
  <c r="P37" i="120"/>
  <c r="T37" i="120"/>
  <c r="W37" i="120"/>
  <c r="Z37" i="120" s="1"/>
  <c r="S37" i="120"/>
  <c r="V37" i="120" s="1"/>
  <c r="H37" i="120"/>
  <c r="AF37" i="120"/>
  <c r="Y37" i="120"/>
  <c r="Q37" i="120"/>
  <c r="AO37" i="120"/>
  <c r="X37" i="120"/>
  <c r="O37" i="120"/>
  <c r="R37" i="120" s="1"/>
  <c r="BB37" i="120"/>
  <c r="B11" i="64"/>
  <c r="H11" i="64" s="1"/>
  <c r="AE37" i="120"/>
  <c r="AH37" i="120" s="1"/>
  <c r="AG37" i="120"/>
  <c r="AA37" i="120"/>
  <c r="AD37" i="120" s="1"/>
  <c r="G37" i="120"/>
  <c r="J37" i="120" s="1"/>
  <c r="BA37" i="120"/>
  <c r="I37" i="120"/>
  <c r="L37" i="120"/>
  <c r="M37" i="120"/>
  <c r="AJ37" i="120"/>
  <c r="K37" i="120"/>
  <c r="N37" i="120" s="1"/>
  <c r="AQ37" i="120"/>
  <c r="AT37" i="120" s="1"/>
  <c r="AV37" i="120"/>
  <c r="C11" i="64" s="1"/>
  <c r="AC37" i="120"/>
  <c r="B17" i="77"/>
  <c r="F17" i="77" s="1"/>
  <c r="U37" i="120"/>
  <c r="AR37" i="120"/>
  <c r="AS37" i="120"/>
  <c r="B37" i="120"/>
  <c r="AI37" i="120"/>
  <c r="AL37" i="120" s="1"/>
  <c r="AK37" i="120"/>
  <c r="AB37" i="120"/>
  <c r="AM37" i="120"/>
  <c r="AP37" i="120" s="1"/>
  <c r="AN37" i="120"/>
  <c r="I46" i="120"/>
  <c r="Y46" i="120"/>
  <c r="AV46" i="120"/>
  <c r="C20" i="64" s="1"/>
  <c r="AA46" i="120"/>
  <c r="AD46" i="120" s="1"/>
  <c r="AE46" i="120"/>
  <c r="AH46" i="120" s="1"/>
  <c r="H46" i="120"/>
  <c r="L46" i="120"/>
  <c r="O46" i="120"/>
  <c r="R46" i="120" s="1"/>
  <c r="AO46" i="120"/>
  <c r="AG46" i="120"/>
  <c r="W46" i="120"/>
  <c r="Z46" i="120" s="1"/>
  <c r="AJ46" i="120"/>
  <c r="AS46" i="120"/>
  <c r="AI46" i="120"/>
  <c r="AL46" i="120" s="1"/>
  <c r="AM46" i="120"/>
  <c r="AP46" i="120" s="1"/>
  <c r="AQ46" i="120"/>
  <c r="AT46" i="120" s="1"/>
  <c r="BB46" i="120"/>
  <c r="BA46" i="120"/>
  <c r="U46" i="120"/>
  <c r="B46" i="120"/>
  <c r="AC46" i="120"/>
  <c r="AF46" i="120"/>
  <c r="AK46" i="120"/>
  <c r="AN46" i="120"/>
  <c r="AR46" i="120"/>
  <c r="B26" i="77"/>
  <c r="B26" i="63" s="1"/>
  <c r="B26" i="57" s="1"/>
  <c r="C46" i="74" s="1"/>
  <c r="BR21" i="61"/>
  <c r="BQ21" i="61"/>
  <c r="AL15" i="61"/>
  <c r="AL16" i="61"/>
  <c r="BC16" i="61"/>
  <c r="C17" i="77"/>
  <c r="C14" i="65"/>
  <c r="C26" i="77"/>
  <c r="C23" i="65"/>
  <c r="E46" i="120"/>
  <c r="E37" i="120"/>
  <c r="Q10" i="65"/>
  <c r="AP20" i="61"/>
  <c r="BP18" i="61"/>
  <c r="AU20" i="61"/>
  <c r="BD20" i="61" s="1"/>
  <c r="AV19" i="61"/>
  <c r="BC19" i="61" s="1"/>
  <c r="L3" i="89" a="1"/>
  <c r="L3" i="89" s="1"/>
  <c r="P3" i="89" a="1"/>
  <c r="P3" i="89" s="1"/>
  <c r="L6" i="87"/>
  <c r="BY20" i="61"/>
  <c r="D14" i="40"/>
  <c r="I14" i="40"/>
  <c r="B14" i="42"/>
  <c r="H14" i="40"/>
  <c r="J14" i="40"/>
  <c r="G14" i="40"/>
  <c r="BA14" i="61"/>
  <c r="AY14" i="61"/>
  <c r="AZ14" i="61" s="1"/>
  <c r="L2" i="89" a="1"/>
  <c r="L2" i="89" s="1"/>
  <c r="AG18" i="61"/>
  <c r="BS18" i="61" s="1"/>
  <c r="Q3" i="89" a="1"/>
  <c r="Q3" i="89" s="1"/>
  <c r="P2" i="89" a="1"/>
  <c r="P2" i="89" s="1"/>
  <c r="CA21" i="61"/>
  <c r="AX15" i="61"/>
  <c r="T9" i="89"/>
  <c r="T45" i="89"/>
  <c r="F2" i="89" s="1"/>
  <c r="O3" i="88" a="1"/>
  <c r="O3" i="88" s="1"/>
  <c r="AX16" i="61"/>
  <c r="BB16" i="61"/>
  <c r="BX20" i="61"/>
  <c r="AQ20" i="61"/>
  <c r="BY19" i="61"/>
  <c r="AR19" i="61"/>
  <c r="BZ19" i="61"/>
  <c r="AS19" i="61"/>
  <c r="BZ18" i="61"/>
  <c r="AS18" i="61"/>
  <c r="AT18" i="61" s="1" a="1"/>
  <c r="AT18" i="61" s="1"/>
  <c r="AV18" i="61"/>
  <c r="A15" i="64"/>
  <c r="A18" i="65" s="1"/>
  <c r="A25" i="61"/>
  <c r="T1" i="91"/>
  <c r="A22" i="58"/>
  <c r="A22" i="77"/>
  <c r="A22" i="63" s="1"/>
  <c r="A22" i="57" s="1"/>
  <c r="E17" i="42"/>
  <c r="E17" i="40"/>
  <c r="A19" i="43"/>
  <c r="A17" i="44" s="1"/>
  <c r="A23" i="40"/>
  <c r="A23" i="42" s="1"/>
  <c r="A23" i="46" s="1"/>
  <c r="A23" i="51"/>
  <c r="A24" i="9"/>
  <c r="A24" i="60" s="1"/>
  <c r="J51" i="51"/>
  <c r="I51" i="51"/>
  <c r="AE20" i="61" a="1"/>
  <c r="W22" i="118"/>
  <c r="AD19" i="61"/>
  <c r="B17" i="63" l="1"/>
  <c r="B17" i="57" s="1"/>
  <c r="E17" i="57" s="1"/>
  <c r="AE20" i="61"/>
  <c r="AG20" i="61" s="1"/>
  <c r="BS20" i="61" s="1"/>
  <c r="N2" i="88" a="1"/>
  <c r="N2" i="88" s="1"/>
  <c r="R2" i="86" a="1"/>
  <c r="R2" i="86" s="1"/>
  <c r="Y19" i="61"/>
  <c r="BP19" i="61" s="1"/>
  <c r="L6" i="86"/>
  <c r="M2" i="89" a="1"/>
  <c r="M2" i="89" s="1"/>
  <c r="AU22" i="61"/>
  <c r="B14" i="65"/>
  <c r="Q14" i="65" s="1"/>
  <c r="E26" i="57"/>
  <c r="C46" i="66"/>
  <c r="D46" i="66" s="1"/>
  <c r="F26" i="77"/>
  <c r="BR22" i="61"/>
  <c r="BQ22" i="61"/>
  <c r="B16" i="9"/>
  <c r="C16" i="9" s="1" a="1"/>
  <c r="B15" i="9"/>
  <c r="AL18" i="61"/>
  <c r="B18" i="9" s="1"/>
  <c r="T15" i="91"/>
  <c r="T16" i="91"/>
  <c r="B23" i="65"/>
  <c r="R23" i="65" s="1"/>
  <c r="A16" i="64"/>
  <c r="A19" i="65" s="1"/>
  <c r="AR20" i="61"/>
  <c r="AV20" i="61"/>
  <c r="BC20" i="61" s="1"/>
  <c r="BP20" i="61"/>
  <c r="BW21" i="61"/>
  <c r="AW19" i="61"/>
  <c r="AX19" i="61" s="1"/>
  <c r="P3" i="90" a="1"/>
  <c r="P3" i="90" s="1"/>
  <c r="E14" i="40"/>
  <c r="M3" i="89" a="1"/>
  <c r="M3" i="89" s="1"/>
  <c r="B14" i="46"/>
  <c r="J14" i="42"/>
  <c r="E14" i="42" s="1"/>
  <c r="K14" i="42"/>
  <c r="M14" i="42"/>
  <c r="L14" i="42"/>
  <c r="B11" i="43"/>
  <c r="L2" i="90" a="1"/>
  <c r="L2" i="90" s="1"/>
  <c r="L3" i="90" a="1"/>
  <c r="L3" i="90" s="1"/>
  <c r="AP21" i="61"/>
  <c r="AU21" i="61"/>
  <c r="BD21" i="61" s="1"/>
  <c r="T9" i="90"/>
  <c r="P2" i="90" a="1"/>
  <c r="P2" i="90" s="1"/>
  <c r="Q3" i="90" a="1"/>
  <c r="Q3" i="90" s="1"/>
  <c r="T45" i="90"/>
  <c r="F2" i="90" s="1"/>
  <c r="AY15" i="61"/>
  <c r="AZ15" i="61" s="1"/>
  <c r="BA15" i="61"/>
  <c r="AT19" i="61" a="1"/>
  <c r="AT19" i="61" s="1"/>
  <c r="BA16" i="61"/>
  <c r="AY16" i="61"/>
  <c r="AZ16" i="61" s="1"/>
  <c r="BZ20" i="61"/>
  <c r="AS20" i="61"/>
  <c r="AW18" i="61"/>
  <c r="BB18" i="61" s="1"/>
  <c r="BC18" i="61"/>
  <c r="BX21" i="61"/>
  <c r="AQ21" i="61"/>
  <c r="A26" i="61"/>
  <c r="T1" i="92"/>
  <c r="B46" i="74"/>
  <c r="J46" i="74"/>
  <c r="K46" i="74"/>
  <c r="C46" i="76"/>
  <c r="L46" i="74"/>
  <c r="A23" i="58"/>
  <c r="A23" i="77"/>
  <c r="A23" i="63" s="1"/>
  <c r="A23" i="57" s="1"/>
  <c r="A20" i="43"/>
  <c r="A18" i="44" s="1"/>
  <c r="A25" i="9"/>
  <c r="A25" i="60" s="1"/>
  <c r="A24" i="51"/>
  <c r="A24" i="40"/>
  <c r="A24" i="42" s="1"/>
  <c r="A24" i="46" s="1"/>
  <c r="W23" i="118"/>
  <c r="C15" i="9" a="1"/>
  <c r="AE19" i="61" a="1"/>
  <c r="E14" i="46"/>
  <c r="C18" i="9" a="1"/>
  <c r="M2" i="90" l="1" a="1"/>
  <c r="M2" i="90" s="1"/>
  <c r="C37" i="74"/>
  <c r="C37" i="76" s="1"/>
  <c r="J37" i="76" s="1"/>
  <c r="C37" i="66"/>
  <c r="D37" i="66" s="1"/>
  <c r="AE19" i="61"/>
  <c r="AG19" i="61" s="1"/>
  <c r="BS19" i="61" s="1"/>
  <c r="AL19" i="61" s="1"/>
  <c r="B19" i="9" s="1"/>
  <c r="N2" i="89" a="1"/>
  <c r="N2" i="89" s="1"/>
  <c r="O2" i="88" a="1"/>
  <c r="O2" i="88" s="1"/>
  <c r="C18" i="9"/>
  <c r="E18" i="9" s="1"/>
  <c r="C16" i="9"/>
  <c r="E16" i="9" s="1"/>
  <c r="C15" i="9"/>
  <c r="E15" i="9" s="1"/>
  <c r="B16" i="40"/>
  <c r="J16" i="40" s="1"/>
  <c r="E46" i="66"/>
  <c r="B46" i="66"/>
  <c r="R14" i="65"/>
  <c r="B15" i="40"/>
  <c r="I15" i="40" s="1"/>
  <c r="AL20" i="61"/>
  <c r="B20" i="9" s="1"/>
  <c r="T15" i="92"/>
  <c r="T16" i="92"/>
  <c r="Q23" i="65"/>
  <c r="AT20" i="61" a="1"/>
  <c r="AT20" i="61" s="1"/>
  <c r="B18" i="40"/>
  <c r="G18" i="40" s="1"/>
  <c r="AW20" i="61"/>
  <c r="BB20" i="61" s="1"/>
  <c r="BB19" i="61"/>
  <c r="AP22" i="61"/>
  <c r="N3" i="89" a="1"/>
  <c r="N3" i="89" s="1"/>
  <c r="N2" i="90" a="1"/>
  <c r="N2" i="90" s="1"/>
  <c r="O2" i="90" s="1" a="1"/>
  <c r="O2" i="90" s="1"/>
  <c r="G11" i="43"/>
  <c r="H11" i="43"/>
  <c r="B9" i="44"/>
  <c r="F9" i="44" s="1"/>
  <c r="D9" i="44" s="1"/>
  <c r="L2" i="91" a="1"/>
  <c r="L2" i="91" s="1"/>
  <c r="B14" i="51"/>
  <c r="B14" i="58" s="1"/>
  <c r="F14" i="58" s="1"/>
  <c r="F14" i="46"/>
  <c r="CA22" i="61"/>
  <c r="M3" i="90" a="1"/>
  <c r="M3" i="90" s="1"/>
  <c r="BW22" i="61"/>
  <c r="T9" i="91"/>
  <c r="CA23" i="61"/>
  <c r="P3" i="91" a="1"/>
  <c r="P3" i="91" s="1"/>
  <c r="L3" i="91" a="1"/>
  <c r="L3" i="91" s="1"/>
  <c r="M3" i="91" s="1" a="1"/>
  <c r="M3" i="91" s="1"/>
  <c r="N3" i="91" s="1" a="1"/>
  <c r="N3" i="91" s="1"/>
  <c r="Q3" i="91" a="1"/>
  <c r="Q3" i="91" s="1"/>
  <c r="P2" i="91" a="1"/>
  <c r="P2" i="91" s="1"/>
  <c r="T45" i="91"/>
  <c r="F2" i="91" s="1"/>
  <c r="AY19" i="61"/>
  <c r="AZ19" i="61" s="1"/>
  <c r="BA19" i="61"/>
  <c r="AX18" i="61"/>
  <c r="BA18" i="61" s="1"/>
  <c r="BX22" i="61"/>
  <c r="AQ22" i="61"/>
  <c r="BD22" i="61"/>
  <c r="BY21" i="61"/>
  <c r="AR21" i="61"/>
  <c r="A17" i="64"/>
  <c r="A20" i="65" s="1"/>
  <c r="A27" i="61"/>
  <c r="J46" i="76"/>
  <c r="I46" i="76"/>
  <c r="B46" i="76"/>
  <c r="B46" i="69"/>
  <c r="A46" i="69" s="1"/>
  <c r="K46" i="76"/>
  <c r="A24" i="58"/>
  <c r="A24" i="77"/>
  <c r="A24" i="63" s="1"/>
  <c r="A24" i="57" s="1"/>
  <c r="A21" i="43"/>
  <c r="A19" i="44" s="1"/>
  <c r="A25" i="40"/>
  <c r="A25" i="42" s="1"/>
  <c r="A25" i="46" s="1"/>
  <c r="A25" i="51"/>
  <c r="A26" i="9"/>
  <c r="A26" i="60" s="1"/>
  <c r="C19" i="9" a="1"/>
  <c r="C20" i="9" a="1"/>
  <c r="AD21" i="61"/>
  <c r="C14" i="46" a="1"/>
  <c r="W24" i="118"/>
  <c r="R2" i="90" l="1" a="1"/>
  <c r="R2" i="90" s="1"/>
  <c r="B37" i="66"/>
  <c r="C14" i="46"/>
  <c r="I14" i="46" s="1"/>
  <c r="G14" i="46" s="1"/>
  <c r="Y21" i="61"/>
  <c r="BP21" i="61" s="1"/>
  <c r="R2" i="88" a="1"/>
  <c r="R2" i="88" s="1"/>
  <c r="L6" i="88"/>
  <c r="O2" i="89" a="1"/>
  <c r="O2" i="89" s="1"/>
  <c r="G16" i="40"/>
  <c r="M2" i="91" a="1"/>
  <c r="M2" i="91" s="1"/>
  <c r="B16" i="42"/>
  <c r="L16" i="42" s="1"/>
  <c r="C19" i="9"/>
  <c r="E19" i="9" s="1"/>
  <c r="C20" i="9"/>
  <c r="E20" i="9" s="1"/>
  <c r="I16" i="40"/>
  <c r="D16" i="40"/>
  <c r="H16" i="40"/>
  <c r="B20" i="40"/>
  <c r="H20" i="40" s="1"/>
  <c r="CA24" i="61"/>
  <c r="C34" i="120"/>
  <c r="B14" i="77" s="1"/>
  <c r="G15" i="40"/>
  <c r="H15" i="40"/>
  <c r="B15" i="42"/>
  <c r="K15" i="42" s="1"/>
  <c r="J15" i="40"/>
  <c r="D15" i="40"/>
  <c r="BQ24" i="61"/>
  <c r="BR24" i="61"/>
  <c r="B19" i="40"/>
  <c r="B19" i="42" s="1"/>
  <c r="B16" i="43" s="1"/>
  <c r="J14" i="58"/>
  <c r="J18" i="40"/>
  <c r="H18" i="40"/>
  <c r="B18" i="42"/>
  <c r="K18" i="42" s="1"/>
  <c r="I18" i="40"/>
  <c r="D18" i="40"/>
  <c r="AX20" i="61"/>
  <c r="BA20" i="61" s="1"/>
  <c r="AP23" i="61"/>
  <c r="E11" i="43"/>
  <c r="AU23" i="61"/>
  <c r="BD23" i="61" s="1"/>
  <c r="O3" i="89" a="1"/>
  <c r="O3" i="89" s="1"/>
  <c r="N3" i="90" a="1"/>
  <c r="N3" i="90" s="1"/>
  <c r="L2" i="92" a="1"/>
  <c r="L2" i="92" s="1"/>
  <c r="BW23" i="61"/>
  <c r="L3" i="92" a="1"/>
  <c r="L3" i="92" s="1"/>
  <c r="M3" i="92" s="1" a="1"/>
  <c r="M3" i="92" s="1"/>
  <c r="P3" i="92" a="1"/>
  <c r="P3" i="92" s="1"/>
  <c r="P2" i="92" a="1"/>
  <c r="P2" i="92" s="1"/>
  <c r="Q3" i="92" a="1"/>
  <c r="Q3" i="92" s="1"/>
  <c r="T9" i="92"/>
  <c r="T45" i="92"/>
  <c r="F2" i="92" s="1"/>
  <c r="AY18" i="61"/>
  <c r="AZ18" i="61" s="1"/>
  <c r="BY22" i="61"/>
  <c r="AR22" i="61"/>
  <c r="BZ21" i="61"/>
  <c r="AS21" i="61"/>
  <c r="AT21" i="61" s="1" a="1"/>
  <c r="AT21" i="61" s="1"/>
  <c r="AV21" i="61"/>
  <c r="O3" i="91" a="1"/>
  <c r="O3" i="91" s="1"/>
  <c r="A18" i="64"/>
  <c r="A21" i="65" s="1"/>
  <c r="A28" i="61"/>
  <c r="T1" i="94"/>
  <c r="A25" i="58"/>
  <c r="A25" i="77"/>
  <c r="A25" i="63" s="1"/>
  <c r="A25" i="57" s="1"/>
  <c r="A22" i="43"/>
  <c r="A20" i="44" s="1"/>
  <c r="A26" i="40"/>
  <c r="A26" i="42" s="1"/>
  <c r="A26" i="46" s="1"/>
  <c r="A27" i="9"/>
  <c r="A27" i="60" s="1"/>
  <c r="A26" i="51"/>
  <c r="AD22" i="61"/>
  <c r="W25" i="118"/>
  <c r="AE21" i="61" a="1"/>
  <c r="AE21" i="61" l="1"/>
  <c r="AG21" i="61" s="1"/>
  <c r="BS21" i="61" s="1"/>
  <c r="AL21" i="61" s="1"/>
  <c r="B21" i="9" s="1"/>
  <c r="Y22" i="61"/>
  <c r="BP22" i="61" s="1"/>
  <c r="R2" i="89" a="1"/>
  <c r="R2" i="89" s="1"/>
  <c r="L6" i="89"/>
  <c r="N2" i="91" a="1"/>
  <c r="N2" i="91" s="1"/>
  <c r="M2" i="92" a="1"/>
  <c r="M2" i="92" s="1"/>
  <c r="J16" i="42"/>
  <c r="E16" i="42" s="1"/>
  <c r="M16" i="42"/>
  <c r="B13" i="43"/>
  <c r="H13" i="43" s="1"/>
  <c r="B16" i="46"/>
  <c r="E16" i="46" s="1"/>
  <c r="K16" i="42"/>
  <c r="B20" i="42"/>
  <c r="K20" i="42" s="1"/>
  <c r="D20" i="40"/>
  <c r="I20" i="40"/>
  <c r="J20" i="40"/>
  <c r="G20" i="40"/>
  <c r="E20" i="40" s="1"/>
  <c r="E16" i="40"/>
  <c r="E18" i="40"/>
  <c r="AU25" i="61"/>
  <c r="BA34" i="120"/>
  <c r="BB34" i="120"/>
  <c r="B8" i="64"/>
  <c r="B34" i="120"/>
  <c r="J15" i="42"/>
  <c r="E15" i="42" s="1"/>
  <c r="E15" i="40"/>
  <c r="B15" i="46"/>
  <c r="B12" i="43"/>
  <c r="H12" i="43" s="1"/>
  <c r="L15" i="42"/>
  <c r="M15" i="42"/>
  <c r="G19" i="40"/>
  <c r="BQ25" i="61"/>
  <c r="BR25" i="61"/>
  <c r="M19" i="42"/>
  <c r="J19" i="40"/>
  <c r="L19" i="42"/>
  <c r="H19" i="40"/>
  <c r="B19" i="46"/>
  <c r="K19" i="42"/>
  <c r="D19" i="40"/>
  <c r="J19" i="42"/>
  <c r="E19" i="42" s="1"/>
  <c r="I19" i="40"/>
  <c r="T15" i="94"/>
  <c r="T16" i="94"/>
  <c r="E34" i="120"/>
  <c r="B18" i="46"/>
  <c r="J18" i="42"/>
  <c r="E18" i="42" s="1"/>
  <c r="AY20" i="61"/>
  <c r="AZ20" i="61" s="1"/>
  <c r="L18" i="42"/>
  <c r="B15" i="43"/>
  <c r="M18" i="42"/>
  <c r="AU24" i="61"/>
  <c r="BD24" i="61" s="1"/>
  <c r="O3" i="90" a="1"/>
  <c r="O3" i="90" s="1"/>
  <c r="AP25" i="61"/>
  <c r="BW24" i="61"/>
  <c r="AP24" i="61"/>
  <c r="L6" i="90"/>
  <c r="AQ23" i="61"/>
  <c r="BX23" i="61"/>
  <c r="N3" i="92" a="1"/>
  <c r="N3" i="92" s="1"/>
  <c r="B14" i="44"/>
  <c r="F14" i="44" s="1"/>
  <c r="D14" i="44" s="1"/>
  <c r="G16" i="43"/>
  <c r="H16" i="43"/>
  <c r="BZ22" i="61"/>
  <c r="AS22" i="61"/>
  <c r="AT22" i="61" s="1" a="1"/>
  <c r="AT22" i="61" s="1"/>
  <c r="AV22" i="61"/>
  <c r="BX24" i="61"/>
  <c r="AQ24" i="61"/>
  <c r="AW21" i="61"/>
  <c r="BB21" i="61" s="1"/>
  <c r="BC21" i="61"/>
  <c r="A19" i="64"/>
  <c r="A22" i="65" s="1"/>
  <c r="A29" i="61"/>
  <c r="T1" i="95"/>
  <c r="A26" i="58"/>
  <c r="A26" i="77"/>
  <c r="A26" i="63" s="1"/>
  <c r="A26" i="57" s="1"/>
  <c r="A23" i="43"/>
  <c r="A21" i="44" s="1"/>
  <c r="A27" i="40"/>
  <c r="A27" i="42" s="1"/>
  <c r="A27" i="46" s="1"/>
  <c r="A27" i="51"/>
  <c r="A28" i="9"/>
  <c r="A28" i="60" s="1"/>
  <c r="E15" i="46"/>
  <c r="AE22" i="61" a="1"/>
  <c r="C21" i="9" a="1"/>
  <c r="E19" i="46"/>
  <c r="E18" i="46"/>
  <c r="F18" i="46" l="1"/>
  <c r="F16" i="46"/>
  <c r="AE22" i="61"/>
  <c r="AG22" i="61" s="1"/>
  <c r="BS22" i="61" s="1"/>
  <c r="N2" i="92" a="1"/>
  <c r="N2" i="92" s="1"/>
  <c r="G13" i="43"/>
  <c r="E13" i="43" s="1"/>
  <c r="O2" i="91" a="1"/>
  <c r="O2" i="91" s="1"/>
  <c r="M20" i="42"/>
  <c r="B20" i="46"/>
  <c r="B17" i="43"/>
  <c r="B15" i="44" s="1"/>
  <c r="F15" i="44" s="1"/>
  <c r="D15" i="44" s="1"/>
  <c r="B11" i="44"/>
  <c r="F11" i="44" s="1"/>
  <c r="D11" i="44" s="1"/>
  <c r="B16" i="51"/>
  <c r="B16" i="58" s="1"/>
  <c r="F16" i="58" s="1"/>
  <c r="E36" i="120" s="1"/>
  <c r="L20" i="42"/>
  <c r="J20" i="42"/>
  <c r="E20" i="42" s="1"/>
  <c r="C21" i="9"/>
  <c r="E21" i="9" s="1"/>
  <c r="B10" i="44"/>
  <c r="F10" i="44" s="1"/>
  <c r="D10" i="44" s="1"/>
  <c r="G12" i="43"/>
  <c r="E12" i="43" s="1"/>
  <c r="B15" i="51"/>
  <c r="B15" i="58" s="1"/>
  <c r="F15" i="58" s="1"/>
  <c r="F15" i="46"/>
  <c r="E19" i="40"/>
  <c r="B19" i="51"/>
  <c r="B19" i="58" s="1"/>
  <c r="F19" i="58" s="1"/>
  <c r="F19" i="46"/>
  <c r="B18" i="51"/>
  <c r="B18" i="58" s="1"/>
  <c r="F18" i="58" s="1"/>
  <c r="G15" i="43"/>
  <c r="B13" i="44"/>
  <c r="F13" i="44" s="1"/>
  <c r="D13" i="44" s="1"/>
  <c r="H15" i="43"/>
  <c r="CA25" i="61"/>
  <c r="BP23" i="61"/>
  <c r="BW25" i="61"/>
  <c r="AV24" i="61"/>
  <c r="BC24" i="61" s="1"/>
  <c r="B21" i="40"/>
  <c r="G21" i="40" s="1"/>
  <c r="L3" i="94" a="1"/>
  <c r="L3" i="94" s="1"/>
  <c r="M3" i="94" s="1" a="1"/>
  <c r="M3" i="94" s="1"/>
  <c r="L2" i="94" a="1"/>
  <c r="L2" i="94" s="1"/>
  <c r="H8" i="64"/>
  <c r="B11" i="65"/>
  <c r="F14" i="77"/>
  <c r="B14" i="63"/>
  <c r="B14" i="57" s="1"/>
  <c r="E14" i="57" s="1"/>
  <c r="T9" i="94"/>
  <c r="P3" i="94" a="1"/>
  <c r="P3" i="94" s="1"/>
  <c r="AG23" i="61"/>
  <c r="BS23" i="61" s="1"/>
  <c r="BY23" i="61"/>
  <c r="AR23" i="61"/>
  <c r="AS23" i="61"/>
  <c r="BZ23" i="61"/>
  <c r="AV23" i="61"/>
  <c r="P2" i="94" a="1"/>
  <c r="P2" i="94" s="1"/>
  <c r="Q3" i="94" a="1"/>
  <c r="Q3" i="94" s="1"/>
  <c r="T45" i="94"/>
  <c r="F2" i="94" s="1"/>
  <c r="AX21" i="61"/>
  <c r="BA21" i="61" s="1"/>
  <c r="O3" i="92" a="1"/>
  <c r="O3" i="92" s="1"/>
  <c r="BC22" i="61"/>
  <c r="AW22" i="61"/>
  <c r="BB22" i="61" s="1"/>
  <c r="BD25" i="61"/>
  <c r="BZ24" i="61"/>
  <c r="AS24" i="61"/>
  <c r="AR24" i="61"/>
  <c r="BY24" i="61"/>
  <c r="E16" i="43"/>
  <c r="BX25" i="61"/>
  <c r="AQ25" i="61"/>
  <c r="A20" i="64"/>
  <c r="A23" i="65" s="1"/>
  <c r="A30" i="61"/>
  <c r="T1" i="96"/>
  <c r="A27" i="58"/>
  <c r="A27" i="77"/>
  <c r="A27" i="63" s="1"/>
  <c r="A27" i="57" s="1"/>
  <c r="A24" i="43"/>
  <c r="A22" i="44" s="1"/>
  <c r="A29" i="9"/>
  <c r="A29" i="60" s="1"/>
  <c r="A28" i="51"/>
  <c r="A28" i="40"/>
  <c r="A28" i="42" s="1"/>
  <c r="A28" i="46" s="1"/>
  <c r="C16" i="46" a="1"/>
  <c r="C18" i="46" a="1"/>
  <c r="C19" i="46" a="1"/>
  <c r="AD24" i="61"/>
  <c r="W27" i="118"/>
  <c r="C15" i="46" a="1"/>
  <c r="E20" i="46"/>
  <c r="C19" i="46" l="1"/>
  <c r="I19" i="46" s="1"/>
  <c r="G19" i="46" s="1"/>
  <c r="C18" i="46"/>
  <c r="I18" i="46" s="1"/>
  <c r="G18" i="46" s="1"/>
  <c r="B20" i="51"/>
  <c r="B20" i="58" s="1"/>
  <c r="F20" i="58" s="1"/>
  <c r="C16" i="46"/>
  <c r="I16" i="46" s="1"/>
  <c r="G16" i="46" s="1"/>
  <c r="C15" i="46"/>
  <c r="I15" i="46" s="1"/>
  <c r="G15" i="46" s="1"/>
  <c r="F20" i="46"/>
  <c r="O2" i="92" a="1"/>
  <c r="O2" i="92" s="1"/>
  <c r="R2" i="91" a="1"/>
  <c r="R2" i="91" s="1"/>
  <c r="H17" i="43"/>
  <c r="Y24" i="61"/>
  <c r="BP24" i="61" s="1"/>
  <c r="L6" i="91"/>
  <c r="G17" i="43"/>
  <c r="C36" i="120"/>
  <c r="B36" i="120" s="1"/>
  <c r="J16" i="58"/>
  <c r="C39" i="120"/>
  <c r="BA39" i="120" s="1"/>
  <c r="C38" i="120"/>
  <c r="BB38" i="120" s="1"/>
  <c r="C35" i="120"/>
  <c r="B35" i="120" s="1"/>
  <c r="J15" i="58"/>
  <c r="J19" i="58"/>
  <c r="BQ27" i="61"/>
  <c r="BR27" i="61"/>
  <c r="AL22" i="61"/>
  <c r="T15" i="96"/>
  <c r="T16" i="96"/>
  <c r="B21" i="42"/>
  <c r="M21" i="42" s="1"/>
  <c r="J18" i="58"/>
  <c r="E15" i="43"/>
  <c r="AW24" i="61"/>
  <c r="BB24" i="61" s="1"/>
  <c r="J21" i="40"/>
  <c r="I21" i="40"/>
  <c r="H21" i="40"/>
  <c r="D21" i="40"/>
  <c r="E21" i="40"/>
  <c r="M2" i="94" a="1"/>
  <c r="M2" i="94" s="1"/>
  <c r="C34" i="74"/>
  <c r="C34" i="76" s="1"/>
  <c r="J34" i="76" s="1"/>
  <c r="C34" i="66"/>
  <c r="D34" i="66" s="1"/>
  <c r="R11" i="65"/>
  <c r="Q11" i="65"/>
  <c r="L2" i="95" a="1"/>
  <c r="L2" i="95" s="1"/>
  <c r="L3" i="95" a="1"/>
  <c r="L3" i="95" s="1"/>
  <c r="M3" i="95" s="1" a="1"/>
  <c r="M3" i="95" s="1"/>
  <c r="AT23" i="61" a="1"/>
  <c r="AT23" i="61" s="1"/>
  <c r="P3" i="95" a="1"/>
  <c r="P3" i="95" s="1"/>
  <c r="B23" i="9"/>
  <c r="AT24" i="61" a="1"/>
  <c r="AT24" i="61" s="1"/>
  <c r="BC23" i="61"/>
  <c r="AW23" i="61"/>
  <c r="T45" i="95"/>
  <c r="F2" i="95" s="1"/>
  <c r="AY21" i="61"/>
  <c r="AZ21" i="61" s="1"/>
  <c r="CA27" i="61"/>
  <c r="T9" i="95"/>
  <c r="P2" i="95" a="1"/>
  <c r="P2" i="95" s="1"/>
  <c r="Q3" i="95" a="1"/>
  <c r="Q3" i="95" s="1"/>
  <c r="AX22" i="61"/>
  <c r="AY22" i="61" s="1"/>
  <c r="AZ22" i="61" s="1"/>
  <c r="N3" i="94" a="1"/>
  <c r="N3" i="94" s="1"/>
  <c r="BY25" i="61"/>
  <c r="AR25" i="61"/>
  <c r="A21" i="64"/>
  <c r="A24" i="65" s="1"/>
  <c r="A31" i="61"/>
  <c r="T1" i="97"/>
  <c r="T17" i="97" s="1"/>
  <c r="A28" i="58"/>
  <c r="A28" i="77"/>
  <c r="A28" i="63" s="1"/>
  <c r="A28" i="57" s="1"/>
  <c r="A25" i="43"/>
  <c r="A23" i="44" s="1"/>
  <c r="A30" i="9"/>
  <c r="A30" i="60" s="1"/>
  <c r="A29" i="40"/>
  <c r="A29" i="42" s="1"/>
  <c r="A29" i="46" s="1"/>
  <c r="A29" i="51"/>
  <c r="W28" i="118"/>
  <c r="AD25" i="61"/>
  <c r="C20" i="46" a="1"/>
  <c r="AE24" i="61" a="1"/>
  <c r="M2" i="95" l="1" a="1"/>
  <c r="M2" i="95" s="1"/>
  <c r="J20" i="58"/>
  <c r="C40" i="120"/>
  <c r="BA40" i="120" s="1"/>
  <c r="C20" i="46"/>
  <c r="I20" i="46" s="1"/>
  <c r="G20" i="46" s="1"/>
  <c r="AE24" i="61"/>
  <c r="AG24" i="61" s="1"/>
  <c r="BS24" i="61" s="1"/>
  <c r="AL24" i="61" s="1"/>
  <c r="B24" i="9" s="1"/>
  <c r="Y25" i="61"/>
  <c r="BP25" i="61" s="1"/>
  <c r="E17" i="43"/>
  <c r="L6" i="92"/>
  <c r="R2" i="92" a="1"/>
  <c r="R2" i="92" s="1"/>
  <c r="E23" i="9"/>
  <c r="B10" i="64"/>
  <c r="H10" i="64" s="1"/>
  <c r="BA36" i="120"/>
  <c r="BB36" i="120"/>
  <c r="B16" i="77"/>
  <c r="B16" i="63" s="1"/>
  <c r="B16" i="57" s="1"/>
  <c r="E16" i="57" s="1"/>
  <c r="C23" i="9" a="1"/>
  <c r="C23" i="9" s="1"/>
  <c r="B23" i="40"/>
  <c r="D23" i="40" s="1"/>
  <c r="BA38" i="120"/>
  <c r="B12" i="64"/>
  <c r="H12" i="64" s="1"/>
  <c r="B38" i="120"/>
  <c r="B18" i="77"/>
  <c r="B18" i="63" s="1"/>
  <c r="B18" i="57" s="1"/>
  <c r="E18" i="57" s="1"/>
  <c r="B13" i="64"/>
  <c r="H13" i="64" s="1"/>
  <c r="BA35" i="120"/>
  <c r="B15" i="77"/>
  <c r="F15" i="77" s="1"/>
  <c r="E35" i="120"/>
  <c r="BB39" i="120"/>
  <c r="BB35" i="120"/>
  <c r="B19" i="77"/>
  <c r="B19" i="63" s="1"/>
  <c r="B19" i="57" s="1"/>
  <c r="E19" i="57" s="1"/>
  <c r="B9" i="64"/>
  <c r="H9" i="64" s="1"/>
  <c r="B39" i="120"/>
  <c r="E39" i="120"/>
  <c r="B22" i="9"/>
  <c r="T15" i="97"/>
  <c r="T16" i="97"/>
  <c r="P2" i="96" a="1"/>
  <c r="P2" i="96" s="1"/>
  <c r="P3" i="96" a="1"/>
  <c r="P3" i="96" s="1"/>
  <c r="T9" i="96"/>
  <c r="T45" i="96"/>
  <c r="F2" i="96" s="1"/>
  <c r="L3" i="96" a="1"/>
  <c r="L3" i="96" s="1"/>
  <c r="M3" i="96" s="1" a="1"/>
  <c r="M3" i="96" s="1"/>
  <c r="Q3" i="96" a="1"/>
  <c r="Q3" i="96" s="1"/>
  <c r="L2" i="96" a="1"/>
  <c r="L2" i="96" s="1"/>
  <c r="E38" i="120"/>
  <c r="E40" i="120"/>
  <c r="L21" i="42"/>
  <c r="J21" i="42"/>
  <c r="E21" i="42" s="1"/>
  <c r="B18" i="43"/>
  <c r="H18" i="43" s="1"/>
  <c r="B21" i="46"/>
  <c r="K21" i="42"/>
  <c r="AX24" i="61"/>
  <c r="BA24" i="61" s="1"/>
  <c r="AU27" i="61"/>
  <c r="BD27" i="61" s="1"/>
  <c r="BX27" i="61"/>
  <c r="N2" i="95" a="1"/>
  <c r="N2" i="95" s="1"/>
  <c r="O2" i="95" s="1" a="1"/>
  <c r="O2" i="95" s="1"/>
  <c r="N2" i="94" a="1"/>
  <c r="N2" i="94" s="1"/>
  <c r="B34" i="66"/>
  <c r="BW27" i="61"/>
  <c r="AP27" i="61"/>
  <c r="BB23" i="61"/>
  <c r="AX23" i="61"/>
  <c r="CA28" i="61"/>
  <c r="BA22" i="61"/>
  <c r="BZ25" i="61"/>
  <c r="AS25" i="61"/>
  <c r="AT25" i="61" s="1" a="1"/>
  <c r="AT25" i="61" s="1"/>
  <c r="AV25" i="61"/>
  <c r="O3" i="94" a="1"/>
  <c r="O3" i="94" s="1"/>
  <c r="N3" i="95" a="1"/>
  <c r="N3" i="95" s="1"/>
  <c r="A22" i="64"/>
  <c r="A25" i="65" s="1"/>
  <c r="A32" i="61"/>
  <c r="T1" i="98"/>
  <c r="A29" i="58"/>
  <c r="A23" i="64" s="1"/>
  <c r="A26" i="65" s="1"/>
  <c r="A29" i="77"/>
  <c r="A29" i="63" s="1"/>
  <c r="A29" i="57" s="1"/>
  <c r="A26" i="43"/>
  <c r="A24" i="44" s="1"/>
  <c r="J26" i="58"/>
  <c r="A31" i="9"/>
  <c r="A31" i="60" s="1"/>
  <c r="A30" i="51"/>
  <c r="A30" i="40"/>
  <c r="A30" i="42" s="1"/>
  <c r="A30" i="46" s="1"/>
  <c r="AE25" i="61" a="1"/>
  <c r="W29" i="118"/>
  <c r="C24" i="9" a="1"/>
  <c r="C22" i="9" a="1"/>
  <c r="E21" i="46"/>
  <c r="R2" i="95" l="1" a="1"/>
  <c r="R2" i="95" s="1"/>
  <c r="BB40" i="120"/>
  <c r="B20" i="77"/>
  <c r="F20" i="77" s="1"/>
  <c r="B14" i="64"/>
  <c r="H14" i="64" s="1"/>
  <c r="B40" i="120"/>
  <c r="AE25" i="61"/>
  <c r="AG25" i="61" s="1"/>
  <c r="BS25" i="61" s="1"/>
  <c r="AL25" i="61" s="1"/>
  <c r="B25" i="9" s="1"/>
  <c r="O2" i="94" a="1"/>
  <c r="O2" i="94" s="1"/>
  <c r="L6" i="94" s="1"/>
  <c r="H23" i="40"/>
  <c r="I23" i="40"/>
  <c r="G23" i="40"/>
  <c r="E23" i="40" s="1"/>
  <c r="B23" i="42"/>
  <c r="B20" i="43" s="1"/>
  <c r="J23" i="40"/>
  <c r="B13" i="65"/>
  <c r="R13" i="65" s="1"/>
  <c r="F16" i="77"/>
  <c r="C36" i="66"/>
  <c r="D36" i="66" s="1"/>
  <c r="C36" i="74"/>
  <c r="C36" i="76" s="1"/>
  <c r="J36" i="76" s="1"/>
  <c r="C24" i="9"/>
  <c r="E24" i="9" s="1"/>
  <c r="C22" i="9"/>
  <c r="E22" i="9" s="1"/>
  <c r="B22" i="40"/>
  <c r="D22" i="40" s="1"/>
  <c r="B16" i="65"/>
  <c r="Q16" i="65" s="1"/>
  <c r="F19" i="77"/>
  <c r="B15" i="65"/>
  <c r="Q15" i="65" s="1"/>
  <c r="B15" i="63"/>
  <c r="B15" i="57" s="1"/>
  <c r="E15" i="57" s="1"/>
  <c r="B12" i="65"/>
  <c r="Q12" i="65" s="1"/>
  <c r="BQ29" i="61"/>
  <c r="BR29" i="61"/>
  <c r="B24" i="40"/>
  <c r="G24" i="40" s="1"/>
  <c r="T15" i="98"/>
  <c r="T16" i="98"/>
  <c r="AU29" i="61"/>
  <c r="T9" i="97"/>
  <c r="Q3" i="97" a="1"/>
  <c r="Q3" i="97" s="1"/>
  <c r="L3" i="97" a="1"/>
  <c r="L3" i="97" s="1"/>
  <c r="M3" i="97" s="1" a="1"/>
  <c r="M3" i="97" s="1"/>
  <c r="P3" i="97" a="1"/>
  <c r="P3" i="97" s="1"/>
  <c r="BW29" i="61"/>
  <c r="M2" i="96" a="1"/>
  <c r="M2" i="96" s="1"/>
  <c r="L2" i="97" a="1"/>
  <c r="L2" i="97" s="1"/>
  <c r="P2" i="97" a="1"/>
  <c r="P2" i="97" s="1"/>
  <c r="T45" i="97"/>
  <c r="F2" i="97" s="1"/>
  <c r="F21" i="46"/>
  <c r="B16" i="44"/>
  <c r="F16" i="44" s="1"/>
  <c r="D16" i="44" s="1"/>
  <c r="G18" i="43"/>
  <c r="E18" i="43" s="1"/>
  <c r="B21" i="51"/>
  <c r="B21" i="58" s="1"/>
  <c r="F21" i="58" s="1"/>
  <c r="C38" i="74"/>
  <c r="C38" i="76" s="1"/>
  <c r="J38" i="76" s="1"/>
  <c r="C38" i="66"/>
  <c r="D38" i="66" s="1"/>
  <c r="F18" i="77"/>
  <c r="AY24" i="61"/>
  <c r="AZ24" i="61" s="1"/>
  <c r="AQ27" i="61"/>
  <c r="BY27" i="61"/>
  <c r="BW28" i="61"/>
  <c r="AU28" i="61"/>
  <c r="BD28" i="61" s="1"/>
  <c r="AP28" i="61"/>
  <c r="BA23" i="61"/>
  <c r="AY23" i="61"/>
  <c r="AZ23" i="61" s="1"/>
  <c r="BC25" i="61"/>
  <c r="AW25" i="61"/>
  <c r="BB25" i="61" s="1"/>
  <c r="C39" i="66"/>
  <c r="D39" i="66" s="1"/>
  <c r="C39" i="74"/>
  <c r="C39" i="76" s="1"/>
  <c r="J39" i="76" s="1"/>
  <c r="N3" i="96" a="1"/>
  <c r="N3" i="96" s="1"/>
  <c r="O3" i="95" a="1"/>
  <c r="O3" i="95" s="1"/>
  <c r="BX28" i="61"/>
  <c r="AQ28" i="61"/>
  <c r="A33" i="61"/>
  <c r="T1" i="99"/>
  <c r="A30" i="58"/>
  <c r="A30" i="77"/>
  <c r="A30" i="63" s="1"/>
  <c r="A30" i="57" s="1"/>
  <c r="J26" i="42"/>
  <c r="G26" i="40"/>
  <c r="E23" i="43" s="1"/>
  <c r="A27" i="43"/>
  <c r="A25" i="44" s="1"/>
  <c r="A32" i="9"/>
  <c r="A32" i="60" s="1"/>
  <c r="A31" i="40"/>
  <c r="A31" i="42" s="1"/>
  <c r="A31" i="46" s="1"/>
  <c r="A31" i="51"/>
  <c r="W30" i="118"/>
  <c r="AE27" i="61" a="1"/>
  <c r="AD27" i="61"/>
  <c r="C21" i="46" a="1"/>
  <c r="C25" i="9" a="1"/>
  <c r="B20" i="63" l="1"/>
  <c r="B20" i="57" s="1"/>
  <c r="E20" i="57" s="1"/>
  <c r="B17" i="65"/>
  <c r="R17" i="65" s="1"/>
  <c r="C21" i="46"/>
  <c r="I21" i="46" s="1"/>
  <c r="G21" i="46" s="1"/>
  <c r="AE27" i="61"/>
  <c r="K23" i="42"/>
  <c r="M23" i="42"/>
  <c r="J23" i="42"/>
  <c r="E23" i="42" s="1"/>
  <c r="Y27" i="61"/>
  <c r="BP27" i="61" s="1"/>
  <c r="L23" i="42"/>
  <c r="B23" i="46"/>
  <c r="E23" i="46" s="1"/>
  <c r="R2" i="94" a="1"/>
  <c r="R2" i="94" s="1"/>
  <c r="B36" i="66"/>
  <c r="Q13" i="65"/>
  <c r="B22" i="42"/>
  <c r="M22" i="42" s="1"/>
  <c r="C25" i="9"/>
  <c r="E25" i="9" s="1"/>
  <c r="H22" i="40"/>
  <c r="G22" i="40"/>
  <c r="I22" i="40"/>
  <c r="J22" i="40"/>
  <c r="R16" i="65"/>
  <c r="R12" i="65"/>
  <c r="C35" i="74"/>
  <c r="C35" i="76" s="1"/>
  <c r="J35" i="76" s="1"/>
  <c r="R15" i="65"/>
  <c r="C35" i="66"/>
  <c r="C41" i="120"/>
  <c r="B15" i="64" s="1"/>
  <c r="BR30" i="61"/>
  <c r="BQ30" i="61"/>
  <c r="B24" i="42"/>
  <c r="B24" i="46" s="1"/>
  <c r="J24" i="40"/>
  <c r="D24" i="40"/>
  <c r="I24" i="40"/>
  <c r="H24" i="40"/>
  <c r="T15" i="99"/>
  <c r="T16" i="99"/>
  <c r="CA29" i="61"/>
  <c r="AP29" i="61"/>
  <c r="BX29" i="61"/>
  <c r="N2" i="96" a="1"/>
  <c r="N2" i="96" s="1"/>
  <c r="BW30" i="61"/>
  <c r="M2" i="97" a="1"/>
  <c r="M2" i="97" s="1"/>
  <c r="CA30" i="61"/>
  <c r="J21" i="58"/>
  <c r="A24" i="64"/>
  <c r="A27" i="65" s="1"/>
  <c r="B38" i="66"/>
  <c r="AR27" i="61"/>
  <c r="L2" i="98" a="1"/>
  <c r="L2" i="98" s="1"/>
  <c r="L3" i="98" a="1"/>
  <c r="L3" i="98" s="1"/>
  <c r="M3" i="98" s="1" a="1"/>
  <c r="M3" i="98" s="1"/>
  <c r="P3" i="98" a="1"/>
  <c r="P3" i="98" s="1"/>
  <c r="T9" i="98"/>
  <c r="B25" i="40"/>
  <c r="I25" i="40" s="1"/>
  <c r="B18" i="44"/>
  <c r="F18" i="44" s="1"/>
  <c r="D18" i="44" s="1"/>
  <c r="H20" i="43"/>
  <c r="G20" i="43"/>
  <c r="Q3" i="98" a="1"/>
  <c r="Q3" i="98" s="1"/>
  <c r="T45" i="98"/>
  <c r="F2" i="98" s="1"/>
  <c r="P2" i="98" a="1"/>
  <c r="P2" i="98" s="1"/>
  <c r="AX25" i="61"/>
  <c r="AY25" i="61" s="1"/>
  <c r="AZ25" i="61" s="1"/>
  <c r="O3" i="96" a="1"/>
  <c r="O3" i="96" s="1"/>
  <c r="BD29" i="61"/>
  <c r="L6" i="95"/>
  <c r="BY28" i="61"/>
  <c r="AR28" i="61"/>
  <c r="Y39" i="66"/>
  <c r="B39" i="66"/>
  <c r="N3" i="97" a="1"/>
  <c r="N3" i="97" s="1"/>
  <c r="BZ27" i="61"/>
  <c r="AS27" i="61"/>
  <c r="AV27" i="61"/>
  <c r="T1" i="100"/>
  <c r="A34" i="61"/>
  <c r="F26" i="42"/>
  <c r="H26" i="42" s="1"/>
  <c r="A31" i="58"/>
  <c r="A31" i="77"/>
  <c r="A31" i="63" s="1"/>
  <c r="A31" i="57" s="1"/>
  <c r="E26" i="42"/>
  <c r="E26" i="40"/>
  <c r="A28" i="43"/>
  <c r="A26" i="44" s="1"/>
  <c r="A32" i="40"/>
  <c r="A32" i="42" s="1"/>
  <c r="A32" i="46" s="1"/>
  <c r="A33" i="9"/>
  <c r="A32" i="51"/>
  <c r="E24" i="46"/>
  <c r="W31" i="118"/>
  <c r="B35" i="66" l="1"/>
  <c r="D35" i="66"/>
  <c r="C40" i="74"/>
  <c r="C40" i="76" s="1"/>
  <c r="J40" i="76" s="1"/>
  <c r="C40" i="66"/>
  <c r="D40" i="66" s="1"/>
  <c r="Q17" i="65"/>
  <c r="B23" i="51"/>
  <c r="B23" i="58" s="1"/>
  <c r="F23" i="58" s="1"/>
  <c r="C23" i="46" a="1"/>
  <c r="C23" i="46" s="1"/>
  <c r="I23" i="46" s="1"/>
  <c r="G23" i="46" s="1"/>
  <c r="B19" i="43"/>
  <c r="H19" i="43" s="1"/>
  <c r="F23" i="46"/>
  <c r="L22" i="42"/>
  <c r="B22" i="46"/>
  <c r="M2" i="98" a="1"/>
  <c r="M2" i="98" s="1"/>
  <c r="J22" i="42"/>
  <c r="E22" i="42" s="1"/>
  <c r="K22" i="42"/>
  <c r="E24" i="40"/>
  <c r="E22" i="40"/>
  <c r="B41" i="120"/>
  <c r="BY29" i="61"/>
  <c r="B21" i="77"/>
  <c r="B21" i="63" s="1"/>
  <c r="B21" i="57" s="1"/>
  <c r="E21" i="57" s="1"/>
  <c r="BA41" i="120"/>
  <c r="BB41" i="120"/>
  <c r="B18" i="65"/>
  <c r="R18" i="65" s="1"/>
  <c r="H15" i="64"/>
  <c r="BR31" i="61"/>
  <c r="BQ31" i="61"/>
  <c r="J24" i="42"/>
  <c r="E24" i="42" s="1"/>
  <c r="L24" i="42"/>
  <c r="F24" i="46"/>
  <c r="K24" i="42"/>
  <c r="B24" i="51"/>
  <c r="B24" i="58" s="1"/>
  <c r="F24" i="58" s="1"/>
  <c r="B21" i="43"/>
  <c r="H21" i="43" s="1"/>
  <c r="M24" i="42"/>
  <c r="T15" i="100"/>
  <c r="T16" i="100"/>
  <c r="AQ29" i="61"/>
  <c r="AP30" i="61"/>
  <c r="AU30" i="61"/>
  <c r="BD30" i="61" s="1"/>
  <c r="O2" i="96" a="1"/>
  <c r="O2" i="96" s="1"/>
  <c r="BX30" i="61"/>
  <c r="N2" i="97" a="1"/>
  <c r="N2" i="97" s="1"/>
  <c r="E41" i="120"/>
  <c r="B25" i="42"/>
  <c r="M25" i="42" s="1"/>
  <c r="A25" i="64"/>
  <c r="A28" i="65" s="1"/>
  <c r="AT27" i="61" a="1"/>
  <c r="AT27" i="61" s="1"/>
  <c r="L3" i="99" a="1"/>
  <c r="L3" i="99" s="1"/>
  <c r="M3" i="99" s="1" a="1"/>
  <c r="M3" i="99" s="1"/>
  <c r="N3" i="99" s="1" a="1"/>
  <c r="N3" i="99" s="1"/>
  <c r="BP28" i="61"/>
  <c r="P3" i="99" a="1"/>
  <c r="P3" i="99" s="1"/>
  <c r="H25" i="40"/>
  <c r="L2" i="99" a="1"/>
  <c r="L2" i="99" s="1"/>
  <c r="E20" i="43"/>
  <c r="AG27" i="61"/>
  <c r="BS27" i="61" s="1"/>
  <c r="T9" i="99"/>
  <c r="G25" i="40"/>
  <c r="J25" i="40"/>
  <c r="D25" i="40"/>
  <c r="Q3" i="99" a="1"/>
  <c r="Q3" i="99" s="1"/>
  <c r="P2" i="99" a="1"/>
  <c r="P2" i="99" s="1"/>
  <c r="BA25" i="61"/>
  <c r="T45" i="99"/>
  <c r="F2" i="99" s="1"/>
  <c r="CA31" i="61"/>
  <c r="AG28" i="61"/>
  <c r="BS28" i="61" s="1"/>
  <c r="N3" i="98" a="1"/>
  <c r="N3" i="98" s="1"/>
  <c r="BC27" i="61"/>
  <c r="AW27" i="61"/>
  <c r="BB27" i="61" s="1"/>
  <c r="BZ28" i="61"/>
  <c r="AS28" i="61"/>
  <c r="AT28" i="61" s="1" a="1"/>
  <c r="AT28" i="61" s="1"/>
  <c r="AV28" i="61"/>
  <c r="O3" i="97" a="1"/>
  <c r="O3" i="97" s="1"/>
  <c r="A35" i="61"/>
  <c r="T1" i="101"/>
  <c r="A32" i="58"/>
  <c r="A32" i="77"/>
  <c r="A32" i="63" s="1"/>
  <c r="A32" i="57" s="1"/>
  <c r="A34" i="9"/>
  <c r="A34" i="60" s="1"/>
  <c r="A33" i="60"/>
  <c r="A29" i="43"/>
  <c r="A27" i="44" s="1"/>
  <c r="A33" i="40"/>
  <c r="A33" i="42" s="1"/>
  <c r="A33" i="46" s="1"/>
  <c r="A33" i="51"/>
  <c r="AD29" i="61"/>
  <c r="W32" i="118"/>
  <c r="C24" i="46" a="1"/>
  <c r="E22" i="46"/>
  <c r="B40" i="66" l="1"/>
  <c r="B17" i="44"/>
  <c r="F17" i="44" s="1"/>
  <c r="D17" i="44" s="1"/>
  <c r="C43" i="120"/>
  <c r="AU43" i="120" s="1"/>
  <c r="C24" i="46"/>
  <c r="I24" i="46" s="1"/>
  <c r="G24" i="46" s="1"/>
  <c r="B22" i="51"/>
  <c r="B22" i="58" s="1"/>
  <c r="F22" i="58" s="1"/>
  <c r="G19" i="43"/>
  <c r="E19" i="43" s="1"/>
  <c r="R2" i="96" a="1"/>
  <c r="R2" i="96" s="1"/>
  <c r="N2" i="98" a="1"/>
  <c r="N2" i="98" s="1"/>
  <c r="F22" i="46"/>
  <c r="M2" i="99" a="1"/>
  <c r="M2" i="99" s="1"/>
  <c r="C41" i="66"/>
  <c r="D41" i="66" s="1"/>
  <c r="CA32" i="61"/>
  <c r="Y29" i="61"/>
  <c r="BP29" i="61" s="1"/>
  <c r="C41" i="74"/>
  <c r="C41" i="76" s="1"/>
  <c r="F21" i="77"/>
  <c r="Q18" i="65"/>
  <c r="C44" i="120"/>
  <c r="BB44" i="120" s="1"/>
  <c r="BQ32" i="61"/>
  <c r="BR32" i="61"/>
  <c r="AL27" i="61"/>
  <c r="B19" i="44"/>
  <c r="F19" i="44" s="1"/>
  <c r="D19" i="44" s="1"/>
  <c r="G21" i="43"/>
  <c r="E21" i="43" s="1"/>
  <c r="E44" i="120"/>
  <c r="T15" i="101"/>
  <c r="T16" i="101"/>
  <c r="AR29" i="61"/>
  <c r="AQ30" i="61"/>
  <c r="L6" i="96"/>
  <c r="AR30" i="61"/>
  <c r="O2" i="97" a="1"/>
  <c r="O2" i="97" s="1"/>
  <c r="K25" i="42"/>
  <c r="J25" i="42"/>
  <c r="E25" i="42" s="1"/>
  <c r="L25" i="42"/>
  <c r="E43" i="120"/>
  <c r="B22" i="43"/>
  <c r="B20" i="44" s="1"/>
  <c r="F20" i="44" s="1"/>
  <c r="D20" i="44" s="1"/>
  <c r="J23" i="58"/>
  <c r="B25" i="46"/>
  <c r="A26" i="64"/>
  <c r="A29" i="65" s="1"/>
  <c r="L3" i="100" a="1"/>
  <c r="L3" i="100" s="1"/>
  <c r="M3" i="100" s="1" a="1"/>
  <c r="M3" i="100" s="1"/>
  <c r="N3" i="100" s="1" a="1"/>
  <c r="N3" i="100" s="1"/>
  <c r="AP31" i="61"/>
  <c r="E25" i="40"/>
  <c r="P3" i="100" a="1"/>
  <c r="P3" i="100" s="1"/>
  <c r="BW31" i="61"/>
  <c r="L2" i="100" a="1"/>
  <c r="L2" i="100" s="1"/>
  <c r="AU31" i="61"/>
  <c r="BD31" i="61" s="1"/>
  <c r="P2" i="100" a="1"/>
  <c r="P2" i="100" s="1"/>
  <c r="T45" i="100"/>
  <c r="F2" i="100" s="1"/>
  <c r="T9" i="100"/>
  <c r="Q3" i="100" a="1"/>
  <c r="Q3" i="100" s="1"/>
  <c r="AX27" i="61"/>
  <c r="AY27" i="61" s="1"/>
  <c r="AZ27" i="61" s="1"/>
  <c r="O3" i="98" a="1"/>
  <c r="O3" i="98" s="1"/>
  <c r="BX31" i="61"/>
  <c r="AQ31" i="61"/>
  <c r="O3" i="99" a="1"/>
  <c r="O3" i="99" s="1"/>
  <c r="AW28" i="61"/>
  <c r="BB28" i="61" s="1"/>
  <c r="BC28" i="61"/>
  <c r="A36" i="61"/>
  <c r="T1" i="102"/>
  <c r="A34" i="51"/>
  <c r="A33" i="58"/>
  <c r="A33" i="77"/>
  <c r="A33" i="63" s="1"/>
  <c r="A33" i="57" s="1"/>
  <c r="A35" i="9"/>
  <c r="A35" i="60" s="1"/>
  <c r="A34" i="40"/>
  <c r="A34" i="42" s="1"/>
  <c r="A34" i="46" s="1"/>
  <c r="A30" i="43"/>
  <c r="A28" i="44" s="1"/>
  <c r="C22" i="46" a="1"/>
  <c r="W33" i="118"/>
  <c r="AE29" i="61" a="1"/>
  <c r="AD30" i="61"/>
  <c r="E25" i="46"/>
  <c r="BB43" i="120" l="1"/>
  <c r="BA43" i="120"/>
  <c r="B43" i="120"/>
  <c r="B17" i="64"/>
  <c r="B20" i="65" s="1"/>
  <c r="B23" i="77"/>
  <c r="B23" i="63" s="1"/>
  <c r="B23" i="57" s="1"/>
  <c r="E23" i="57" s="1"/>
  <c r="C42" i="120"/>
  <c r="BB42" i="120" s="1"/>
  <c r="C22" i="46"/>
  <c r="I22" i="46" s="1"/>
  <c r="G22" i="46" s="1"/>
  <c r="F25" i="46"/>
  <c r="AE29" i="61"/>
  <c r="AG29" i="61" s="1"/>
  <c r="BS29" i="61" s="1"/>
  <c r="N2" i="99" a="1"/>
  <c r="N2" i="99" s="1"/>
  <c r="O2" i="98" a="1"/>
  <c r="O2" i="98" s="1"/>
  <c r="B41" i="66"/>
  <c r="R2" i="97" a="1"/>
  <c r="R2" i="97" s="1"/>
  <c r="M2" i="100" a="1"/>
  <c r="M2" i="100" s="1"/>
  <c r="N2" i="100" s="1" a="1"/>
  <c r="N2" i="100" s="1"/>
  <c r="O2" i="100" s="1" a="1"/>
  <c r="O2" i="100" s="1"/>
  <c r="J41" i="74"/>
  <c r="B41" i="74"/>
  <c r="K41" i="74"/>
  <c r="Y30" i="61"/>
  <c r="BP30" i="61" s="1"/>
  <c r="B24" i="77"/>
  <c r="B24" i="63" s="1"/>
  <c r="B24" i="57" s="1"/>
  <c r="E24" i="57" s="1"/>
  <c r="B44" i="120"/>
  <c r="BA44" i="120"/>
  <c r="B18" i="64"/>
  <c r="H18" i="64" s="1"/>
  <c r="BQ33" i="61"/>
  <c r="BR33" i="61"/>
  <c r="B27" i="9"/>
  <c r="J24" i="58"/>
  <c r="T15" i="102"/>
  <c r="T16" i="102"/>
  <c r="A35" i="51"/>
  <c r="A35" i="77" s="1"/>
  <c r="A35" i="63" s="1"/>
  <c r="A35" i="57" s="1"/>
  <c r="P3" i="101" a="1"/>
  <c r="P3" i="101" s="1"/>
  <c r="T9" i="101"/>
  <c r="L3" i="101" a="1"/>
  <c r="L3" i="101" s="1"/>
  <c r="M3" i="101" s="1" a="1"/>
  <c r="M3" i="101" s="1"/>
  <c r="N3" i="101" s="1" a="1"/>
  <c r="N3" i="101" s="1"/>
  <c r="AS29" i="61"/>
  <c r="AT29" i="61" s="1" a="1"/>
  <c r="AT29" i="61" s="1"/>
  <c r="T45" i="101"/>
  <c r="F2" i="101" s="1"/>
  <c r="L2" i="101" a="1"/>
  <c r="L2" i="101" s="1"/>
  <c r="Q3" i="101" a="1"/>
  <c r="Q3" i="101" s="1"/>
  <c r="P2" i="101" a="1"/>
  <c r="P2" i="101" s="1"/>
  <c r="BY30" i="61"/>
  <c r="BZ29" i="61"/>
  <c r="AV29" i="61"/>
  <c r="AW29" i="61" s="1"/>
  <c r="BB29" i="61" s="1"/>
  <c r="L6" i="97"/>
  <c r="A36" i="9"/>
  <c r="A36" i="60" s="1"/>
  <c r="B25" i="51"/>
  <c r="B25" i="58" s="1"/>
  <c r="F25" i="58" s="1"/>
  <c r="E42" i="120"/>
  <c r="G22" i="43"/>
  <c r="J22" i="58"/>
  <c r="H22" i="43"/>
  <c r="A35" i="40"/>
  <c r="A35" i="42" s="1"/>
  <c r="A35" i="46" s="1"/>
  <c r="A31" i="43"/>
  <c r="A29" i="44" s="1"/>
  <c r="AU32" i="61"/>
  <c r="BD32" i="61" s="1"/>
  <c r="BW32" i="61"/>
  <c r="AP32" i="61"/>
  <c r="AU33" i="61"/>
  <c r="B28" i="9"/>
  <c r="E28" i="9" s="1"/>
  <c r="BA27" i="61"/>
  <c r="AX28" i="61"/>
  <c r="AY28" i="61" s="1"/>
  <c r="AZ28" i="61" s="1"/>
  <c r="O3" i="100" a="1"/>
  <c r="O3" i="100" s="1"/>
  <c r="B41" i="69"/>
  <c r="A41" i="69" s="1"/>
  <c r="I41" i="76"/>
  <c r="B41" i="76"/>
  <c r="J41" i="76"/>
  <c r="BY31" i="61"/>
  <c r="AR31" i="61"/>
  <c r="A37" i="61"/>
  <c r="T1" i="103"/>
  <c r="T15" i="103" s="1"/>
  <c r="A27" i="64"/>
  <c r="A30" i="65" s="1"/>
  <c r="A35" i="58"/>
  <c r="A34" i="58"/>
  <c r="A34" i="77"/>
  <c r="A34" i="63" s="1"/>
  <c r="A34" i="57" s="1"/>
  <c r="C27" i="9" a="1"/>
  <c r="AD31" i="61"/>
  <c r="AD33" i="61"/>
  <c r="C25" i="46" a="1"/>
  <c r="AE30" i="61" a="1"/>
  <c r="W34" i="118"/>
  <c r="F23" i="77" l="1"/>
  <c r="H17" i="64"/>
  <c r="B22" i="77"/>
  <c r="F22" i="77" s="1"/>
  <c r="BA42" i="120"/>
  <c r="B42" i="120"/>
  <c r="B16" i="64"/>
  <c r="B19" i="65" s="1"/>
  <c r="C25" i="46"/>
  <c r="I25" i="46" s="1"/>
  <c r="G25" i="46" s="1"/>
  <c r="AE30" i="61"/>
  <c r="AG30" i="61" s="1"/>
  <c r="BS30" i="61" s="1"/>
  <c r="Y31" i="61"/>
  <c r="BP31" i="61" s="1"/>
  <c r="L6" i="98"/>
  <c r="R2" i="98" a="1"/>
  <c r="R2" i="98" s="1"/>
  <c r="O2" i="99" a="1"/>
  <c r="O2" i="99" s="1"/>
  <c r="R2" i="100" a="1"/>
  <c r="R2" i="100" s="1"/>
  <c r="C27" i="9"/>
  <c r="E27" i="9" s="1"/>
  <c r="C28" i="9" a="1"/>
  <c r="C28" i="9" s="1"/>
  <c r="L41" i="74"/>
  <c r="F24" i="77"/>
  <c r="AU34" i="61"/>
  <c r="AP34" i="61"/>
  <c r="B21" i="65"/>
  <c r="R21" i="65" s="1"/>
  <c r="C45" i="120"/>
  <c r="BA45" i="120" s="1"/>
  <c r="B27" i="40"/>
  <c r="G27" i="40" s="1"/>
  <c r="A32" i="43"/>
  <c r="A30" i="44" s="1"/>
  <c r="BR34" i="61"/>
  <c r="BQ34" i="61"/>
  <c r="AL29" i="61"/>
  <c r="B29" i="9" s="1"/>
  <c r="A36" i="51"/>
  <c r="A36" i="77" s="1"/>
  <c r="A36" i="63" s="1"/>
  <c r="A36" i="57" s="1"/>
  <c r="A37" i="9"/>
  <c r="A36" i="40"/>
  <c r="A36" i="42" s="1"/>
  <c r="A36" i="46" s="1"/>
  <c r="M2" i="101" a="1"/>
  <c r="M2" i="101" s="1"/>
  <c r="BC29" i="61"/>
  <c r="AS30" i="61"/>
  <c r="AT30" i="61" s="1" a="1"/>
  <c r="AT30" i="61" s="1"/>
  <c r="AV30" i="61"/>
  <c r="BC30" i="61" s="1"/>
  <c r="BZ30" i="61"/>
  <c r="E45" i="120"/>
  <c r="E22" i="43"/>
  <c r="A29" i="64"/>
  <c r="A32" i="65" s="1"/>
  <c r="P3" i="102" a="1"/>
  <c r="P3" i="102" s="1"/>
  <c r="CA33" i="61"/>
  <c r="L2" i="103" a="1"/>
  <c r="L2" i="103" s="1"/>
  <c r="L2" i="102" a="1"/>
  <c r="L2" i="102" s="1"/>
  <c r="BX32" i="61"/>
  <c r="AQ32" i="61"/>
  <c r="L3" i="102" a="1"/>
  <c r="L3" i="102" s="1"/>
  <c r="M3" i="102" s="1" a="1"/>
  <c r="M3" i="102" s="1"/>
  <c r="Q3" i="102" a="1"/>
  <c r="Q3" i="102" s="1"/>
  <c r="BW33" i="61"/>
  <c r="P2" i="102" a="1"/>
  <c r="P2" i="102" s="1"/>
  <c r="B28" i="40"/>
  <c r="BA28" i="61"/>
  <c r="C43" i="66"/>
  <c r="D43" i="66" s="1"/>
  <c r="C43" i="74"/>
  <c r="Q20" i="65"/>
  <c r="R20" i="65"/>
  <c r="AP33" i="61"/>
  <c r="T9" i="102"/>
  <c r="T45" i="102"/>
  <c r="F2" i="102" s="1"/>
  <c r="AX29" i="61"/>
  <c r="BA29" i="61" s="1"/>
  <c r="K41" i="76"/>
  <c r="BD33" i="61"/>
  <c r="BZ31" i="61"/>
  <c r="AS31" i="61"/>
  <c r="AT31" i="61" s="1" a="1"/>
  <c r="AT31" i="61" s="1"/>
  <c r="AV31" i="61"/>
  <c r="AQ33" i="61"/>
  <c r="BX33" i="61"/>
  <c r="O3" i="101" a="1"/>
  <c r="O3" i="101" s="1"/>
  <c r="L6" i="100"/>
  <c r="T45" i="103"/>
  <c r="F2" i="103" s="1"/>
  <c r="T9" i="103"/>
  <c r="P3" i="103" a="1"/>
  <c r="P3" i="103" s="1"/>
  <c r="L3" i="103" a="1"/>
  <c r="L3" i="103" s="1"/>
  <c r="P2" i="103" a="1"/>
  <c r="P2" i="103" s="1"/>
  <c r="Q3" i="103" a="1"/>
  <c r="Q3" i="103" s="1"/>
  <c r="C44" i="66"/>
  <c r="D44" i="66" s="1"/>
  <c r="C44" i="74"/>
  <c r="A38" i="61"/>
  <c r="T1" i="104"/>
  <c r="T17" i="104" s="1"/>
  <c r="A28" i="64"/>
  <c r="A31" i="65" s="1"/>
  <c r="A36" i="58"/>
  <c r="A38" i="9"/>
  <c r="A38" i="60" s="1"/>
  <c r="A37" i="60"/>
  <c r="A33" i="43"/>
  <c r="A31" i="44" s="1"/>
  <c r="A37" i="40"/>
  <c r="A37" i="42" s="1"/>
  <c r="A37" i="46" s="1"/>
  <c r="A37" i="51"/>
  <c r="W36" i="118"/>
  <c r="W35" i="118"/>
  <c r="AE31" i="61" a="1"/>
  <c r="AD32" i="61"/>
  <c r="C29" i="9" a="1"/>
  <c r="AE33" i="61" a="1"/>
  <c r="M2" i="103" l="1" a="1"/>
  <c r="M2" i="103" s="1"/>
  <c r="N2" i="103" s="1" a="1"/>
  <c r="N2" i="103" s="1"/>
  <c r="O2" i="103" s="1" a="1"/>
  <c r="O2" i="103" s="1"/>
  <c r="T15" i="104"/>
  <c r="T16" i="104"/>
  <c r="H16" i="64"/>
  <c r="B22" i="63"/>
  <c r="B22" i="57" s="1"/>
  <c r="E22" i="57" s="1"/>
  <c r="AE31" i="61"/>
  <c r="AG31" i="61" s="1"/>
  <c r="BS31" i="61" s="1"/>
  <c r="AL31" i="61" s="1"/>
  <c r="AE33" i="61"/>
  <c r="Y33" i="61"/>
  <c r="R2" i="99" a="1"/>
  <c r="R2" i="99" s="1"/>
  <c r="M2" i="102" a="1"/>
  <c r="M2" i="102" s="1"/>
  <c r="C29" i="9"/>
  <c r="E29" i="9" s="1"/>
  <c r="E27" i="40"/>
  <c r="Y32" i="61"/>
  <c r="BP32" i="61" s="1"/>
  <c r="Q21" i="65"/>
  <c r="D27" i="40"/>
  <c r="B25" i="77"/>
  <c r="F25" i="77" s="1"/>
  <c r="BB45" i="120"/>
  <c r="B19" i="64"/>
  <c r="H19" i="64" s="1"/>
  <c r="B45" i="120"/>
  <c r="B27" i="42"/>
  <c r="K27" i="42" s="1"/>
  <c r="I27" i="40"/>
  <c r="H27" i="40"/>
  <c r="J27" i="40"/>
  <c r="BR35" i="61"/>
  <c r="BQ35" i="61"/>
  <c r="BQ36" i="61"/>
  <c r="BR36" i="61"/>
  <c r="B29" i="40"/>
  <c r="H29" i="40" s="1"/>
  <c r="AL30" i="61"/>
  <c r="B30" i="9" s="1"/>
  <c r="CA34" i="61"/>
  <c r="BW34" i="61"/>
  <c r="AQ34" i="61"/>
  <c r="N2" i="101" a="1"/>
  <c r="N2" i="101" s="1"/>
  <c r="AW30" i="61"/>
  <c r="BB30" i="61" s="1"/>
  <c r="J25" i="58"/>
  <c r="L6" i="99"/>
  <c r="BY32" i="61"/>
  <c r="AR32" i="61"/>
  <c r="CA35" i="61"/>
  <c r="G28" i="40"/>
  <c r="H28" i="40"/>
  <c r="J28" i="40"/>
  <c r="I28" i="40"/>
  <c r="D28" i="40"/>
  <c r="B28" i="42"/>
  <c r="R19" i="65"/>
  <c r="Q19" i="65"/>
  <c r="K43" i="74"/>
  <c r="J43" i="74"/>
  <c r="B43" i="74"/>
  <c r="C43" i="76"/>
  <c r="B43" i="66"/>
  <c r="AY29" i="61"/>
  <c r="AZ29" i="61" s="1"/>
  <c r="C44" i="76"/>
  <c r="J44" i="74"/>
  <c r="K44" i="74"/>
  <c r="B44" i="74"/>
  <c r="M3" i="103" a="1"/>
  <c r="M3" i="103" s="1"/>
  <c r="BY33" i="61"/>
  <c r="AR33" i="61"/>
  <c r="B44" i="66"/>
  <c r="BD34" i="61"/>
  <c r="N3" i="102" a="1"/>
  <c r="N3" i="102" s="1"/>
  <c r="AW31" i="61"/>
  <c r="BB31" i="61" s="1"/>
  <c r="BC31" i="61"/>
  <c r="A39" i="61"/>
  <c r="T1" i="105"/>
  <c r="T15" i="105" s="1"/>
  <c r="A30" i="64"/>
  <c r="A33" i="65" s="1"/>
  <c r="A37" i="58"/>
  <c r="A37" i="77"/>
  <c r="A37" i="63" s="1"/>
  <c r="A37" i="57" s="1"/>
  <c r="A38" i="51"/>
  <c r="A38" i="40"/>
  <c r="A39" i="9"/>
  <c r="A39" i="60" s="1"/>
  <c r="A34" i="43"/>
  <c r="A32" i="44" s="1"/>
  <c r="AE32" i="61" a="1"/>
  <c r="C30" i="9" a="1"/>
  <c r="R2" i="103" l="1" a="1"/>
  <c r="R2" i="103" s="1"/>
  <c r="P3" i="104" a="1"/>
  <c r="P3" i="104" s="1"/>
  <c r="Q3" i="104" a="1"/>
  <c r="Q3" i="104" s="1"/>
  <c r="T45" i="104"/>
  <c r="F2" i="104" s="1"/>
  <c r="L3" i="104" a="1"/>
  <c r="L3" i="104" s="1"/>
  <c r="M3" i="104" s="1" a="1"/>
  <c r="M3" i="104" s="1"/>
  <c r="P2" i="104" a="1"/>
  <c r="P2" i="104" s="1"/>
  <c r="T9" i="104"/>
  <c r="L2" i="104" a="1"/>
  <c r="L2" i="104" s="1"/>
  <c r="M2" i="104" s="1" a="1"/>
  <c r="M2" i="104" s="1"/>
  <c r="C42" i="74"/>
  <c r="B42" i="74" s="1"/>
  <c r="C42" i="66"/>
  <c r="D42" i="66" s="1"/>
  <c r="AE32" i="61"/>
  <c r="AG32" i="61" s="1"/>
  <c r="BS32" i="61" s="1"/>
  <c r="N2" i="102" a="1"/>
  <c r="N2" i="102" s="1"/>
  <c r="C30" i="9"/>
  <c r="E30" i="9" s="1"/>
  <c r="B25" i="63"/>
  <c r="B25" i="57" s="1"/>
  <c r="E25" i="57" s="1"/>
  <c r="B27" i="46"/>
  <c r="J27" i="42"/>
  <c r="E27" i="42" s="1"/>
  <c r="B22" i="65"/>
  <c r="R22" i="65" s="1"/>
  <c r="L27" i="42"/>
  <c r="M27" i="42"/>
  <c r="B24" i="43"/>
  <c r="G24" i="43" s="1"/>
  <c r="B29" i="42"/>
  <c r="B29" i="46" s="1"/>
  <c r="I29" i="40"/>
  <c r="D29" i="40"/>
  <c r="J29" i="40"/>
  <c r="G29" i="40"/>
  <c r="B30" i="40"/>
  <c r="G30" i="40" s="1"/>
  <c r="BX34" i="61"/>
  <c r="AX30" i="61"/>
  <c r="AY30" i="61" s="1"/>
  <c r="AZ30" i="61" s="1"/>
  <c r="AR34" i="61"/>
  <c r="O2" i="101" a="1"/>
  <c r="O2" i="101" s="1"/>
  <c r="A31" i="64"/>
  <c r="A34" i="65" s="1"/>
  <c r="BW35" i="61"/>
  <c r="AP35" i="61"/>
  <c r="AU35" i="61"/>
  <c r="BD35" i="61" s="1"/>
  <c r="B31" i="9"/>
  <c r="L2" i="105" a="1"/>
  <c r="L2" i="105" s="1"/>
  <c r="AG33" i="61"/>
  <c r="BS33" i="61" s="1"/>
  <c r="E28" i="40"/>
  <c r="AV32" i="61"/>
  <c r="BZ32" i="61"/>
  <c r="AS32" i="61"/>
  <c r="AT32" i="61" s="1" a="1"/>
  <c r="AT32" i="61" s="1"/>
  <c r="L43" i="74"/>
  <c r="B25" i="43"/>
  <c r="M28" i="42"/>
  <c r="L28" i="42"/>
  <c r="B28" i="46"/>
  <c r="K28" i="42"/>
  <c r="J28" i="42"/>
  <c r="L44" i="74"/>
  <c r="B43" i="76"/>
  <c r="I43" i="76"/>
  <c r="B43" i="69"/>
  <c r="A43" i="69" s="1"/>
  <c r="J43" i="76"/>
  <c r="AX31" i="61"/>
  <c r="BA31" i="61" s="1"/>
  <c r="O3" i="102" a="1"/>
  <c r="O3" i="102" s="1"/>
  <c r="CA36" i="61"/>
  <c r="AU36" i="61"/>
  <c r="T9" i="105"/>
  <c r="P3" i="105" a="1"/>
  <c r="P3" i="105" s="1"/>
  <c r="L3" i="105" a="1"/>
  <c r="L3" i="105" s="1"/>
  <c r="P2" i="105" a="1"/>
  <c r="P2" i="105" s="1"/>
  <c r="T45" i="105"/>
  <c r="F2" i="105" s="1"/>
  <c r="Q3" i="105" a="1"/>
  <c r="Q3" i="105" s="1"/>
  <c r="AS33" i="61"/>
  <c r="AT33" i="61" s="1" a="1"/>
  <c r="AT33" i="61" s="1"/>
  <c r="BZ33" i="61"/>
  <c r="AV33" i="61"/>
  <c r="J44" i="76"/>
  <c r="B44" i="69"/>
  <c r="A44" i="69" s="1"/>
  <c r="B44" i="76"/>
  <c r="I44" i="76"/>
  <c r="BW36" i="61"/>
  <c r="AP36" i="61"/>
  <c r="N3" i="103" a="1"/>
  <c r="N3" i="103" s="1"/>
  <c r="A40" i="61"/>
  <c r="A41" i="61" s="1"/>
  <c r="A42" i="61" s="1"/>
  <c r="A43" i="61" s="1"/>
  <c r="A44" i="61" s="1"/>
  <c r="A45" i="61" s="1"/>
  <c r="A46" i="61" s="1"/>
  <c r="A47" i="61" s="1"/>
  <c r="A48" i="61" s="1"/>
  <c r="A49" i="61" s="1"/>
  <c r="A50" i="61" s="1"/>
  <c r="A38" i="42"/>
  <c r="A38" i="46" s="1"/>
  <c r="A38" i="58"/>
  <c r="A32" i="64" s="1"/>
  <c r="A35" i="65" s="1"/>
  <c r="A38" i="77"/>
  <c r="A38" i="63" s="1"/>
  <c r="A38" i="57" s="1"/>
  <c r="A39" i="51"/>
  <c r="A39" i="40"/>
  <c r="A40" i="9"/>
  <c r="A40" i="60" s="1"/>
  <c r="W38" i="118"/>
  <c r="W37" i="118"/>
  <c r="AD34" i="61"/>
  <c r="C31" i="9" a="1"/>
  <c r="E29" i="46"/>
  <c r="E27" i="46"/>
  <c r="BR37" i="61" l="1"/>
  <c r="BQ37" i="61"/>
  <c r="M2" i="105" a="1"/>
  <c r="M2" i="105" s="1"/>
  <c r="J42" i="74"/>
  <c r="B42" i="66"/>
  <c r="K42" i="74"/>
  <c r="C42" i="76"/>
  <c r="J42" i="76" s="1"/>
  <c r="C28" i="46" a="1"/>
  <c r="C28" i="46" s="1"/>
  <c r="I28" i="46" s="1"/>
  <c r="E28" i="46"/>
  <c r="O2" i="102" a="1"/>
  <c r="O2" i="102" s="1"/>
  <c r="L6" i="102" s="1"/>
  <c r="L6" i="101"/>
  <c r="N2" i="104" a="1"/>
  <c r="N2" i="104" s="1"/>
  <c r="R2" i="101" a="1"/>
  <c r="R2" i="101" s="1"/>
  <c r="C31" i="9"/>
  <c r="E31" i="9" s="1"/>
  <c r="Y34" i="61"/>
  <c r="F27" i="46"/>
  <c r="C45" i="74"/>
  <c r="B45" i="74" s="1"/>
  <c r="B27" i="51"/>
  <c r="B27" i="58" s="1"/>
  <c r="F27" i="58" s="1"/>
  <c r="C45" i="66"/>
  <c r="D45" i="66" s="1"/>
  <c r="Q22" i="65"/>
  <c r="B22" i="44"/>
  <c r="F22" i="44" s="1"/>
  <c r="D22" i="44" s="1"/>
  <c r="H24" i="43"/>
  <c r="E24" i="43" s="1"/>
  <c r="BQ38" i="61"/>
  <c r="BR38" i="61"/>
  <c r="B29" i="51"/>
  <c r="B29" i="58" s="1"/>
  <c r="F29" i="58" s="1"/>
  <c r="E29" i="40"/>
  <c r="K29" i="42"/>
  <c r="J29" i="42"/>
  <c r="E29" i="42" s="1"/>
  <c r="L29" i="42"/>
  <c r="M29" i="42"/>
  <c r="H30" i="40"/>
  <c r="AL32" i="61"/>
  <c r="B26" i="43"/>
  <c r="H26" i="43" s="1"/>
  <c r="F29" i="46"/>
  <c r="J30" i="40"/>
  <c r="D30" i="40"/>
  <c r="B30" i="42"/>
  <c r="B27" i="43" s="1"/>
  <c r="I30" i="40"/>
  <c r="BA30" i="61"/>
  <c r="BY34" i="61"/>
  <c r="BZ34" i="61"/>
  <c r="B31" i="40"/>
  <c r="I31" i="40" s="1"/>
  <c r="K43" i="76"/>
  <c r="AW32" i="61"/>
  <c r="BC32" i="61"/>
  <c r="AY31" i="61"/>
  <c r="AZ31" i="61" s="1"/>
  <c r="E28" i="42"/>
  <c r="F28" i="46"/>
  <c r="B28" i="51"/>
  <c r="B28" i="58" s="1"/>
  <c r="F28" i="58" s="1"/>
  <c r="B23" i="44"/>
  <c r="F23" i="44" s="1"/>
  <c r="D23" i="44" s="1"/>
  <c r="H25" i="43"/>
  <c r="G25" i="43"/>
  <c r="Y42" i="66"/>
  <c r="BX35" i="61"/>
  <c r="AQ35" i="61"/>
  <c r="K44" i="76"/>
  <c r="AW33" i="61"/>
  <c r="BB33" i="61" s="1"/>
  <c r="BC33" i="61"/>
  <c r="BD36" i="61"/>
  <c r="N3" i="104" a="1"/>
  <c r="N3" i="104" s="1"/>
  <c r="L6" i="103"/>
  <c r="AU37" i="61"/>
  <c r="CA37" i="61"/>
  <c r="AP37" i="61"/>
  <c r="BW37" i="61"/>
  <c r="O3" i="103" a="1"/>
  <c r="O3" i="103" s="1"/>
  <c r="BX36" i="61"/>
  <c r="AQ36" i="61"/>
  <c r="M3" i="105" a="1"/>
  <c r="M3" i="105" s="1"/>
  <c r="A39" i="42"/>
  <c r="A39" i="46" s="1"/>
  <c r="A39" i="58"/>
  <c r="A33" i="64" s="1"/>
  <c r="A36" i="65" s="1"/>
  <c r="A39" i="77"/>
  <c r="A39" i="63" s="1"/>
  <c r="A39" i="57" s="1"/>
  <c r="A35" i="43"/>
  <c r="A33" i="44" s="1"/>
  <c r="A40" i="40"/>
  <c r="A40" i="42" s="1"/>
  <c r="A40" i="46" s="1"/>
  <c r="A41" i="9"/>
  <c r="A42" i="9" s="1"/>
  <c r="A40" i="51"/>
  <c r="AD35" i="61"/>
  <c r="AE35" i="61" a="1"/>
  <c r="AE34" i="61" a="1"/>
  <c r="C29" i="46" a="1"/>
  <c r="C27" i="46" a="1"/>
  <c r="N2" i="105" l="1" a="1"/>
  <c r="N2" i="105" s="1"/>
  <c r="O2" i="105" s="1" a="1"/>
  <c r="O2" i="105" s="1"/>
  <c r="B42" i="69"/>
  <c r="A42" i="69" s="1"/>
  <c r="I42" i="76"/>
  <c r="K42" i="76" s="1"/>
  <c r="L42" i="74"/>
  <c r="B42" i="76"/>
  <c r="C27" i="46"/>
  <c r="I27" i="46" s="1"/>
  <c r="G27" i="46" s="1"/>
  <c r="C29" i="46"/>
  <c r="I29" i="46" s="1"/>
  <c r="G29" i="46" s="1"/>
  <c r="AE35" i="61"/>
  <c r="AE34" i="61"/>
  <c r="AG34" i="61" s="1"/>
  <c r="BS34" i="61" s="1"/>
  <c r="Y35" i="61"/>
  <c r="BP35" i="61" s="1"/>
  <c r="R2" i="102" a="1"/>
  <c r="R2" i="102" s="1"/>
  <c r="O2" i="104" a="1"/>
  <c r="O2" i="104" s="1"/>
  <c r="E30" i="40"/>
  <c r="K45" i="74"/>
  <c r="C45" i="76"/>
  <c r="I45" i="76" s="1"/>
  <c r="J45" i="74"/>
  <c r="C47" i="120"/>
  <c r="BB47" i="120" s="1"/>
  <c r="B45" i="66"/>
  <c r="C49" i="120"/>
  <c r="BA49" i="120" s="1"/>
  <c r="C48" i="120"/>
  <c r="AU48" i="120" s="1"/>
  <c r="J29" i="58"/>
  <c r="L30" i="42"/>
  <c r="J30" i="42"/>
  <c r="E30" i="42" s="1"/>
  <c r="M30" i="42"/>
  <c r="K30" i="42"/>
  <c r="G26" i="43"/>
  <c r="E26" i="43" s="1"/>
  <c r="B24" i="44"/>
  <c r="F24" i="44" s="1"/>
  <c r="D24" i="44" s="1"/>
  <c r="B30" i="46"/>
  <c r="AV34" i="61"/>
  <c r="BC34" i="61" s="1"/>
  <c r="AS34" i="61"/>
  <c r="AT34" i="61" s="1" a="1"/>
  <c r="AT34" i="61" s="1"/>
  <c r="BP34" i="61"/>
  <c r="E47" i="120"/>
  <c r="J27" i="58"/>
  <c r="A41" i="60"/>
  <c r="A41" i="40"/>
  <c r="A41" i="42" s="1"/>
  <c r="A41" i="46" s="1"/>
  <c r="D31" i="40"/>
  <c r="B31" i="42"/>
  <c r="M31" i="42" s="1"/>
  <c r="J31" i="40"/>
  <c r="G31" i="40"/>
  <c r="H31" i="40"/>
  <c r="G28" i="46"/>
  <c r="B32" i="9"/>
  <c r="AX32" i="61"/>
  <c r="BB32" i="61"/>
  <c r="E25" i="43"/>
  <c r="G27" i="43"/>
  <c r="H27" i="43"/>
  <c r="B25" i="44"/>
  <c r="F25" i="44" s="1"/>
  <c r="D25" i="44" s="1"/>
  <c r="AR35" i="61"/>
  <c r="BY35" i="61"/>
  <c r="AV35" i="61"/>
  <c r="AS35" i="61"/>
  <c r="BZ35" i="61"/>
  <c r="BP36" i="61"/>
  <c r="O3" i="104" a="1"/>
  <c r="O3" i="104" s="1"/>
  <c r="BD37" i="61"/>
  <c r="N3" i="105" a="1"/>
  <c r="N3" i="105" s="1"/>
  <c r="O3" i="105" s="1" a="1"/>
  <c r="O3" i="105" s="1"/>
  <c r="CA38" i="61"/>
  <c r="AU38" i="61"/>
  <c r="BY36" i="61"/>
  <c r="AR36" i="61"/>
  <c r="BX37" i="61"/>
  <c r="AQ37" i="61"/>
  <c r="AX33" i="61"/>
  <c r="BW38" i="61"/>
  <c r="AP38" i="61"/>
  <c r="A40" i="58"/>
  <c r="A34" i="64" s="1"/>
  <c r="A37" i="65" s="1"/>
  <c r="A40" i="77"/>
  <c r="A40" i="63" s="1"/>
  <c r="A40" i="57" s="1"/>
  <c r="A41" i="51"/>
  <c r="A41" i="77" s="1"/>
  <c r="A37" i="43"/>
  <c r="A35" i="44" s="1"/>
  <c r="A36" i="43"/>
  <c r="A34" i="44" s="1"/>
  <c r="A42" i="60"/>
  <c r="A43" i="9"/>
  <c r="A42" i="51"/>
  <c r="A42" i="77" s="1"/>
  <c r="A42" i="40"/>
  <c r="A42" i="42" s="1"/>
  <c r="A42" i="46" s="1"/>
  <c r="AD37" i="61"/>
  <c r="E30" i="46"/>
  <c r="C32" i="9" a="1"/>
  <c r="R2" i="105" l="1" a="1"/>
  <c r="R2" i="105" s="1"/>
  <c r="C42" i="69"/>
  <c r="F30" i="46"/>
  <c r="R2" i="104" a="1"/>
  <c r="R2" i="104" s="1"/>
  <c r="C32" i="9"/>
  <c r="E32" i="9" s="1"/>
  <c r="E31" i="40"/>
  <c r="L45" i="74"/>
  <c r="Y37" i="61"/>
  <c r="B45" i="69"/>
  <c r="A45" i="69" s="1"/>
  <c r="J45" i="76"/>
  <c r="K45" i="76" s="1"/>
  <c r="B45" i="76"/>
  <c r="B47" i="120"/>
  <c r="BA47" i="120"/>
  <c r="B21" i="64"/>
  <c r="B24" i="65" s="1"/>
  <c r="B27" i="77"/>
  <c r="B27" i="63" s="1"/>
  <c r="B27" i="57" s="1"/>
  <c r="E27" i="57" s="1"/>
  <c r="BB48" i="120"/>
  <c r="B28" i="77"/>
  <c r="B29" i="77"/>
  <c r="F29" i="77" s="1"/>
  <c r="B23" i="64"/>
  <c r="B26" i="65" s="1"/>
  <c r="Q26" i="65" s="1"/>
  <c r="B49" i="120"/>
  <c r="BB49" i="120"/>
  <c r="BA48" i="120"/>
  <c r="B48" i="120"/>
  <c r="B22" i="64"/>
  <c r="AL35" i="61"/>
  <c r="B35" i="9" s="1"/>
  <c r="E49" i="120"/>
  <c r="B30" i="51"/>
  <c r="B30" i="58" s="1"/>
  <c r="F30" i="58" s="1"/>
  <c r="AL34" i="61"/>
  <c r="AW34" i="61"/>
  <c r="AX34" i="61" s="1"/>
  <c r="A38" i="43"/>
  <c r="A36" i="44" s="1"/>
  <c r="E48" i="120"/>
  <c r="J28" i="58"/>
  <c r="B31" i="46"/>
  <c r="K31" i="42"/>
  <c r="J31" i="42"/>
  <c r="E31" i="42" s="1"/>
  <c r="L31" i="42"/>
  <c r="B28" i="43"/>
  <c r="G28" i="43" s="1"/>
  <c r="AT35" i="61" a="1"/>
  <c r="AT35" i="61" s="1"/>
  <c r="B32" i="40"/>
  <c r="BA32" i="61"/>
  <c r="AY32" i="61"/>
  <c r="AZ32" i="61" s="1"/>
  <c r="E27" i="43"/>
  <c r="BC35" i="61"/>
  <c r="AW35" i="61"/>
  <c r="L6" i="105"/>
  <c r="BD38" i="61"/>
  <c r="AY33" i="61"/>
  <c r="AZ33" i="61" s="1"/>
  <c r="BA33" i="61"/>
  <c r="BZ36" i="61"/>
  <c r="AS36" i="61"/>
  <c r="AT36" i="61" s="1" a="1"/>
  <c r="AT36" i="61" s="1"/>
  <c r="AV36" i="61"/>
  <c r="BY37" i="61"/>
  <c r="AR37" i="61"/>
  <c r="BX38" i="61"/>
  <c r="AQ38" i="61"/>
  <c r="L6" i="104"/>
  <c r="A41" i="58"/>
  <c r="A41" i="63"/>
  <c r="A41" i="57" s="1"/>
  <c r="A42" i="58"/>
  <c r="A36" i="64" s="1"/>
  <c r="A39" i="65" s="1"/>
  <c r="A42" i="63"/>
  <c r="A42" i="57" s="1"/>
  <c r="A43" i="60"/>
  <c r="A43" i="40"/>
  <c r="A43" i="42" s="1"/>
  <c r="A43" i="46" s="1"/>
  <c r="A43" i="51"/>
  <c r="A43" i="77" s="1"/>
  <c r="A44" i="9"/>
  <c r="A39" i="43"/>
  <c r="A37" i="44" s="1"/>
  <c r="AE37" i="61" a="1"/>
  <c r="E31" i="46"/>
  <c r="C30" i="46" a="1"/>
  <c r="C30" i="46" l="1"/>
  <c r="I30" i="46" s="1"/>
  <c r="G30" i="46" s="1"/>
  <c r="AE37" i="61"/>
  <c r="E35" i="9"/>
  <c r="C35" i="9" a="1"/>
  <c r="C35" i="9" s="1"/>
  <c r="B35" i="40"/>
  <c r="I35" i="40" s="1"/>
  <c r="BP37" i="61"/>
  <c r="H21" i="64"/>
  <c r="F27" i="77"/>
  <c r="R26" i="65"/>
  <c r="H23" i="64"/>
  <c r="B29" i="63"/>
  <c r="B29" i="57" s="1"/>
  <c r="E29" i="57" s="1"/>
  <c r="C50" i="120"/>
  <c r="B24" i="64" s="1"/>
  <c r="E50" i="120"/>
  <c r="AL36" i="61"/>
  <c r="B36" i="9" s="1"/>
  <c r="E36" i="9" s="1"/>
  <c r="BB34" i="61"/>
  <c r="B34" i="9"/>
  <c r="B31" i="51"/>
  <c r="B31" i="58" s="1"/>
  <c r="F31" i="58" s="1"/>
  <c r="F31" i="46"/>
  <c r="B26" i="44"/>
  <c r="F26" i="44" s="1"/>
  <c r="D26" i="44" s="1"/>
  <c r="H28" i="43"/>
  <c r="E28" i="43" s="1"/>
  <c r="I32" i="40"/>
  <c r="D32" i="40"/>
  <c r="J32" i="40"/>
  <c r="H32" i="40"/>
  <c r="G32" i="40"/>
  <c r="B32" i="42"/>
  <c r="R24" i="65"/>
  <c r="Q24" i="65"/>
  <c r="C47" i="66"/>
  <c r="D47" i="66" s="1"/>
  <c r="C47" i="74"/>
  <c r="H22" i="64"/>
  <c r="B25" i="65"/>
  <c r="F28" i="77"/>
  <c r="B28" i="63"/>
  <c r="B28" i="57" s="1"/>
  <c r="E28" i="57" s="1"/>
  <c r="BB35" i="61"/>
  <c r="AX35" i="61"/>
  <c r="BA35" i="61" s="1"/>
  <c r="BA34" i="61"/>
  <c r="AY34" i="61"/>
  <c r="AZ34" i="61" s="1"/>
  <c r="BP38" i="61"/>
  <c r="BC36" i="61"/>
  <c r="AW36" i="61"/>
  <c r="BB36" i="61" s="1"/>
  <c r="BZ37" i="61"/>
  <c r="AS37" i="61"/>
  <c r="AT37" i="61" s="1" a="1"/>
  <c r="AT37" i="61" s="1"/>
  <c r="AV37" i="61"/>
  <c r="BY38" i="61"/>
  <c r="AR38" i="61"/>
  <c r="A43" i="58"/>
  <c r="A37" i="64" s="1"/>
  <c r="A40" i="65" s="1"/>
  <c r="A43" i="63"/>
  <c r="A43" i="57" s="1"/>
  <c r="A35" i="64"/>
  <c r="A38" i="65" s="1"/>
  <c r="A44" i="60"/>
  <c r="A45" i="9"/>
  <c r="A44" i="51"/>
  <c r="A44" i="77" s="1"/>
  <c r="A44" i="40"/>
  <c r="A44" i="42" s="1"/>
  <c r="A44" i="46" s="1"/>
  <c r="A40" i="43"/>
  <c r="A38" i="44" s="1"/>
  <c r="C31" i="46" a="1"/>
  <c r="C34" i="9" a="1"/>
  <c r="C31" i="46" l="1"/>
  <c r="I31" i="46" s="1"/>
  <c r="G31" i="46" s="1"/>
  <c r="G35" i="40"/>
  <c r="E35" i="40" s="1"/>
  <c r="H35" i="40"/>
  <c r="D35" i="40"/>
  <c r="J35" i="40"/>
  <c r="B35" i="42"/>
  <c r="J35" i="42" s="1"/>
  <c r="E35" i="42" s="1"/>
  <c r="C34" i="9"/>
  <c r="E34" i="9" s="1"/>
  <c r="C36" i="9" a="1"/>
  <c r="C36" i="9" s="1"/>
  <c r="B36" i="40"/>
  <c r="H36" i="40" s="1"/>
  <c r="C49" i="66"/>
  <c r="D49" i="66" s="1"/>
  <c r="C49" i="74"/>
  <c r="C49" i="76" s="1"/>
  <c r="J49" i="76" s="1"/>
  <c r="B30" i="77"/>
  <c r="B30" i="63" s="1"/>
  <c r="B30" i="57" s="1"/>
  <c r="E30" i="57" s="1"/>
  <c r="C51" i="120"/>
  <c r="B31" i="77" s="1"/>
  <c r="BA50" i="120"/>
  <c r="BB50" i="120"/>
  <c r="B50" i="120"/>
  <c r="J30" i="58"/>
  <c r="B34" i="40"/>
  <c r="I34" i="40" s="1"/>
  <c r="J31" i="58"/>
  <c r="E32" i="40"/>
  <c r="J32" i="42"/>
  <c r="E32" i="42" s="1"/>
  <c r="B29" i="43"/>
  <c r="M32" i="42"/>
  <c r="K32" i="42"/>
  <c r="B32" i="46"/>
  <c r="L32" i="42"/>
  <c r="AG38" i="61"/>
  <c r="BS38" i="61" s="1"/>
  <c r="K47" i="74"/>
  <c r="C47" i="76"/>
  <c r="B47" i="74"/>
  <c r="J47" i="74"/>
  <c r="B47" i="66"/>
  <c r="C48" i="66"/>
  <c r="D48" i="66" s="1"/>
  <c r="C48" i="74"/>
  <c r="Q25" i="65"/>
  <c r="R25" i="65"/>
  <c r="AL37" i="61"/>
  <c r="B27" i="65"/>
  <c r="H24" i="64"/>
  <c r="AY35" i="61"/>
  <c r="AZ35" i="61" s="1"/>
  <c r="AX36" i="61"/>
  <c r="BC37" i="61"/>
  <c r="AW37" i="61"/>
  <c r="BB37" i="61" s="1"/>
  <c r="BZ38" i="61"/>
  <c r="AS38" i="61"/>
  <c r="AT38" i="61" s="1" a="1"/>
  <c r="AT38" i="61" s="1"/>
  <c r="AV38" i="61"/>
  <c r="A44" i="58"/>
  <c r="A38" i="64" s="1"/>
  <c r="A41" i="65" s="1"/>
  <c r="A44" i="63"/>
  <c r="A44" i="57" s="1"/>
  <c r="A41" i="43"/>
  <c r="A39" i="44" s="1"/>
  <c r="A45" i="60"/>
  <c r="A46" i="9"/>
  <c r="A45" i="51"/>
  <c r="A45" i="77" s="1"/>
  <c r="A45" i="40"/>
  <c r="A45" i="42" s="1"/>
  <c r="A45" i="46" s="1"/>
  <c r="C32" i="46" a="1"/>
  <c r="C32" i="46" l="1"/>
  <c r="I32" i="46" s="1"/>
  <c r="D36" i="40"/>
  <c r="K35" i="42"/>
  <c r="G36" i="40"/>
  <c r="E36" i="40" s="1"/>
  <c r="M35" i="42"/>
  <c r="J36" i="40"/>
  <c r="L35" i="42"/>
  <c r="B35" i="46"/>
  <c r="E35" i="46" s="1"/>
  <c r="I36" i="40"/>
  <c r="B36" i="42"/>
  <c r="K36" i="42" s="1"/>
  <c r="B49" i="69"/>
  <c r="A49" i="69" s="1"/>
  <c r="K49" i="74"/>
  <c r="B49" i="76"/>
  <c r="J49" i="74"/>
  <c r="I49" i="76"/>
  <c r="K49" i="76" s="1"/>
  <c r="B49" i="66"/>
  <c r="B49" i="74"/>
  <c r="F30" i="77"/>
  <c r="B51" i="120"/>
  <c r="B25" i="64"/>
  <c r="B28" i="65" s="1"/>
  <c r="BB51" i="120"/>
  <c r="BA51" i="120"/>
  <c r="AL38" i="61"/>
  <c r="J34" i="40"/>
  <c r="D34" i="40"/>
  <c r="B34" i="42"/>
  <c r="M34" i="42" s="1"/>
  <c r="H34" i="40"/>
  <c r="G34" i="40"/>
  <c r="E51" i="120"/>
  <c r="L47" i="74"/>
  <c r="F32" i="46"/>
  <c r="B32" i="51"/>
  <c r="B32" i="58" s="1"/>
  <c r="F32" i="58" s="1"/>
  <c r="H29" i="43"/>
  <c r="G29" i="43"/>
  <c r="B27" i="44"/>
  <c r="F27" i="44" s="1"/>
  <c r="D27" i="44" s="1"/>
  <c r="Y47" i="66"/>
  <c r="B47" i="76"/>
  <c r="J47" i="76"/>
  <c r="B47" i="69"/>
  <c r="I47" i="76"/>
  <c r="B37" i="9"/>
  <c r="E37" i="9" s="1"/>
  <c r="B48" i="74"/>
  <c r="C48" i="76"/>
  <c r="J48" i="74"/>
  <c r="K48" i="74"/>
  <c r="B48" i="66"/>
  <c r="R27" i="65"/>
  <c r="Q27" i="65"/>
  <c r="C50" i="66"/>
  <c r="D50" i="66" s="1"/>
  <c r="C50" i="74"/>
  <c r="AX37" i="61"/>
  <c r="BA37" i="61" s="1"/>
  <c r="B31" i="63"/>
  <c r="B31" i="57" s="1"/>
  <c r="E31" i="57" s="1"/>
  <c r="F31" i="77"/>
  <c r="AY36" i="61"/>
  <c r="AZ36" i="61" s="1"/>
  <c r="BA36" i="61"/>
  <c r="BC38" i="61"/>
  <c r="AW38" i="61"/>
  <c r="BB38" i="61" s="1"/>
  <c r="A45" i="58"/>
  <c r="A39" i="64" s="1"/>
  <c r="A42" i="65" s="1"/>
  <c r="A45" i="63"/>
  <c r="A45" i="57" s="1"/>
  <c r="A46" i="60"/>
  <c r="A46" i="40"/>
  <c r="A46" i="42" s="1"/>
  <c r="A46" i="46" s="1"/>
  <c r="A46" i="51"/>
  <c r="A46" i="77" s="1"/>
  <c r="A47" i="9"/>
  <c r="A42" i="43"/>
  <c r="A40" i="44" s="1"/>
  <c r="E32" i="46"/>
  <c r="C35" i="46" l="1" a="1"/>
  <c r="C35" i="46" s="1"/>
  <c r="I35" i="46" s="1"/>
  <c r="G35" i="46" s="1"/>
  <c r="M36" i="42"/>
  <c r="B36" i="46"/>
  <c r="E36" i="46" s="1"/>
  <c r="J36" i="42"/>
  <c r="E36" i="42" s="1"/>
  <c r="L36" i="42"/>
  <c r="B35" i="51"/>
  <c r="B35" i="58" s="1"/>
  <c r="F35" i="58" s="1"/>
  <c r="F35" i="46"/>
  <c r="C37" i="9" a="1"/>
  <c r="C37" i="9" s="1"/>
  <c r="L49" i="74"/>
  <c r="H25" i="64"/>
  <c r="C52" i="120"/>
  <c r="BA52" i="120" s="1"/>
  <c r="B34" i="46"/>
  <c r="J34" i="42"/>
  <c r="E34" i="42" s="1"/>
  <c r="E34" i="40"/>
  <c r="L34" i="42"/>
  <c r="K34" i="42"/>
  <c r="K47" i="76"/>
  <c r="G32" i="46"/>
  <c r="E29" i="43"/>
  <c r="B37" i="40"/>
  <c r="B37" i="42" s="1"/>
  <c r="B38" i="9"/>
  <c r="E38" i="9" s="1"/>
  <c r="L48" i="74"/>
  <c r="C47" i="69"/>
  <c r="A47" i="69"/>
  <c r="I48" i="76"/>
  <c r="J48" i="76"/>
  <c r="B48" i="69"/>
  <c r="A48" i="69" s="1"/>
  <c r="B48" i="76"/>
  <c r="AY37" i="61"/>
  <c r="AZ37" i="61" s="1"/>
  <c r="K50" i="74"/>
  <c r="B50" i="74"/>
  <c r="J50" i="74"/>
  <c r="C50" i="76"/>
  <c r="B50" i="66"/>
  <c r="AX38" i="61"/>
  <c r="C51" i="74"/>
  <c r="C51" i="66"/>
  <c r="D51" i="66" s="1"/>
  <c r="R28" i="65"/>
  <c r="Q28" i="65"/>
  <c r="A46" i="58"/>
  <c r="A40" i="64" s="1"/>
  <c r="A43" i="65" s="1"/>
  <c r="A46" i="63"/>
  <c r="A46" i="57" s="1"/>
  <c r="A47" i="60"/>
  <c r="A48" i="9"/>
  <c r="A47" i="51"/>
  <c r="A47" i="77" s="1"/>
  <c r="A47" i="40"/>
  <c r="A47" i="42" s="1"/>
  <c r="A47" i="46" s="1"/>
  <c r="A43" i="43"/>
  <c r="A41" i="44" s="1"/>
  <c r="E34" i="46"/>
  <c r="B36" i="51" l="1"/>
  <c r="B36" i="58" s="1"/>
  <c r="F36" i="58" s="1"/>
  <c r="C36" i="46" a="1"/>
  <c r="C36" i="46" s="1"/>
  <c r="I36" i="46" s="1"/>
  <c r="G36" i="46" s="1"/>
  <c r="F36" i="46"/>
  <c r="C55" i="120"/>
  <c r="AU55" i="120" s="1"/>
  <c r="C38" i="9" a="1"/>
  <c r="C38" i="9" s="1"/>
  <c r="B32" i="77"/>
  <c r="B52" i="120"/>
  <c r="BB52" i="120"/>
  <c r="B26" i="64"/>
  <c r="B34" i="51"/>
  <c r="B34" i="58" s="1"/>
  <c r="F34" i="58" s="1"/>
  <c r="F34" i="46"/>
  <c r="E55" i="120"/>
  <c r="E52" i="120"/>
  <c r="J32" i="58"/>
  <c r="J35" i="58"/>
  <c r="K48" i="76"/>
  <c r="B38" i="40"/>
  <c r="H38" i="40" s="1"/>
  <c r="G37" i="40"/>
  <c r="H37" i="40"/>
  <c r="I37" i="40"/>
  <c r="D37" i="40"/>
  <c r="J37" i="40"/>
  <c r="L50" i="74"/>
  <c r="J50" i="76"/>
  <c r="B50" i="69"/>
  <c r="A50" i="69" s="1"/>
  <c r="B50" i="76"/>
  <c r="I50" i="76"/>
  <c r="L37" i="42"/>
  <c r="M37" i="42"/>
  <c r="K37" i="42"/>
  <c r="B37" i="46"/>
  <c r="J37" i="42"/>
  <c r="B51" i="66"/>
  <c r="J51" i="74"/>
  <c r="B51" i="74"/>
  <c r="K51" i="74"/>
  <c r="C51" i="76"/>
  <c r="AY38" i="61"/>
  <c r="AZ38" i="61" s="1"/>
  <c r="BA38" i="61"/>
  <c r="A47" i="58"/>
  <c r="A41" i="64" s="1"/>
  <c r="A44" i="65" s="1"/>
  <c r="A47" i="63"/>
  <c r="A47" i="57" s="1"/>
  <c r="A44" i="43"/>
  <c r="A42" i="44" s="1"/>
  <c r="A48" i="60"/>
  <c r="A49" i="9"/>
  <c r="A48" i="51"/>
  <c r="A48" i="77" s="1"/>
  <c r="A48" i="40"/>
  <c r="A48" i="42" s="1"/>
  <c r="A48" i="46" s="1"/>
  <c r="C34" i="46" a="1"/>
  <c r="C37" i="46" l="1" a="1"/>
  <c r="C37" i="46" s="1"/>
  <c r="I37" i="46" s="1"/>
  <c r="E37" i="46"/>
  <c r="C34" i="46"/>
  <c r="I34" i="46" s="1"/>
  <c r="G34" i="46" s="1"/>
  <c r="B55" i="120"/>
  <c r="B35" i="77"/>
  <c r="B35" i="63" s="1"/>
  <c r="B35" i="57" s="1"/>
  <c r="E35" i="57" s="1"/>
  <c r="BA55" i="120"/>
  <c r="BB55" i="120"/>
  <c r="B29" i="64"/>
  <c r="H29" i="64" s="1"/>
  <c r="C56" i="120"/>
  <c r="AU56" i="120" s="1"/>
  <c r="C54" i="120"/>
  <c r="B54" i="120" s="1"/>
  <c r="J34" i="58"/>
  <c r="J36" i="58"/>
  <c r="E37" i="40"/>
  <c r="G38" i="40"/>
  <c r="B38" i="42"/>
  <c r="L38" i="42" s="1"/>
  <c r="I38" i="40"/>
  <c r="D38" i="40"/>
  <c r="J38" i="40"/>
  <c r="B32" i="63"/>
  <c r="B32" i="57" s="1"/>
  <c r="E32" i="57" s="1"/>
  <c r="F32" i="77"/>
  <c r="L51" i="74"/>
  <c r="H26" i="64"/>
  <c r="B29" i="65"/>
  <c r="K50" i="76"/>
  <c r="B51" i="76"/>
  <c r="B51" i="69"/>
  <c r="A51" i="69" s="1"/>
  <c r="J51" i="76"/>
  <c r="I51" i="76"/>
  <c r="E37" i="42"/>
  <c r="B37" i="51"/>
  <c r="B37" i="58" s="1"/>
  <c r="F37" i="58" s="1"/>
  <c r="F37" i="46"/>
  <c r="A48" i="58"/>
  <c r="A42" i="64" s="1"/>
  <c r="A45" i="65" s="1"/>
  <c r="A48" i="63"/>
  <c r="A48" i="57" s="1"/>
  <c r="A49" i="60"/>
  <c r="A49" i="40"/>
  <c r="A49" i="42" s="1"/>
  <c r="A49" i="46" s="1"/>
  <c r="A50" i="9"/>
  <c r="A49" i="51"/>
  <c r="A49" i="77" s="1"/>
  <c r="A45" i="43"/>
  <c r="A43" i="44" s="1"/>
  <c r="F35" i="77" l="1"/>
  <c r="B32" i="65"/>
  <c r="Q32" i="65" s="1"/>
  <c r="BB56" i="120"/>
  <c r="BA56" i="120"/>
  <c r="B28" i="64"/>
  <c r="B31" i="65" s="1"/>
  <c r="Q31" i="65" s="1"/>
  <c r="B56" i="120"/>
  <c r="BB54" i="120"/>
  <c r="B36" i="77"/>
  <c r="B34" i="77"/>
  <c r="B34" i="63" s="1"/>
  <c r="B34" i="57" s="1"/>
  <c r="E34" i="57" s="1"/>
  <c r="B30" i="64"/>
  <c r="BA54" i="120"/>
  <c r="C57" i="120"/>
  <c r="AU57" i="120" s="1"/>
  <c r="E54" i="120"/>
  <c r="E56" i="120"/>
  <c r="G37" i="46"/>
  <c r="B38" i="46"/>
  <c r="E38" i="46" s="1"/>
  <c r="J38" i="42"/>
  <c r="E38" i="42" s="1"/>
  <c r="K38" i="42"/>
  <c r="E38" i="40"/>
  <c r="M38" i="42"/>
  <c r="R29" i="65"/>
  <c r="Q29" i="65"/>
  <c r="C52" i="66"/>
  <c r="D52" i="66" s="1"/>
  <c r="C52" i="74"/>
  <c r="K51" i="76"/>
  <c r="C55" i="74"/>
  <c r="C55" i="66"/>
  <c r="D55" i="66" s="1"/>
  <c r="A49" i="58"/>
  <c r="A43" i="64" s="1"/>
  <c r="A46" i="65" s="1"/>
  <c r="A49" i="63"/>
  <c r="A49" i="57" s="1"/>
  <c r="A50" i="60"/>
  <c r="A50" i="51"/>
  <c r="A50" i="77" s="1"/>
  <c r="A50" i="40"/>
  <c r="A50" i="42" s="1"/>
  <c r="A50" i="46" s="1"/>
  <c r="A46" i="43"/>
  <c r="A44" i="44" s="1"/>
  <c r="C38" i="46" l="1" a="1"/>
  <c r="C38" i="46" s="1"/>
  <c r="I38" i="46" s="1"/>
  <c r="R32" i="65"/>
  <c r="R31" i="65"/>
  <c r="B57" i="120"/>
  <c r="C54" i="66"/>
  <c r="D54" i="66" s="1"/>
  <c r="F34" i="77"/>
  <c r="B31" i="64"/>
  <c r="C54" i="74"/>
  <c r="B54" i="74" s="1"/>
  <c r="BB57" i="120"/>
  <c r="H28" i="64"/>
  <c r="BA57" i="120"/>
  <c r="B37" i="77"/>
  <c r="E57" i="120"/>
  <c r="J37" i="58"/>
  <c r="B38" i="51"/>
  <c r="B38" i="58" s="1"/>
  <c r="F38" i="58" s="1"/>
  <c r="F38" i="46"/>
  <c r="C52" i="76"/>
  <c r="K52" i="74"/>
  <c r="B52" i="74"/>
  <c r="J52" i="74"/>
  <c r="B52" i="66"/>
  <c r="B55" i="66"/>
  <c r="J55" i="74"/>
  <c r="K55" i="74"/>
  <c r="C55" i="76"/>
  <c r="B55" i="74"/>
  <c r="H30" i="64"/>
  <c r="B33" i="65"/>
  <c r="B36" i="63"/>
  <c r="F36" i="77"/>
  <c r="A50" i="58"/>
  <c r="A44" i="64" s="1"/>
  <c r="A47" i="65" s="1"/>
  <c r="A50" i="63"/>
  <c r="A50" i="57" s="1"/>
  <c r="A47" i="43"/>
  <c r="A45" i="44" s="1"/>
  <c r="B54" i="66" l="1"/>
  <c r="C54" i="76"/>
  <c r="B54" i="76" s="1"/>
  <c r="K54" i="74"/>
  <c r="J54" i="74"/>
  <c r="C58" i="120"/>
  <c r="AU58" i="120" s="1"/>
  <c r="L55" i="74"/>
  <c r="G38" i="46"/>
  <c r="L52" i="74"/>
  <c r="I52" i="76"/>
  <c r="B52" i="69"/>
  <c r="A52" i="69" s="1"/>
  <c r="B52" i="76"/>
  <c r="J52" i="76"/>
  <c r="B55" i="76"/>
  <c r="B55" i="69"/>
  <c r="A55" i="69" s="1"/>
  <c r="J55" i="76"/>
  <c r="I55" i="76"/>
  <c r="B37" i="63"/>
  <c r="B37" i="57" s="1"/>
  <c r="E37" i="57" s="1"/>
  <c r="F37" i="77"/>
  <c r="B36" i="57"/>
  <c r="E36" i="57" s="1"/>
  <c r="Y54" i="66"/>
  <c r="B34" i="65"/>
  <c r="H31" i="64"/>
  <c r="Q33" i="65"/>
  <c r="R33" i="65"/>
  <c r="B54" i="69" l="1"/>
  <c r="C54" i="69" s="1"/>
  <c r="I54" i="76"/>
  <c r="L54" i="74"/>
  <c r="J54" i="76"/>
  <c r="BB58" i="120"/>
  <c r="B32" i="64"/>
  <c r="B58" i="120"/>
  <c r="BA58" i="120"/>
  <c r="B38" i="77"/>
  <c r="E58" i="120"/>
  <c r="J38" i="58"/>
  <c r="K55" i="76"/>
  <c r="K52" i="76"/>
  <c r="R34" i="65"/>
  <c r="Q34" i="65"/>
  <c r="C56" i="74"/>
  <c r="C56" i="66"/>
  <c r="D56" i="66" s="1"/>
  <c r="C57" i="66"/>
  <c r="D57" i="66" s="1"/>
  <c r="C57" i="74"/>
  <c r="A54" i="69" l="1"/>
  <c r="K54" i="76"/>
  <c r="B35" i="65"/>
  <c r="H32" i="64"/>
  <c r="B57" i="74"/>
  <c r="J57" i="74"/>
  <c r="K57" i="74"/>
  <c r="C57" i="76"/>
  <c r="B57" i="66"/>
  <c r="B56" i="66"/>
  <c r="J56" i="74"/>
  <c r="B56" i="74"/>
  <c r="C56" i="76"/>
  <c r="K56" i="74"/>
  <c r="B38" i="63"/>
  <c r="F38" i="77"/>
  <c r="L57" i="74" l="1"/>
  <c r="L56" i="74"/>
  <c r="I57" i="76"/>
  <c r="B57" i="76"/>
  <c r="B57" i="69"/>
  <c r="A57" i="69" s="1"/>
  <c r="J57" i="76"/>
  <c r="R35" i="65"/>
  <c r="Q35" i="65"/>
  <c r="B38" i="57"/>
  <c r="E38" i="57" s="1"/>
  <c r="Y56" i="66"/>
  <c r="I56" i="76"/>
  <c r="B56" i="76"/>
  <c r="B56" i="69"/>
  <c r="J56" i="76"/>
  <c r="G50" i="40"/>
  <c r="J50" i="58"/>
  <c r="J50" i="42"/>
  <c r="K57" i="76" l="1"/>
  <c r="K56" i="76"/>
  <c r="C58" i="66"/>
  <c r="D58" i="66" s="1"/>
  <c r="C58" i="74"/>
  <c r="A56" i="69"/>
  <c r="C56" i="69"/>
  <c r="F50" i="42"/>
  <c r="H50" i="42" s="1"/>
  <c r="E50" i="42"/>
  <c r="E50" i="40"/>
  <c r="J4" i="61"/>
  <c r="E2" i="60"/>
  <c r="E2" i="46"/>
  <c r="C2" i="42"/>
  <c r="C2" i="40"/>
  <c r="E3" i="43"/>
  <c r="G2" i="58"/>
  <c r="C2" i="57"/>
  <c r="E2" i="64"/>
  <c r="K3" i="65" s="1"/>
  <c r="G2" i="51"/>
  <c r="E2" i="44"/>
  <c r="E47" i="43"/>
  <c r="B58" i="74" l="1"/>
  <c r="K58" i="74"/>
  <c r="J58" i="74"/>
  <c r="C58" i="76"/>
  <c r="B58" i="66"/>
  <c r="L10" i="51"/>
  <c r="K2" i="51"/>
  <c r="L58" i="74" l="1"/>
  <c r="Y58" i="66"/>
  <c r="I58" i="76"/>
  <c r="B58" i="69"/>
  <c r="B58" i="76"/>
  <c r="J58" i="76"/>
  <c r="G51" i="51"/>
  <c r="E44" i="64"/>
  <c r="K58" i="76" l="1"/>
  <c r="C58" i="69"/>
  <c r="A58" i="69"/>
  <c r="G26" i="77" l="1"/>
  <c r="K47" i="65" l="1"/>
  <c r="L47" i="65" l="1"/>
  <c r="M47" i="65" s="1"/>
  <c r="N47" i="65" s="1"/>
  <c r="S47" i="65"/>
  <c r="H47" i="65" s="1"/>
  <c r="I47" i="65" s="1"/>
  <c r="J47" i="65" l="1"/>
  <c r="L50" i="63" l="1"/>
  <c r="M50" i="63" s="1"/>
  <c r="F50" i="63"/>
  <c r="G50" i="63" s="1"/>
  <c r="O50" i="63"/>
  <c r="D50" i="57" s="1"/>
  <c r="D70" i="74" s="1"/>
  <c r="H50" i="63"/>
  <c r="I50" i="63" s="1"/>
  <c r="J50" i="63"/>
  <c r="K50" i="63" s="1"/>
  <c r="N50" i="63"/>
  <c r="C50" i="57" s="1"/>
  <c r="Y46" i="66" l="1"/>
  <c r="C46" i="69"/>
  <c r="Y52" i="66"/>
  <c r="C52" i="69"/>
  <c r="Y34" i="66"/>
  <c r="Y45" i="66" l="1"/>
  <c r="C45" i="69"/>
  <c r="Y55" i="66"/>
  <c r="C55" i="69"/>
  <c r="Y50" i="66" l="1"/>
  <c r="C50" i="69"/>
  <c r="Y40" i="66"/>
  <c r="Y41" i="66"/>
  <c r="C41" i="69"/>
  <c r="Y57" i="66"/>
  <c r="C57" i="69"/>
  <c r="Y48" i="66"/>
  <c r="C48" i="69"/>
  <c r="Y44" i="66"/>
  <c r="C44" i="69"/>
  <c r="Y49" i="66"/>
  <c r="C49" i="69"/>
  <c r="Y37" i="66" l="1"/>
  <c r="Y43" i="66"/>
  <c r="C43" i="69"/>
  <c r="Y36" i="66"/>
  <c r="Y51" i="66"/>
  <c r="C51" i="69"/>
  <c r="Y38" i="66"/>
  <c r="Y35" i="66" l="1"/>
  <c r="J35" i="74" l="1"/>
  <c r="J36" i="74"/>
  <c r="J37" i="74"/>
  <c r="J38" i="74"/>
  <c r="B35" i="74"/>
  <c r="K35" i="74"/>
  <c r="K36" i="74"/>
  <c r="B36" i="74"/>
  <c r="B37" i="74"/>
  <c r="B38" i="74"/>
  <c r="K38" i="74"/>
  <c r="B35" i="69"/>
  <c r="B34" i="69"/>
  <c r="B36" i="69"/>
  <c r="B40" i="69"/>
  <c r="B37" i="69"/>
  <c r="B39" i="69"/>
  <c r="B38" i="69"/>
  <c r="L35" i="74" l="1"/>
  <c r="L38" i="74"/>
  <c r="L36" i="74"/>
  <c r="K37" i="74"/>
  <c r="L37" i="74" s="1"/>
  <c r="J39" i="74"/>
  <c r="J40" i="74"/>
  <c r="J34" i="74"/>
  <c r="K34" i="74"/>
  <c r="B34" i="74"/>
  <c r="K40" i="74"/>
  <c r="K39" i="74"/>
  <c r="I37" i="76"/>
  <c r="K37" i="76" s="1"/>
  <c r="B37" i="76"/>
  <c r="I34" i="76"/>
  <c r="K34" i="76" s="1"/>
  <c r="B34" i="76"/>
  <c r="I38" i="76"/>
  <c r="K38" i="76" s="1"/>
  <c r="B38" i="76"/>
  <c r="I40" i="76"/>
  <c r="K40" i="76" s="1"/>
  <c r="B40" i="76"/>
  <c r="I36" i="76"/>
  <c r="K36" i="76" s="1"/>
  <c r="B36" i="76"/>
  <c r="B35" i="76"/>
  <c r="I35" i="76"/>
  <c r="K35" i="76" s="1"/>
  <c r="B39" i="76"/>
  <c r="I39" i="76"/>
  <c r="K39" i="76" s="1"/>
  <c r="B39" i="74"/>
  <c r="B40" i="74"/>
  <c r="A36" i="69"/>
  <c r="C36" i="69"/>
  <c r="A34" i="69"/>
  <c r="C34" i="69"/>
  <c r="A35" i="69"/>
  <c r="C35" i="69"/>
  <c r="A38" i="69"/>
  <c r="C38" i="69"/>
  <c r="A39" i="69"/>
  <c r="C39" i="69"/>
  <c r="A37" i="69"/>
  <c r="C37" i="69"/>
  <c r="A40" i="69"/>
  <c r="C40" i="69"/>
  <c r="L39" i="74" l="1"/>
  <c r="L40" i="74"/>
  <c r="L34" i="74"/>
  <c r="B40" i="70"/>
  <c r="S40" i="70" s="1"/>
  <c r="S40" i="71" s="1"/>
  <c r="B37" i="70"/>
  <c r="S37" i="70" s="1"/>
  <c r="S37" i="71" s="1"/>
  <c r="B38" i="70"/>
  <c r="S38" i="70" s="1"/>
  <c r="S38" i="71" s="1"/>
  <c r="B39" i="70"/>
  <c r="S39" i="70" s="1"/>
  <c r="S39" i="71" s="1"/>
  <c r="B35" i="70"/>
  <c r="S35" i="70" s="1"/>
  <c r="S35" i="71" s="1"/>
  <c r="B36" i="70"/>
  <c r="S36" i="70" s="1"/>
  <c r="S36" i="71" s="1"/>
  <c r="S71" i="71" l="1"/>
  <c r="S71" i="70"/>
  <c r="B39" i="71"/>
  <c r="B37" i="71"/>
  <c r="B38" i="71"/>
  <c r="B40" i="71"/>
  <c r="O71" i="71" l="1"/>
  <c r="J26" i="77" l="1"/>
  <c r="H26" i="77" l="1"/>
  <c r="I26" i="77" l="1"/>
  <c r="C26" i="63"/>
  <c r="D26" i="63" l="1"/>
  <c r="P26" i="63" s="1"/>
  <c r="F26" i="63" l="1"/>
  <c r="G26" i="63" l="1"/>
  <c r="H26" i="63" s="1"/>
  <c r="I26" i="63" l="1"/>
  <c r="J26" i="63" s="1"/>
  <c r="K26" i="63" l="1"/>
  <c r="L26" i="63" s="1"/>
  <c r="M26" i="63" l="1"/>
  <c r="O26" i="63" s="1"/>
  <c r="D26" i="57" l="1"/>
  <c r="D46" i="74" s="1"/>
  <c r="F26" i="57" l="1"/>
  <c r="G26" i="57" s="1"/>
  <c r="F46" i="74" l="1"/>
  <c r="N26" i="63"/>
  <c r="C26" i="57" s="1"/>
  <c r="G46" i="66" l="1"/>
  <c r="F46" i="66"/>
  <c r="G46" i="74"/>
  <c r="R46" i="70"/>
  <c r="R46" i="71" s="1"/>
  <c r="D46" i="69"/>
  <c r="E46" i="69" s="1"/>
  <c r="W46" i="69" s="1"/>
  <c r="H46" i="66" l="1"/>
  <c r="J46" i="66" l="1"/>
  <c r="I46" i="66"/>
  <c r="M46" i="74" l="1"/>
  <c r="H46" i="74" s="1"/>
  <c r="D46" i="76" s="1"/>
  <c r="F46" i="76" l="1"/>
  <c r="K46" i="66"/>
  <c r="L46" i="66" l="1"/>
  <c r="M46" i="66"/>
  <c r="L46" i="76" l="1"/>
  <c r="G46" i="76" s="1"/>
  <c r="N46" i="66"/>
  <c r="O46" i="66" l="1"/>
  <c r="P46" i="66"/>
  <c r="F46" i="69"/>
  <c r="G46" i="69" l="1"/>
  <c r="H46" i="69"/>
  <c r="Q46" i="66"/>
  <c r="R46" i="66" l="1"/>
  <c r="S46" i="66"/>
  <c r="I46" i="69"/>
  <c r="T46" i="66" l="1"/>
  <c r="U46" i="66" s="1"/>
  <c r="K46" i="69"/>
  <c r="J46" i="69"/>
  <c r="L46" i="69" l="1"/>
  <c r="V46" i="66"/>
  <c r="N46" i="69" l="1"/>
  <c r="M46" i="69"/>
  <c r="O46" i="69" l="1"/>
  <c r="P46" i="69" l="1"/>
  <c r="Q46" i="69"/>
  <c r="R46" i="69" l="1"/>
  <c r="S46" i="69" l="1"/>
  <c r="T46" i="69"/>
  <c r="U46" i="69" l="1"/>
  <c r="V46" i="69" s="1"/>
  <c r="P46" i="70" s="1"/>
  <c r="Q46" i="70" l="1"/>
  <c r="Q46" i="71" s="1"/>
  <c r="P46" i="71"/>
  <c r="P50" i="63"/>
  <c r="K26" i="51"/>
  <c r="C2" i="63"/>
  <c r="C26" i="58" l="1"/>
  <c r="I26" i="58" s="1"/>
  <c r="L26" i="51"/>
  <c r="G26" i="58" l="1"/>
  <c r="H26" i="58" s="1"/>
  <c r="D46" i="120" l="1"/>
  <c r="E20" i="64" l="1"/>
  <c r="K23" i="65"/>
  <c r="L23" i="65"/>
  <c r="M23" i="65" s="1"/>
  <c r="N23" i="65" s="1"/>
  <c r="S23" i="65"/>
  <c r="J23" i="65" s="1"/>
  <c r="H23" i="65" l="1"/>
  <c r="I23" i="65" s="1"/>
  <c r="BK11" i="118" l="1"/>
  <c r="BF11" i="118"/>
  <c r="BH11" i="118"/>
  <c r="BD11" i="118"/>
  <c r="BE11" i="118"/>
  <c r="BJ11" i="118"/>
  <c r="AF11" i="118"/>
  <c r="BG11" i="118"/>
  <c r="BI11" i="118"/>
  <c r="X11" i="118"/>
  <c r="AA11" i="118"/>
  <c r="AB11" i="118"/>
  <c r="Y11" i="118"/>
  <c r="W11" i="118"/>
  <c r="Z11" i="118"/>
  <c r="Y11" i="61" l="1"/>
  <c r="BQ11" i="61"/>
  <c r="AH2" i="118"/>
  <c r="AI2" i="118"/>
  <c r="AP2" i="118"/>
  <c r="AL2" i="118"/>
  <c r="AJ2" i="118"/>
  <c r="AN2" i="118"/>
  <c r="AM2" i="118"/>
  <c r="AK2" i="118"/>
  <c r="AH11" i="61"/>
  <c r="AA11" i="61"/>
  <c r="BR11" i="61" s="1"/>
  <c r="AB11" i="61"/>
  <c r="B11" i="118"/>
  <c r="BM11" i="118"/>
  <c r="AE11" i="118"/>
  <c r="BL11" i="118"/>
  <c r="AG11" i="61" l="1"/>
  <c r="BS11" i="61" s="1"/>
  <c r="BP11" i="61"/>
  <c r="AJ11" i="61"/>
  <c r="BT11" i="61" s="1"/>
  <c r="CA11" i="61"/>
  <c r="AU11" i="61"/>
  <c r="AQ11" i="61"/>
  <c r="BX11" i="61"/>
  <c r="BZ11" i="61"/>
  <c r="AS11" i="61"/>
  <c r="AP11" i="61"/>
  <c r="BW11" i="61"/>
  <c r="AR11" i="61"/>
  <c r="BY11" i="61"/>
  <c r="AL11" i="61" l="1"/>
  <c r="AT11" i="61" a="1"/>
  <c r="AT11" i="61" s="1"/>
  <c r="BD11" i="61"/>
  <c r="AV11" i="61"/>
  <c r="BC11" i="61" l="1"/>
  <c r="AW11" i="61"/>
  <c r="B11" i="9" l="1"/>
  <c r="BB11" i="61"/>
  <c r="AX11" i="61"/>
  <c r="C11" i="9" a="1"/>
  <c r="C11" i="9" l="1"/>
  <c r="B11" i="40"/>
  <c r="BA11" i="61"/>
  <c r="AY11" i="61"/>
  <c r="E11" i="9" l="1"/>
  <c r="D11" i="40"/>
  <c r="B11" i="42"/>
  <c r="J11" i="40"/>
  <c r="H11" i="40"/>
  <c r="G11" i="40"/>
  <c r="I11" i="40"/>
  <c r="AZ11" i="61"/>
  <c r="B11" i="46" l="1"/>
  <c r="J11" i="42"/>
  <c r="E11" i="42" s="1"/>
  <c r="L11" i="42"/>
  <c r="B8" i="43"/>
  <c r="K11" i="42"/>
  <c r="M11" i="42"/>
  <c r="E11" i="46"/>
  <c r="G8" i="43" l="1"/>
  <c r="B6" i="44"/>
  <c r="F6" i="44" s="1"/>
  <c r="D6" i="44" s="1"/>
  <c r="H8" i="43"/>
  <c r="F11" i="46"/>
  <c r="B11" i="51"/>
  <c r="B11" i="58" s="1"/>
  <c r="B12" i="118"/>
  <c r="AE12" i="118"/>
  <c r="BF12" i="118"/>
  <c r="BI12" i="118"/>
  <c r="BM12" i="118"/>
  <c r="BE12" i="118"/>
  <c r="X12" i="118"/>
  <c r="AB12" i="118"/>
  <c r="U12" i="118"/>
  <c r="AA12" i="118"/>
  <c r="Y12" i="118"/>
  <c r="C11" i="46" a="1"/>
  <c r="W12" i="118"/>
  <c r="Z12" i="118"/>
  <c r="C11" i="46" l="1"/>
  <c r="I11" i="46" s="1"/>
  <c r="G11" i="46" s="1"/>
  <c r="Y12" i="61"/>
  <c r="F11" i="58"/>
  <c r="C31" i="120"/>
  <c r="E8" i="43"/>
  <c r="BJ12" i="118"/>
  <c r="Z51" i="118"/>
  <c r="R51" i="118"/>
  <c r="AA12" i="61"/>
  <c r="BR12" i="61" s="1"/>
  <c r="AA51" i="118"/>
  <c r="AH12" i="61"/>
  <c r="AB12" i="61"/>
  <c r="T51" i="118"/>
  <c r="X51" i="118"/>
  <c r="Y51" i="118"/>
  <c r="Z12" i="61"/>
  <c r="BQ12" i="61" s="1"/>
  <c r="S51" i="118"/>
  <c r="AB51" i="118"/>
  <c r="BD12" i="118"/>
  <c r="BL12" i="118"/>
  <c r="AF12" i="118"/>
  <c r="BK12" i="118"/>
  <c r="BG12" i="118"/>
  <c r="BH12" i="118"/>
  <c r="B11" i="77" l="1"/>
  <c r="J11" i="58"/>
  <c r="BA31" i="120"/>
  <c r="BB31" i="120"/>
  <c r="B5" i="64"/>
  <c r="B31" i="120"/>
  <c r="E31" i="120"/>
  <c r="BP12" i="61"/>
  <c r="AG12" i="61"/>
  <c r="BS12" i="61" s="1"/>
  <c r="AJ12" i="61"/>
  <c r="BT12" i="61" s="1"/>
  <c r="AH51" i="61"/>
  <c r="AB51" i="61"/>
  <c r="Z51" i="61"/>
  <c r="AA51" i="61"/>
  <c r="BZ12" i="61"/>
  <c r="AS12" i="61"/>
  <c r="AR12" i="61"/>
  <c r="BY12" i="61"/>
  <c r="AU12" i="61"/>
  <c r="CA12" i="61"/>
  <c r="AP12" i="61"/>
  <c r="BW12" i="61"/>
  <c r="BX12" i="61"/>
  <c r="AQ12" i="61"/>
  <c r="B11" i="63" l="1"/>
  <c r="B11" i="57" s="1"/>
  <c r="E11" i="57" s="1"/>
  <c r="F11" i="77"/>
  <c r="H5" i="64"/>
  <c r="B8" i="65"/>
  <c r="AJ51" i="61"/>
  <c r="BD12" i="61"/>
  <c r="AV12" i="61"/>
  <c r="AT12" i="61" a="1"/>
  <c r="AT12" i="61" s="1"/>
  <c r="AL12" i="61" l="1"/>
  <c r="Q8" i="65"/>
  <c r="R8" i="65"/>
  <c r="C31" i="66"/>
  <c r="D31" i="66" s="1"/>
  <c r="C31" i="74"/>
  <c r="BC12" i="61"/>
  <c r="AW12" i="61"/>
  <c r="B31" i="74" l="1"/>
  <c r="J31" i="74"/>
  <c r="K31" i="74"/>
  <c r="C31" i="76"/>
  <c r="B12" i="9"/>
  <c r="B31" i="66"/>
  <c r="E13" i="40"/>
  <c r="C33" i="76"/>
  <c r="J33" i="74"/>
  <c r="K33" i="74"/>
  <c r="B33" i="74"/>
  <c r="B33" i="66"/>
  <c r="BB12" i="61"/>
  <c r="AX12" i="61"/>
  <c r="C12" i="9" a="1"/>
  <c r="C12" i="9" l="1"/>
  <c r="E12" i="9" s="1"/>
  <c r="L31" i="74"/>
  <c r="B12" i="40"/>
  <c r="Y31" i="66"/>
  <c r="I31" i="76"/>
  <c r="B31" i="69"/>
  <c r="B31" i="76"/>
  <c r="J31" i="76"/>
  <c r="L33" i="74"/>
  <c r="Y33" i="66"/>
  <c r="J33" i="76"/>
  <c r="B33" i="69"/>
  <c r="I33" i="76"/>
  <c r="B33" i="76"/>
  <c r="BA12" i="61"/>
  <c r="AY12" i="61"/>
  <c r="K31" i="76" l="1"/>
  <c r="C31" i="69"/>
  <c r="A31" i="69"/>
  <c r="D12" i="40"/>
  <c r="I12" i="40"/>
  <c r="J12" i="40"/>
  <c r="G12" i="40"/>
  <c r="B12" i="42"/>
  <c r="H12" i="40"/>
  <c r="F17" i="42"/>
  <c r="H17" i="42" s="1"/>
  <c r="F13" i="42"/>
  <c r="H13" i="42" s="1"/>
  <c r="K33" i="76"/>
  <c r="C33" i="69"/>
  <c r="A33" i="69"/>
  <c r="AZ12" i="61"/>
  <c r="B12" i="46" l="1"/>
  <c r="L12" i="42"/>
  <c r="B9" i="43"/>
  <c r="K12" i="42"/>
  <c r="J12" i="42"/>
  <c r="M12" i="42"/>
  <c r="C12" i="46" a="1"/>
  <c r="E12" i="46"/>
  <c r="C12" i="46" l="1"/>
  <c r="I12" i="46" s="1"/>
  <c r="E12" i="42"/>
  <c r="G9" i="43"/>
  <c r="B7" i="44"/>
  <c r="F7" i="44" s="1"/>
  <c r="D7" i="44" s="1"/>
  <c r="H9" i="43"/>
  <c r="F12" i="46"/>
  <c r="B12" i="51"/>
  <c r="B12" i="58" s="1"/>
  <c r="F12" i="58" s="1"/>
  <c r="E12" i="40"/>
  <c r="C32" i="120" l="1"/>
  <c r="B12" i="77" s="1"/>
  <c r="F28" i="42"/>
  <c r="H28" i="42" s="1"/>
  <c r="G12" i="46"/>
  <c r="F37" i="42"/>
  <c r="H37" i="42" s="1"/>
  <c r="E9" i="43"/>
  <c r="F23" i="42"/>
  <c r="H23" i="42" s="1"/>
  <c r="BB32" i="120" l="1"/>
  <c r="B32" i="120"/>
  <c r="B6" i="64"/>
  <c r="BA32" i="120"/>
  <c r="E32" i="120"/>
  <c r="J12" i="58"/>
  <c r="B12" i="63" l="1"/>
  <c r="B12" i="57" s="1"/>
  <c r="E12" i="57" s="1"/>
  <c r="F12" i="77"/>
  <c r="B9" i="65"/>
  <c r="H6" i="64"/>
  <c r="C32" i="66" l="1"/>
  <c r="D32" i="66" s="1"/>
  <c r="C32" i="74"/>
  <c r="Q9" i="65"/>
  <c r="R9" i="65"/>
  <c r="E11" i="40"/>
  <c r="C32" i="76" l="1"/>
  <c r="J32" i="74"/>
  <c r="K32" i="74"/>
  <c r="B32" i="74"/>
  <c r="B32" i="66"/>
  <c r="L32" i="74" l="1"/>
  <c r="Y32" i="66"/>
  <c r="J32" i="76"/>
  <c r="B32" i="76"/>
  <c r="B32" i="69"/>
  <c r="I32" i="76"/>
  <c r="K32" i="76" l="1"/>
  <c r="A32" i="69"/>
  <c r="C32" i="69"/>
  <c r="H48" i="120" l="1"/>
  <c r="I48" i="120" s="1"/>
  <c r="H43" i="120"/>
  <c r="I43" i="120" s="1"/>
  <c r="L43" i="120" l="1"/>
  <c r="M43" i="120" s="1"/>
  <c r="P43" i="120" l="1"/>
  <c r="Q43" i="120" s="1"/>
  <c r="P48" i="120"/>
  <c r="Q48" i="120" s="1"/>
  <c r="G17" i="77" l="1"/>
  <c r="E11" i="64"/>
  <c r="E7" i="64"/>
  <c r="G13" i="77"/>
  <c r="S10" i="65"/>
  <c r="H10" i="65" s="1"/>
  <c r="I10" i="65" s="1"/>
  <c r="S14" i="65" l="1"/>
  <c r="H14" i="65" s="1"/>
  <c r="I14" i="65" s="1"/>
  <c r="J17" i="77"/>
  <c r="J13" i="77"/>
  <c r="J10" i="65"/>
  <c r="K10" i="65" s="1"/>
  <c r="L10" i="65" s="1"/>
  <c r="M10" i="65" s="1"/>
  <c r="N10" i="65" s="1"/>
  <c r="J14" i="65" l="1"/>
  <c r="K14" i="65" s="1"/>
  <c r="L14" i="65" s="1"/>
  <c r="M14" i="65" s="1"/>
  <c r="N14" i="65" s="1"/>
  <c r="H13" i="77" l="1"/>
  <c r="C13" i="63" s="1"/>
  <c r="D13" i="63" s="1"/>
  <c r="P13" i="63" s="1"/>
  <c r="H17" i="77"/>
  <c r="C17" i="63" l="1"/>
  <c r="D17" i="63" s="1"/>
  <c r="P17" i="63" s="1"/>
  <c r="I17" i="77"/>
  <c r="I13" i="77"/>
  <c r="F13" i="63"/>
  <c r="X48" i="120" l="1"/>
  <c r="Y48" i="120" s="1"/>
  <c r="F17" i="63"/>
  <c r="G17" i="63" s="1"/>
  <c r="H17" i="63" s="1"/>
  <c r="I17" i="63" s="1"/>
  <c r="J17" i="63" s="1"/>
  <c r="K17" i="63" s="1"/>
  <c r="L17" i="63" s="1"/>
  <c r="M17" i="63" s="1"/>
  <c r="O17" i="63" s="1"/>
  <c r="D17" i="57" s="1"/>
  <c r="D37" i="74" s="1"/>
  <c r="F37" i="74" s="1"/>
  <c r="G13" i="63" l="1"/>
  <c r="H13" i="63" s="1"/>
  <c r="F17" i="57"/>
  <c r="G17" i="57" s="1"/>
  <c r="E37" i="66"/>
  <c r="G37" i="66" s="1"/>
  <c r="G37" i="74"/>
  <c r="R37" i="70"/>
  <c r="R37" i="71" s="1"/>
  <c r="D37" i="69"/>
  <c r="E37" i="69" s="1"/>
  <c r="W37" i="69" s="1"/>
  <c r="I13" i="63" l="1"/>
  <c r="J13" i="63" s="1"/>
  <c r="K13" i="63" s="1"/>
  <c r="L13" i="63" s="1"/>
  <c r="F37" i="66"/>
  <c r="M13" i="63" l="1"/>
  <c r="O13" i="63" s="1"/>
  <c r="D13" i="57" s="1"/>
  <c r="F13" i="57" s="1"/>
  <c r="G13" i="57" s="1"/>
  <c r="E33" i="66" l="1"/>
  <c r="D33" i="74"/>
  <c r="F33" i="74" s="1"/>
  <c r="N17" i="63" l="1"/>
  <c r="C17" i="57" s="1"/>
  <c r="N13" i="63"/>
  <c r="C13" i="57" s="1"/>
  <c r="G33" i="66"/>
  <c r="F33" i="66"/>
  <c r="G33" i="74"/>
  <c r="D33" i="69"/>
  <c r="E33" i="69" s="1"/>
  <c r="W33" i="69" s="1"/>
  <c r="R33" i="70"/>
  <c r="R33" i="71" s="1"/>
  <c r="H37" i="66" l="1"/>
  <c r="I37" i="66" s="1"/>
  <c r="H33" i="66"/>
  <c r="J37" i="66" l="1"/>
  <c r="M37" i="74"/>
  <c r="H37" i="74" s="1"/>
  <c r="D37" i="76" s="1"/>
  <c r="F37" i="76" s="1"/>
  <c r="M33" i="74"/>
  <c r="H33" i="74" s="1"/>
  <c r="D33" i="76" s="1"/>
  <c r="I33" i="66"/>
  <c r="J33" i="66"/>
  <c r="K37" i="66" l="1"/>
  <c r="M37" i="66" s="1"/>
  <c r="K33" i="66"/>
  <c r="L33" i="66" s="1"/>
  <c r="F33" i="76"/>
  <c r="L37" i="66" l="1"/>
  <c r="N37" i="66" s="1"/>
  <c r="P37" i="66" s="1"/>
  <c r="M33" i="66"/>
  <c r="AJ48" i="120" l="1"/>
  <c r="AK48" i="120" s="1"/>
  <c r="AJ43" i="120"/>
  <c r="AK43" i="120" s="1"/>
  <c r="O37" i="66"/>
  <c r="Q37" i="66" s="1"/>
  <c r="S37" i="66" s="1"/>
  <c r="L37" i="76"/>
  <c r="G37" i="76" s="1"/>
  <c r="N33" i="66"/>
  <c r="P33" i="66" s="1"/>
  <c r="L33" i="76"/>
  <c r="G33" i="76" s="1"/>
  <c r="R37" i="66" l="1"/>
  <c r="T37" i="66" s="1"/>
  <c r="U37" i="66" s="1"/>
  <c r="F37" i="69"/>
  <c r="O33" i="66"/>
  <c r="F33" i="69"/>
  <c r="G37" i="69" l="1"/>
  <c r="H37" i="69"/>
  <c r="Q33" i="66"/>
  <c r="G33" i="69"/>
  <c r="H33" i="69"/>
  <c r="AN43" i="120" l="1"/>
  <c r="AO43" i="120" s="1"/>
  <c r="AN48" i="120"/>
  <c r="AO48" i="120" s="1"/>
  <c r="I37" i="69"/>
  <c r="R33" i="66"/>
  <c r="S33" i="66"/>
  <c r="I33" i="69"/>
  <c r="J37" i="69" l="1"/>
  <c r="K37" i="69"/>
  <c r="T33" i="66"/>
  <c r="U33" i="66" s="1"/>
  <c r="K33" i="69"/>
  <c r="J33" i="69"/>
  <c r="L37" i="69" l="1"/>
  <c r="L33" i="69"/>
  <c r="N33" i="69" s="1"/>
  <c r="AR48" i="120" l="1"/>
  <c r="AS48" i="120" s="1"/>
  <c r="AR43" i="120"/>
  <c r="AS43" i="120" s="1"/>
  <c r="V37" i="66"/>
  <c r="M37" i="69"/>
  <c r="O37" i="69" s="1"/>
  <c r="N37" i="69"/>
  <c r="M33" i="69"/>
  <c r="V33" i="66"/>
  <c r="P37" i="69" l="1"/>
  <c r="R37" i="69" s="1"/>
  <c r="Q37" i="69"/>
  <c r="O33" i="69"/>
  <c r="Q33" i="69" s="1"/>
  <c r="S37" i="69" l="1"/>
  <c r="U37" i="69" s="1"/>
  <c r="V37" i="69" s="1"/>
  <c r="P37" i="70" s="1"/>
  <c r="T37" i="69"/>
  <c r="P33" i="69"/>
  <c r="Q37" i="70" l="1"/>
  <c r="Q37" i="71" s="1"/>
  <c r="P37" i="71"/>
  <c r="R33" i="69"/>
  <c r="T33" i="69" s="1"/>
  <c r="C25" i="65" l="1"/>
  <c r="C20" i="65"/>
  <c r="S33" i="69"/>
  <c r="S25" i="65" l="1"/>
  <c r="H25" i="65" s="1"/>
  <c r="I25" i="65" s="1"/>
  <c r="S20" i="65"/>
  <c r="H20" i="65" s="1"/>
  <c r="I20" i="65" s="1"/>
  <c r="AV48" i="120"/>
  <c r="C22" i="64" s="1"/>
  <c r="E22" i="64" s="1"/>
  <c r="C28" i="77"/>
  <c r="AV43" i="120"/>
  <c r="C17" i="64" s="1"/>
  <c r="E17" i="64" s="1"/>
  <c r="C23" i="77"/>
  <c r="U33" i="69"/>
  <c r="V33" i="69" s="1"/>
  <c r="P33" i="70" s="1"/>
  <c r="Q33" i="70" l="1"/>
  <c r="Q33" i="71" s="1"/>
  <c r="P33" i="71"/>
  <c r="J20" i="65"/>
  <c r="K20" i="65" s="1"/>
  <c r="L20" i="65" s="1"/>
  <c r="M20" i="65" s="1"/>
  <c r="N20" i="65" s="1"/>
  <c r="J25" i="65"/>
  <c r="K25" i="65" s="1"/>
  <c r="L25" i="65" s="1"/>
  <c r="M25" i="65" s="1"/>
  <c r="N25" i="65" s="1"/>
  <c r="G28" i="77"/>
  <c r="J28" i="77"/>
  <c r="G23" i="77"/>
  <c r="J23" i="77"/>
  <c r="H23" i="77" l="1"/>
  <c r="I23" i="77" s="1"/>
  <c r="H28" i="77"/>
  <c r="C28" i="63" s="1"/>
  <c r="C23" i="63" l="1"/>
  <c r="D23" i="63" s="1"/>
  <c r="P23" i="63" s="1"/>
  <c r="I28" i="77"/>
  <c r="D28" i="63"/>
  <c r="P28" i="63" s="1"/>
  <c r="F28" i="63" l="1"/>
  <c r="F23" i="63"/>
  <c r="G23" i="63" s="1"/>
  <c r="H23" i="63" s="1"/>
  <c r="I23" i="63" s="1"/>
  <c r="J23" i="63" s="1"/>
  <c r="K23" i="63" s="1"/>
  <c r="L23" i="63" s="1"/>
  <c r="M23" i="63" s="1"/>
  <c r="O23" i="63" s="1"/>
  <c r="D23" i="57" s="1"/>
  <c r="D43" i="74" l="1"/>
  <c r="F43" i="74" s="1"/>
  <c r="R43" i="70" s="1"/>
  <c r="R43" i="71" s="1"/>
  <c r="I23" i="57"/>
  <c r="J23" i="57" s="1"/>
  <c r="E43" i="66"/>
  <c r="G43" i="66" s="1"/>
  <c r="F23" i="57"/>
  <c r="G23" i="57" s="1"/>
  <c r="G43" i="74"/>
  <c r="D43" i="69"/>
  <c r="E43" i="69" s="1"/>
  <c r="W43" i="69" s="1"/>
  <c r="G28" i="63"/>
  <c r="H28" i="63" s="1"/>
  <c r="F43" i="66" l="1"/>
  <c r="I28" i="63" l="1"/>
  <c r="J28" i="63" s="1"/>
  <c r="K28" i="63" l="1"/>
  <c r="L28" i="63" s="1"/>
  <c r="M28" i="63" l="1"/>
  <c r="O28" i="63" s="1"/>
  <c r="D28" i="57" l="1"/>
  <c r="D48" i="74" l="1"/>
  <c r="E48" i="66"/>
  <c r="F28" i="57"/>
  <c r="G28" i="57" s="1"/>
  <c r="N28" i="63"/>
  <c r="C28" i="57" s="1"/>
  <c r="N23" i="63"/>
  <c r="C23" i="57" s="1"/>
  <c r="G48" i="66" l="1"/>
  <c r="F48" i="66"/>
  <c r="F48" i="74"/>
  <c r="G48" i="74" s="1"/>
  <c r="H43" i="66" l="1"/>
  <c r="D48" i="69"/>
  <c r="E48" i="69" s="1"/>
  <c r="W48" i="69" s="1"/>
  <c r="R48" i="70"/>
  <c r="R48" i="71" s="1"/>
  <c r="H48" i="66"/>
  <c r="I48" i="66" l="1"/>
  <c r="J48" i="66"/>
  <c r="M43" i="74"/>
  <c r="H43" i="74" s="1"/>
  <c r="D43" i="76" s="1"/>
  <c r="M48" i="74"/>
  <c r="H48" i="74" s="1"/>
  <c r="D48" i="76" s="1"/>
  <c r="I43" i="66"/>
  <c r="J43" i="66"/>
  <c r="F43" i="76" l="1"/>
  <c r="K48" i="66"/>
  <c r="F48" i="76"/>
  <c r="K43" i="66"/>
  <c r="L48" i="66" l="1"/>
  <c r="M48" i="66"/>
  <c r="L43" i="66"/>
  <c r="M43" i="66"/>
  <c r="L48" i="76" l="1"/>
  <c r="G48" i="76" s="1"/>
  <c r="L43" i="76"/>
  <c r="G43" i="76" s="1"/>
  <c r="N43" i="66"/>
  <c r="N48" i="66"/>
  <c r="F43" i="69" l="1"/>
  <c r="O48" i="66"/>
  <c r="P48" i="66"/>
  <c r="F48" i="69"/>
  <c r="P43" i="66"/>
  <c r="O43" i="66"/>
  <c r="G48" i="69" l="1"/>
  <c r="H48" i="69"/>
  <c r="Q43" i="66"/>
  <c r="G43" i="69"/>
  <c r="H43" i="69"/>
  <c r="Q48" i="66"/>
  <c r="I48" i="69" l="1"/>
  <c r="S48" i="66"/>
  <c r="R48" i="66"/>
  <c r="I43" i="69"/>
  <c r="R43" i="66"/>
  <c r="S43" i="66"/>
  <c r="J48" i="69" l="1"/>
  <c r="K48" i="69"/>
  <c r="J43" i="69"/>
  <c r="K43" i="69"/>
  <c r="T48" i="66"/>
  <c r="U48" i="66" s="1"/>
  <c r="T43" i="66"/>
  <c r="U43" i="66" s="1"/>
  <c r="L43" i="69" l="1"/>
  <c r="L48" i="69"/>
  <c r="V43" i="66" l="1"/>
  <c r="N43" i="69"/>
  <c r="M43" i="69"/>
  <c r="V48" i="66"/>
  <c r="N48" i="69"/>
  <c r="M48" i="69"/>
  <c r="O48" i="69" l="1"/>
  <c r="O43" i="69"/>
  <c r="Q48" i="69" l="1"/>
  <c r="P48" i="69"/>
  <c r="P43" i="69"/>
  <c r="Q43" i="69"/>
  <c r="R48" i="69" l="1"/>
  <c r="R43" i="69"/>
  <c r="S48" i="69" l="1"/>
  <c r="T48" i="69"/>
  <c r="S43" i="69"/>
  <c r="T43" i="69"/>
  <c r="U48" i="69" l="1"/>
  <c r="V48" i="69" s="1"/>
  <c r="P48" i="70" s="1"/>
  <c r="U43" i="69"/>
  <c r="V43" i="69" s="1"/>
  <c r="P43" i="70" s="1"/>
  <c r="Q43" i="70" l="1"/>
  <c r="Q43" i="71" s="1"/>
  <c r="P43" i="71"/>
  <c r="Q48" i="70"/>
  <c r="Q48" i="71" s="1"/>
  <c r="P48" i="71"/>
  <c r="T1" i="114"/>
  <c r="T1" i="113"/>
  <c r="T1" i="110"/>
  <c r="T1" i="111"/>
  <c r="T1" i="116"/>
  <c r="T17" i="116" s="1"/>
  <c r="T1" i="115"/>
  <c r="T15" i="115" s="1"/>
  <c r="T1" i="117"/>
  <c r="T1" i="108"/>
  <c r="T15" i="108" s="1"/>
  <c r="T1" i="107"/>
  <c r="T1" i="112"/>
  <c r="T15" i="112" s="1"/>
  <c r="T1" i="109"/>
  <c r="T1" i="80"/>
  <c r="T1" i="84"/>
  <c r="T1" i="93"/>
  <c r="T1" i="106"/>
  <c r="T15" i="116" l="1"/>
  <c r="T16" i="116"/>
  <c r="L2" i="115" a="1"/>
  <c r="L2" i="115" s="1"/>
  <c r="M2" i="115" s="1" a="1"/>
  <c r="M2" i="115" s="1"/>
  <c r="N2" i="115" s="1" a="1"/>
  <c r="N2" i="115" s="1"/>
  <c r="O2" i="115" s="1" a="1"/>
  <c r="O2" i="115" s="1"/>
  <c r="T9" i="115"/>
  <c r="T45" i="115"/>
  <c r="F2" i="115" s="1"/>
  <c r="Q3" i="115" a="1"/>
  <c r="Q3" i="115" s="1"/>
  <c r="P3" i="115" a="1"/>
  <c r="P3" i="115" s="1"/>
  <c r="L3" i="115" a="1"/>
  <c r="L3" i="115" s="1"/>
  <c r="M3" i="115" s="1" a="1"/>
  <c r="M3" i="115" s="1"/>
  <c r="N3" i="115" s="1" a="1"/>
  <c r="N3" i="115" s="1"/>
  <c r="O3" i="115" s="1" a="1"/>
  <c r="O3" i="115" s="1"/>
  <c r="P2" i="115" a="1"/>
  <c r="P2" i="115" s="1"/>
  <c r="T25" i="114"/>
  <c r="T26" i="114"/>
  <c r="T23" i="114"/>
  <c r="T24" i="114"/>
  <c r="T21" i="114"/>
  <c r="T22" i="114"/>
  <c r="T19" i="114"/>
  <c r="T20" i="114"/>
  <c r="T17" i="114"/>
  <c r="T18" i="114"/>
  <c r="T15" i="114"/>
  <c r="T16" i="114"/>
  <c r="T15" i="113"/>
  <c r="T16" i="113"/>
  <c r="L2" i="112" a="1"/>
  <c r="L2" i="112" s="1"/>
  <c r="M2" i="112" s="1" a="1"/>
  <c r="M2" i="112" s="1"/>
  <c r="T9" i="112"/>
  <c r="P3" i="112" a="1"/>
  <c r="P3" i="112" s="1"/>
  <c r="L3" i="112" a="1"/>
  <c r="L3" i="112" s="1"/>
  <c r="M3" i="112" s="1" a="1"/>
  <c r="M3" i="112" s="1"/>
  <c r="N3" i="112" s="1" a="1"/>
  <c r="N3" i="112" s="1"/>
  <c r="O3" i="112" s="1" a="1"/>
  <c r="O3" i="112" s="1"/>
  <c r="Q3" i="112" a="1"/>
  <c r="Q3" i="112" s="1"/>
  <c r="P2" i="112" a="1"/>
  <c r="P2" i="112" s="1"/>
  <c r="T45" i="112"/>
  <c r="F2" i="112" s="1"/>
  <c r="T15" i="106"/>
  <c r="T16" i="106"/>
  <c r="T15" i="110"/>
  <c r="T16" i="110"/>
  <c r="T15" i="111"/>
  <c r="T16" i="111"/>
  <c r="T15" i="109"/>
  <c r="T17" i="109"/>
  <c r="T16" i="109"/>
  <c r="T18" i="109"/>
  <c r="T15" i="107"/>
  <c r="T16" i="107"/>
  <c r="L2" i="108" a="1"/>
  <c r="L2" i="108" s="1"/>
  <c r="T9" i="108"/>
  <c r="Q3" i="108" a="1"/>
  <c r="Q3" i="108" s="1"/>
  <c r="L3" i="108" a="1"/>
  <c r="L3" i="108" s="1"/>
  <c r="T45" i="108"/>
  <c r="F2" i="108" s="1"/>
  <c r="P2" i="108" a="1"/>
  <c r="P2" i="108" s="1"/>
  <c r="P3" i="108" a="1"/>
  <c r="P3" i="108" s="1"/>
  <c r="W41" i="118"/>
  <c r="AD48" i="61"/>
  <c r="W48" i="118"/>
  <c r="W45" i="118"/>
  <c r="L3" i="116" l="1" a="1"/>
  <c r="L3" i="116" s="1"/>
  <c r="M3" i="116" s="1" a="1"/>
  <c r="M3" i="116" s="1"/>
  <c r="N3" i="116" s="1" a="1"/>
  <c r="N3" i="116" s="1"/>
  <c r="O3" i="116" s="1" a="1"/>
  <c r="O3" i="116" s="1"/>
  <c r="P3" i="116" a="1"/>
  <c r="P3" i="116" s="1"/>
  <c r="P2" i="116" a="1"/>
  <c r="P2" i="116" s="1"/>
  <c r="T9" i="116"/>
  <c r="T45" i="116"/>
  <c r="F2" i="116" s="1"/>
  <c r="Q3" i="116" a="1"/>
  <c r="Q3" i="116" s="1"/>
  <c r="L2" i="116" a="1"/>
  <c r="L2" i="116" s="1"/>
  <c r="M2" i="116" s="1" a="1"/>
  <c r="M2" i="116" s="1"/>
  <c r="BQ48" i="61"/>
  <c r="BR48" i="61"/>
  <c r="Y48" i="61"/>
  <c r="BP48" i="61" s="1"/>
  <c r="L6" i="115"/>
  <c r="R2" i="115" a="1"/>
  <c r="R2" i="115" s="1"/>
  <c r="T45" i="114"/>
  <c r="F2" i="114" s="1"/>
  <c r="P3" i="114" a="1"/>
  <c r="P3" i="114" s="1"/>
  <c r="P2" i="114" a="1"/>
  <c r="P2" i="114" s="1"/>
  <c r="L3" i="114" a="1"/>
  <c r="L3" i="114" s="1"/>
  <c r="M3" i="114" s="1" a="1"/>
  <c r="M3" i="114" s="1"/>
  <c r="N3" i="114" s="1" a="1"/>
  <c r="N3" i="114" s="1"/>
  <c r="O3" i="114" s="1" a="1"/>
  <c r="O3" i="114" s="1"/>
  <c r="L2" i="114" a="1"/>
  <c r="L2" i="114" s="1"/>
  <c r="M2" i="114" s="1" a="1"/>
  <c r="M2" i="114" s="1"/>
  <c r="Q3" i="114" a="1"/>
  <c r="Q3" i="114" s="1"/>
  <c r="T9" i="114"/>
  <c r="P3" i="113" a="1"/>
  <c r="P3" i="113" s="1"/>
  <c r="T9" i="113"/>
  <c r="L3" i="113" a="1"/>
  <c r="L3" i="113" s="1"/>
  <c r="M3" i="113" s="1" a="1"/>
  <c r="M3" i="113" s="1"/>
  <c r="N3" i="113" s="1" a="1"/>
  <c r="N3" i="113" s="1"/>
  <c r="O3" i="113" s="1" a="1"/>
  <c r="O3" i="113" s="1"/>
  <c r="T45" i="113"/>
  <c r="F2" i="113" s="1"/>
  <c r="P2" i="113" a="1"/>
  <c r="P2" i="113" s="1"/>
  <c r="L2" i="113" a="1"/>
  <c r="L2" i="113" s="1"/>
  <c r="M2" i="113" s="1" a="1"/>
  <c r="M2" i="113" s="1"/>
  <c r="Q3" i="113" a="1"/>
  <c r="Q3" i="113" s="1"/>
  <c r="BQ45" i="61"/>
  <c r="BR45" i="61"/>
  <c r="N2" i="112" a="1"/>
  <c r="N2" i="112" s="1"/>
  <c r="O2" i="112" s="1" a="1"/>
  <c r="O2" i="112" s="1"/>
  <c r="L6" i="112" s="1"/>
  <c r="BQ41" i="61"/>
  <c r="BR41" i="61"/>
  <c r="P3" i="111" a="1"/>
  <c r="P3" i="111" s="1"/>
  <c r="T9" i="111"/>
  <c r="L3" i="111" a="1"/>
  <c r="L3" i="111" s="1"/>
  <c r="M3" i="111" s="1" a="1"/>
  <c r="M3" i="111" s="1"/>
  <c r="P2" i="111" a="1"/>
  <c r="P2" i="111" s="1"/>
  <c r="Q3" i="111" a="1"/>
  <c r="Q3" i="111" s="1"/>
  <c r="T45" i="111"/>
  <c r="F2" i="111" s="1"/>
  <c r="L2" i="111" a="1"/>
  <c r="L2" i="111" s="1"/>
  <c r="P3" i="110" a="1"/>
  <c r="P3" i="110" s="1"/>
  <c r="L3" i="110" a="1"/>
  <c r="L3" i="110" s="1"/>
  <c r="M3" i="110" s="1" a="1"/>
  <c r="M3" i="110" s="1"/>
  <c r="L2" i="110" a="1"/>
  <c r="L2" i="110" s="1"/>
  <c r="T9" i="110"/>
  <c r="T45" i="110"/>
  <c r="F2" i="110" s="1"/>
  <c r="Q3" i="110" a="1"/>
  <c r="Q3" i="110" s="1"/>
  <c r="P2" i="110" a="1"/>
  <c r="P2" i="110" s="1"/>
  <c r="L2" i="109" a="1"/>
  <c r="L2" i="109" s="1"/>
  <c r="T45" i="109"/>
  <c r="F2" i="109" s="1"/>
  <c r="P3" i="109" a="1"/>
  <c r="P3" i="109" s="1"/>
  <c r="L3" i="109" a="1"/>
  <c r="L3" i="109" s="1"/>
  <c r="M3" i="109" s="1" a="1"/>
  <c r="M3" i="109" s="1"/>
  <c r="P2" i="109" a="1"/>
  <c r="P2" i="109" s="1"/>
  <c r="T9" i="109"/>
  <c r="Q3" i="109" a="1"/>
  <c r="Q3" i="109" s="1"/>
  <c r="P3" i="107" a="1"/>
  <c r="P3" i="107" s="1"/>
  <c r="M3" i="108" a="1"/>
  <c r="M3" i="108" s="1"/>
  <c r="M2" i="108" a="1"/>
  <c r="M2" i="108" s="1"/>
  <c r="L3" i="107" a="1"/>
  <c r="L3" i="107" s="1"/>
  <c r="M3" i="107" s="1" a="1"/>
  <c r="M3" i="107" s="1"/>
  <c r="L2" i="107" a="1"/>
  <c r="L2" i="107" s="1"/>
  <c r="T45" i="107"/>
  <c r="F2" i="107" s="1"/>
  <c r="P2" i="107" a="1"/>
  <c r="P2" i="107" s="1"/>
  <c r="Q3" i="107" a="1"/>
  <c r="Q3" i="107" s="1"/>
  <c r="T9" i="107"/>
  <c r="L3" i="106" a="1"/>
  <c r="L3" i="106" s="1"/>
  <c r="M3" i="106" s="1" a="1"/>
  <c r="M3" i="106" s="1"/>
  <c r="T9" i="106"/>
  <c r="P3" i="106" a="1"/>
  <c r="P3" i="106" s="1"/>
  <c r="Q3" i="106" a="1"/>
  <c r="Q3" i="106" s="1"/>
  <c r="L2" i="106" a="1"/>
  <c r="L2" i="106" s="1"/>
  <c r="T45" i="106"/>
  <c r="F2" i="106" s="1"/>
  <c r="P2" i="106" a="1"/>
  <c r="P2" i="106" s="1"/>
  <c r="W43" i="118"/>
  <c r="W49" i="118"/>
  <c r="AE48" i="61" a="1"/>
  <c r="AE45" i="61" a="1"/>
  <c r="W47" i="118"/>
  <c r="AD45" i="61"/>
  <c r="W44" i="118"/>
  <c r="W39" i="118"/>
  <c r="W40" i="118"/>
  <c r="W42" i="118"/>
  <c r="W46" i="118"/>
  <c r="AE48" i="61" l="1"/>
  <c r="AG48" i="61" s="1"/>
  <c r="BS48" i="61" s="1"/>
  <c r="AL48" i="61" s="1"/>
  <c r="B48" i="9" s="1"/>
  <c r="M2" i="110" a="1"/>
  <c r="M2" i="110" s="1"/>
  <c r="AE45" i="61"/>
  <c r="AG45" i="61" s="1"/>
  <c r="BS45" i="61" s="1"/>
  <c r="BR49" i="61"/>
  <c r="BQ49" i="61"/>
  <c r="N2" i="116" a="1"/>
  <c r="N2" i="116" s="1"/>
  <c r="BQ47" i="61"/>
  <c r="BR47" i="61"/>
  <c r="N2" i="114" a="1"/>
  <c r="N2" i="114" s="1"/>
  <c r="O2" i="114" s="1" a="1"/>
  <c r="O2" i="114" s="1"/>
  <c r="BQ46" i="61"/>
  <c r="BR46" i="61"/>
  <c r="N2" i="113" a="1"/>
  <c r="N2" i="113" s="1"/>
  <c r="Y45" i="61"/>
  <c r="BP45" i="61" s="1"/>
  <c r="R2" i="112" a="1"/>
  <c r="R2" i="112" s="1"/>
  <c r="M2" i="106" a="1"/>
  <c r="M2" i="106" s="1"/>
  <c r="M2" i="107" a="1"/>
  <c r="M2" i="107" s="1"/>
  <c r="M2" i="109" a="1"/>
  <c r="M2" i="109" s="1"/>
  <c r="M2" i="111" a="1"/>
  <c r="M2" i="111" s="1"/>
  <c r="BR42" i="61"/>
  <c r="BQ42" i="61"/>
  <c r="BQ44" i="61"/>
  <c r="BR44" i="61"/>
  <c r="BR39" i="61"/>
  <c r="BQ39" i="61"/>
  <c r="BQ40" i="61"/>
  <c r="BR40" i="61"/>
  <c r="BQ43" i="61"/>
  <c r="BR43" i="61"/>
  <c r="CA44" i="61"/>
  <c r="AP44" i="61"/>
  <c r="N3" i="111" a="1"/>
  <c r="N3" i="111" s="1"/>
  <c r="AP43" i="61"/>
  <c r="CA43" i="61"/>
  <c r="N2" i="110" a="1"/>
  <c r="N2" i="110" s="1"/>
  <c r="N3" i="110" a="1"/>
  <c r="N3" i="110" s="1"/>
  <c r="AP42" i="61"/>
  <c r="CA42" i="61"/>
  <c r="N3" i="109" a="1"/>
  <c r="N3" i="109" s="1"/>
  <c r="N3" i="108" a="1"/>
  <c r="N3" i="108" s="1"/>
  <c r="N2" i="108" a="1"/>
  <c r="N2" i="108" s="1"/>
  <c r="BW41" i="61"/>
  <c r="AP41" i="61"/>
  <c r="CA41" i="61"/>
  <c r="AU41" i="61"/>
  <c r="CA40" i="61"/>
  <c r="N3" i="107" a="1"/>
  <c r="N3" i="107" s="1"/>
  <c r="W51" i="118"/>
  <c r="CA39" i="61"/>
  <c r="N3" i="106" a="1"/>
  <c r="N3" i="106" s="1"/>
  <c r="AD47" i="61"/>
  <c r="AL45" i="61" l="1"/>
  <c r="B45" i="9" s="1"/>
  <c r="O2" i="116" a="1"/>
  <c r="O2" i="116" s="1"/>
  <c r="L6" i="116" s="1"/>
  <c r="C48" i="9" a="1"/>
  <c r="C48" i="9" s="1"/>
  <c r="B48" i="40"/>
  <c r="E48" i="9"/>
  <c r="R2" i="114" a="1"/>
  <c r="R2" i="114" s="1"/>
  <c r="Y47" i="61"/>
  <c r="BP47" i="61" s="1"/>
  <c r="L6" i="114"/>
  <c r="O2" i="113" a="1"/>
  <c r="O2" i="113" s="1"/>
  <c r="L6" i="113" s="1"/>
  <c r="N2" i="111" a="1"/>
  <c r="N2" i="111" s="1"/>
  <c r="N2" i="109" a="1"/>
  <c r="N2" i="109" s="1"/>
  <c r="N2" i="106" a="1"/>
  <c r="N2" i="106" s="1"/>
  <c r="O2" i="106" s="1" a="1"/>
  <c r="O2" i="106" s="1"/>
  <c r="R2" i="106" s="1" a="1"/>
  <c r="R2" i="106" s="1"/>
  <c r="N2" i="107" a="1"/>
  <c r="N2" i="107" s="1"/>
  <c r="AP39" i="61"/>
  <c r="BW40" i="61"/>
  <c r="BW44" i="61"/>
  <c r="BW43" i="61"/>
  <c r="BW42" i="61"/>
  <c r="AU44" i="61"/>
  <c r="BD44" i="61" s="1"/>
  <c r="O3" i="111" a="1"/>
  <c r="O3" i="111" s="1"/>
  <c r="BX44" i="61"/>
  <c r="AQ44" i="61"/>
  <c r="AU43" i="61"/>
  <c r="BD43" i="61" s="1"/>
  <c r="O2" i="110" a="1"/>
  <c r="O2" i="110" s="1"/>
  <c r="L6" i="110" s="1"/>
  <c r="O3" i="110" a="1"/>
  <c r="O3" i="110" s="1"/>
  <c r="BX43" i="61"/>
  <c r="AQ43" i="61"/>
  <c r="AU42" i="61"/>
  <c r="BD42" i="61" s="1"/>
  <c r="O3" i="109" a="1"/>
  <c r="O3" i="109" s="1"/>
  <c r="BX42" i="61"/>
  <c r="AQ42" i="61"/>
  <c r="O2" i="108" a="1"/>
  <c r="O2" i="108" s="1"/>
  <c r="R2" i="108" s="1" a="1"/>
  <c r="R2" i="108" s="1"/>
  <c r="O3" i="108" a="1"/>
  <c r="O3" i="108" s="1"/>
  <c r="BD41" i="61"/>
  <c r="BX41" i="61"/>
  <c r="AQ41" i="61"/>
  <c r="AP40" i="61"/>
  <c r="AU40" i="61"/>
  <c r="BD40" i="61" s="1"/>
  <c r="O3" i="107" a="1"/>
  <c r="O3" i="107" s="1"/>
  <c r="BX40" i="61"/>
  <c r="AQ40" i="61"/>
  <c r="BW39" i="61"/>
  <c r="AU39" i="61"/>
  <c r="BD39" i="61" s="1"/>
  <c r="O3" i="106" a="1"/>
  <c r="O3" i="106" s="1"/>
  <c r="BX39" i="61"/>
  <c r="AQ39" i="61"/>
  <c r="AD49" i="61"/>
  <c r="AE47" i="61" a="1"/>
  <c r="AE46" i="61" a="1"/>
  <c r="AD39" i="61"/>
  <c r="AD46" i="61"/>
  <c r="AE47" i="61" l="1"/>
  <c r="AG47" i="61" s="1"/>
  <c r="BS47" i="61" s="1"/>
  <c r="AL47" i="61" s="1"/>
  <c r="B47" i="9" s="1"/>
  <c r="AE46" i="61"/>
  <c r="AG46" i="61" s="1"/>
  <c r="BS46" i="61" s="1"/>
  <c r="R2" i="110" a="1"/>
  <c r="R2" i="110" s="1"/>
  <c r="Y49" i="61"/>
  <c r="BP49" i="61" s="1"/>
  <c r="AL49" i="61" s="1"/>
  <c r="R2" i="116" a="1"/>
  <c r="R2" i="116" s="1"/>
  <c r="B48" i="42"/>
  <c r="D48" i="40"/>
  <c r="J48" i="40"/>
  <c r="I48" i="40"/>
  <c r="H48" i="40"/>
  <c r="G48" i="40"/>
  <c r="E48" i="40" s="1"/>
  <c r="Y46" i="61"/>
  <c r="BP46" i="61" s="1"/>
  <c r="R2" i="113" a="1"/>
  <c r="R2" i="113" s="1"/>
  <c r="C45" i="9" a="1"/>
  <c r="C45" i="9" s="1"/>
  <c r="E45" i="9"/>
  <c r="B45" i="40"/>
  <c r="O2" i="109" a="1"/>
  <c r="O2" i="109" s="1"/>
  <c r="L6" i="109" s="1"/>
  <c r="O2" i="111" a="1"/>
  <c r="O2" i="111" s="1"/>
  <c r="L6" i="111" s="1"/>
  <c r="O2" i="107" a="1"/>
  <c r="O2" i="107" s="1"/>
  <c r="Y39" i="61"/>
  <c r="BP39" i="61" s="1"/>
  <c r="BY44" i="61"/>
  <c r="AR44" i="61"/>
  <c r="BY43" i="61"/>
  <c r="AR43" i="61"/>
  <c r="BY42" i="61"/>
  <c r="AR42" i="61"/>
  <c r="L6" i="108"/>
  <c r="BY41" i="61"/>
  <c r="AR41" i="61"/>
  <c r="AU51" i="61"/>
  <c r="BD51" i="61" s="1"/>
  <c r="AR40" i="61"/>
  <c r="BY40" i="61"/>
  <c r="BZ40" i="61"/>
  <c r="AS40" i="61"/>
  <c r="AV40" i="61"/>
  <c r="BY39" i="61"/>
  <c r="AR39" i="61"/>
  <c r="L6" i="106"/>
  <c r="AD42" i="61"/>
  <c r="AD44" i="61"/>
  <c r="AE42" i="61" a="1"/>
  <c r="AE39" i="61" a="1"/>
  <c r="AD40" i="61"/>
  <c r="AE44" i="61" a="1"/>
  <c r="AL46" i="61" l="1"/>
  <c r="B46" i="9" s="1"/>
  <c r="B49" i="9"/>
  <c r="B48" i="46"/>
  <c r="M48" i="42"/>
  <c r="K48" i="42"/>
  <c r="L48" i="42"/>
  <c r="J48" i="42"/>
  <c r="B47" i="40"/>
  <c r="D45" i="40"/>
  <c r="B45" i="42"/>
  <c r="J45" i="40"/>
  <c r="H45" i="40"/>
  <c r="I45" i="40"/>
  <c r="G45" i="40"/>
  <c r="E45" i="40" s="1"/>
  <c r="AE44" i="61"/>
  <c r="AG44" i="61" s="1"/>
  <c r="AE39" i="61"/>
  <c r="AG39" i="61" s="1"/>
  <c r="BS39" i="61" s="1"/>
  <c r="AE42" i="61"/>
  <c r="AG42" i="61" s="1"/>
  <c r="BS42" i="61" s="1"/>
  <c r="Y44" i="61"/>
  <c r="BP44" i="61" s="1"/>
  <c r="Y42" i="61"/>
  <c r="BP42" i="61" s="1"/>
  <c r="R2" i="111" a="1"/>
  <c r="R2" i="111" s="1"/>
  <c r="R2" i="109" a="1"/>
  <c r="R2" i="109" s="1"/>
  <c r="R2" i="107" a="1"/>
  <c r="R2" i="107" s="1"/>
  <c r="Y40" i="61"/>
  <c r="BP40" i="61" s="1"/>
  <c r="L6" i="107"/>
  <c r="BP43" i="61"/>
  <c r="AL43" i="61" s="1"/>
  <c r="B43" i="9" s="1"/>
  <c r="BP41" i="61"/>
  <c r="AL41" i="61" s="1"/>
  <c r="B41" i="9" s="1"/>
  <c r="BZ44" i="61"/>
  <c r="AS44" i="61"/>
  <c r="AT44" i="61" s="1" a="1"/>
  <c r="AT44" i="61" s="1"/>
  <c r="AV44" i="61"/>
  <c r="BZ43" i="61"/>
  <c r="AS43" i="61"/>
  <c r="AT43" i="61" s="1" a="1"/>
  <c r="AT43" i="61" s="1"/>
  <c r="AV43" i="61"/>
  <c r="BZ42" i="61"/>
  <c r="AS42" i="61"/>
  <c r="AT42" i="61" s="1" a="1"/>
  <c r="AT42" i="61" s="1"/>
  <c r="AV42" i="61"/>
  <c r="BZ41" i="61"/>
  <c r="AS41" i="61"/>
  <c r="AT41" i="61" s="1" a="1"/>
  <c r="AT41" i="61" s="1"/>
  <c r="AV41" i="61"/>
  <c r="AT40" i="61" a="1"/>
  <c r="AT40" i="61" s="1"/>
  <c r="BC40" i="61"/>
  <c r="AW40" i="61"/>
  <c r="BB40" i="61" s="1"/>
  <c r="BZ39" i="61"/>
  <c r="AS39" i="61"/>
  <c r="AT39" i="61" s="1" a="1"/>
  <c r="AT39" i="61" s="1"/>
  <c r="AV39" i="61"/>
  <c r="C47" i="9" a="1"/>
  <c r="AE40" i="61" a="1"/>
  <c r="C47" i="9" l="1"/>
  <c r="E47" i="9" s="1"/>
  <c r="B49" i="40"/>
  <c r="E48" i="42"/>
  <c r="F48" i="42"/>
  <c r="H48" i="42" s="1"/>
  <c r="C48" i="46" a="1"/>
  <c r="C48" i="46" s="1"/>
  <c r="I48" i="46" s="1"/>
  <c r="G48" i="46" s="1"/>
  <c r="E48" i="46"/>
  <c r="B48" i="51"/>
  <c r="F48" i="46"/>
  <c r="B47" i="42"/>
  <c r="D47" i="40"/>
  <c r="J47" i="40"/>
  <c r="I47" i="40"/>
  <c r="H47" i="40"/>
  <c r="G47" i="40"/>
  <c r="B46" i="40"/>
  <c r="B45" i="46"/>
  <c r="M45" i="42"/>
  <c r="K45" i="42"/>
  <c r="L45" i="42"/>
  <c r="J45" i="42"/>
  <c r="AE40" i="61"/>
  <c r="AG40" i="61" s="1"/>
  <c r="E43" i="9"/>
  <c r="E41" i="9"/>
  <c r="C41" i="9" a="1"/>
  <c r="C41" i="9" s="1"/>
  <c r="C43" i="9" a="1"/>
  <c r="C43" i="9" s="1"/>
  <c r="BS44" i="61"/>
  <c r="AL44" i="61" s="1"/>
  <c r="B44" i="9" s="1"/>
  <c r="AL39" i="61"/>
  <c r="BC44" i="61"/>
  <c r="AW44" i="61"/>
  <c r="BB44" i="61" s="1"/>
  <c r="AW43" i="61"/>
  <c r="BB43" i="61" s="1"/>
  <c r="BC43" i="61"/>
  <c r="B43" i="40"/>
  <c r="BC42" i="61"/>
  <c r="AW42" i="61"/>
  <c r="BB42" i="61" s="1"/>
  <c r="AL42" i="61"/>
  <c r="B41" i="40"/>
  <c r="BC41" i="61"/>
  <c r="AW41" i="61"/>
  <c r="BB41" i="61" s="1"/>
  <c r="AX40" i="61"/>
  <c r="BA40" i="61" s="1"/>
  <c r="BC39" i="61"/>
  <c r="AV51" i="61"/>
  <c r="AW39" i="61"/>
  <c r="AX39" i="61" s="1"/>
  <c r="C49" i="9" a="1"/>
  <c r="C44" i="9" a="1"/>
  <c r="C46" i="9" a="1"/>
  <c r="E47" i="40" l="1"/>
  <c r="C49" i="9"/>
  <c r="E49" i="9" s="1"/>
  <c r="C46" i="9"/>
  <c r="E46" i="9" s="1"/>
  <c r="B49" i="42"/>
  <c r="D49" i="40"/>
  <c r="H49" i="40"/>
  <c r="J49" i="40"/>
  <c r="I49" i="40"/>
  <c r="G49" i="40"/>
  <c r="B48" i="58"/>
  <c r="K48" i="51"/>
  <c r="B47" i="46"/>
  <c r="L47" i="42"/>
  <c r="M47" i="42"/>
  <c r="K47" i="42"/>
  <c r="J47" i="42"/>
  <c r="D46" i="40"/>
  <c r="B46" i="42"/>
  <c r="I46" i="40"/>
  <c r="J46" i="40"/>
  <c r="H46" i="40"/>
  <c r="G46" i="40"/>
  <c r="F45" i="42"/>
  <c r="H45" i="42" s="1"/>
  <c r="E45" i="42"/>
  <c r="F45" i="46"/>
  <c r="C45" i="46" a="1"/>
  <c r="C45" i="46" s="1"/>
  <c r="I45" i="46" s="1"/>
  <c r="G45" i="46" s="1"/>
  <c r="E45" i="46"/>
  <c r="B45" i="51"/>
  <c r="BS40" i="61"/>
  <c r="AL40" i="61" s="1"/>
  <c r="B40" i="9" s="1"/>
  <c r="AG51" i="61"/>
  <c r="AE51" i="61"/>
  <c r="C44" i="9"/>
  <c r="E44" i="9" s="1"/>
  <c r="B39" i="9"/>
  <c r="B44" i="40"/>
  <c r="AX44" i="61"/>
  <c r="AX43" i="61"/>
  <c r="AY43" i="61" s="1"/>
  <c r="AZ43" i="61" s="1"/>
  <c r="B43" i="42"/>
  <c r="D43" i="40"/>
  <c r="H43" i="40"/>
  <c r="I43" i="40"/>
  <c r="J43" i="40"/>
  <c r="G43" i="40"/>
  <c r="AX42" i="61"/>
  <c r="B42" i="9"/>
  <c r="AX41" i="61"/>
  <c r="B41" i="42"/>
  <c r="D41" i="40"/>
  <c r="H41" i="40"/>
  <c r="J41" i="40"/>
  <c r="I41" i="40"/>
  <c r="G41" i="40"/>
  <c r="E41" i="40" s="1"/>
  <c r="AY40" i="61"/>
  <c r="AZ40" i="61" s="1"/>
  <c r="AY39" i="61"/>
  <c r="AZ39" i="61" s="1"/>
  <c r="BA39" i="61"/>
  <c r="BB39" i="61"/>
  <c r="AW51" i="61"/>
  <c r="C40" i="9" a="1"/>
  <c r="C39" i="9" a="1"/>
  <c r="C42" i="9" a="1"/>
  <c r="E46" i="40" l="1"/>
  <c r="E49" i="40"/>
  <c r="B49" i="46"/>
  <c r="K49" i="42"/>
  <c r="M49" i="42"/>
  <c r="L49" i="42"/>
  <c r="J49" i="42"/>
  <c r="C48" i="58"/>
  <c r="L48" i="51"/>
  <c r="F48" i="58"/>
  <c r="E68" i="120" s="1"/>
  <c r="C68" i="120"/>
  <c r="E47" i="42"/>
  <c r="F47" i="46"/>
  <c r="B47" i="51"/>
  <c r="B46" i="46"/>
  <c r="L46" i="42"/>
  <c r="M46" i="42"/>
  <c r="K46" i="42"/>
  <c r="J46" i="42"/>
  <c r="B45" i="58"/>
  <c r="K45" i="51"/>
  <c r="C40" i="9"/>
  <c r="E40" i="9" s="1"/>
  <c r="B40" i="40"/>
  <c r="C42" i="9"/>
  <c r="E42" i="9" s="1"/>
  <c r="C39" i="9"/>
  <c r="E39" i="9" s="1"/>
  <c r="B39" i="40"/>
  <c r="H39" i="40" s="1"/>
  <c r="AY44" i="61"/>
  <c r="AZ44" i="61" s="1"/>
  <c r="BA44" i="61"/>
  <c r="B44" i="42"/>
  <c r="D44" i="40"/>
  <c r="I44" i="40"/>
  <c r="J44" i="40"/>
  <c r="H44" i="40"/>
  <c r="G44" i="40"/>
  <c r="BA43" i="61"/>
  <c r="E43" i="40"/>
  <c r="B43" i="46"/>
  <c r="M43" i="42"/>
  <c r="L43" i="42"/>
  <c r="K43" i="42"/>
  <c r="B30" i="43"/>
  <c r="J43" i="42"/>
  <c r="AY42" i="61"/>
  <c r="AZ42" i="61" s="1"/>
  <c r="BA42" i="61"/>
  <c r="B42" i="40"/>
  <c r="AX51" i="61"/>
  <c r="B41" i="46"/>
  <c r="L41" i="42"/>
  <c r="M41" i="42"/>
  <c r="K41" i="42"/>
  <c r="J41" i="42"/>
  <c r="AY41" i="61"/>
  <c r="AZ41" i="61" s="1"/>
  <c r="BA41" i="61"/>
  <c r="E47" i="46"/>
  <c r="C47" i="46" a="1"/>
  <c r="C47" i="46" l="1"/>
  <c r="I47" i="46" s="1"/>
  <c r="G47" i="46" s="1"/>
  <c r="E49" i="42"/>
  <c r="B49" i="51"/>
  <c r="F49" i="46"/>
  <c r="AU68" i="120"/>
  <c r="AB68" i="120"/>
  <c r="I68" i="120"/>
  <c r="AF68" i="120"/>
  <c r="AQ68" i="120"/>
  <c r="AT68" i="120" s="1"/>
  <c r="W68" i="120"/>
  <c r="Z68" i="120" s="1"/>
  <c r="L68" i="120"/>
  <c r="AM68" i="120"/>
  <c r="AP68" i="120" s="1"/>
  <c r="AE68" i="120"/>
  <c r="AH68" i="120" s="1"/>
  <c r="AG68" i="120"/>
  <c r="Y68" i="120"/>
  <c r="O68" i="120"/>
  <c r="R68" i="120" s="1"/>
  <c r="AS68" i="120"/>
  <c r="X68" i="120"/>
  <c r="BB68" i="120"/>
  <c r="AJ68" i="120"/>
  <c r="U68" i="120"/>
  <c r="P68" i="120"/>
  <c r="AI68" i="120"/>
  <c r="AL68" i="120" s="1"/>
  <c r="BA68" i="120"/>
  <c r="AC68" i="120"/>
  <c r="H68" i="120"/>
  <c r="Q68" i="120"/>
  <c r="B68" i="120"/>
  <c r="AO68" i="120"/>
  <c r="K68" i="120"/>
  <c r="N68" i="120" s="1"/>
  <c r="AR68" i="120"/>
  <c r="T68" i="120"/>
  <c r="M68" i="120"/>
  <c r="AV68" i="120"/>
  <c r="C42" i="64" s="1"/>
  <c r="G68" i="120"/>
  <c r="J68" i="120" s="1"/>
  <c r="S68" i="120"/>
  <c r="V68" i="120" s="1"/>
  <c r="AN68" i="120"/>
  <c r="B48" i="77"/>
  <c r="AA68" i="120"/>
  <c r="AD68" i="120" s="1"/>
  <c r="AK68" i="120"/>
  <c r="B42" i="64"/>
  <c r="J48" i="58"/>
  <c r="I48" i="58"/>
  <c r="G48" i="58"/>
  <c r="H48" i="58" s="1"/>
  <c r="D68" i="120" s="1"/>
  <c r="B47" i="58"/>
  <c r="E46" i="42"/>
  <c r="F46" i="46"/>
  <c r="B46" i="51"/>
  <c r="C45" i="58"/>
  <c r="L45" i="51"/>
  <c r="F45" i="58"/>
  <c r="E65" i="120" s="1"/>
  <c r="C65" i="120"/>
  <c r="C43" i="46" a="1"/>
  <c r="C43" i="46" s="1"/>
  <c r="I43" i="46" s="1"/>
  <c r="G43" i="46" s="1"/>
  <c r="E43" i="46"/>
  <c r="C41" i="46" a="1"/>
  <c r="C41" i="46" s="1"/>
  <c r="I41" i="46" s="1"/>
  <c r="G41" i="46" s="1"/>
  <c r="E41" i="46"/>
  <c r="J40" i="40"/>
  <c r="B40" i="42"/>
  <c r="I40" i="40"/>
  <c r="D40" i="40"/>
  <c r="H40" i="40"/>
  <c r="G40" i="40"/>
  <c r="E40" i="40" s="1"/>
  <c r="I39" i="40"/>
  <c r="G39" i="40"/>
  <c r="D39" i="40"/>
  <c r="J39" i="40"/>
  <c r="B39" i="42"/>
  <c r="K39" i="42" s="1"/>
  <c r="B44" i="46"/>
  <c r="M44" i="42"/>
  <c r="L44" i="42"/>
  <c r="K44" i="42"/>
  <c r="J44" i="42"/>
  <c r="F43" i="42"/>
  <c r="H43" i="42" s="1"/>
  <c r="E43" i="42"/>
  <c r="B39" i="44"/>
  <c r="F39" i="44" s="1"/>
  <c r="D39" i="44" s="1"/>
  <c r="H30" i="43"/>
  <c r="G30" i="43"/>
  <c r="B43" i="51"/>
  <c r="F43" i="46"/>
  <c r="B42" i="42"/>
  <c r="D42" i="40"/>
  <c r="I42" i="40"/>
  <c r="H42" i="40"/>
  <c r="J42" i="40"/>
  <c r="G42" i="40"/>
  <c r="AY51" i="61"/>
  <c r="E41" i="42"/>
  <c r="F41" i="42"/>
  <c r="H41" i="42" s="1"/>
  <c r="F41" i="46"/>
  <c r="B41" i="51"/>
  <c r="E49" i="46"/>
  <c r="C49" i="46" a="1"/>
  <c r="E46" i="46"/>
  <c r="C46" i="46" a="1"/>
  <c r="E44" i="46"/>
  <c r="C49" i="46" l="1"/>
  <c r="I49" i="46" s="1"/>
  <c r="G49" i="46" s="1"/>
  <c r="C46" i="46"/>
  <c r="I46" i="46" s="1"/>
  <c r="G46" i="46" s="1"/>
  <c r="B49" i="58"/>
  <c r="F48" i="77"/>
  <c r="I48" i="77" s="1"/>
  <c r="B48" i="63"/>
  <c r="H42" i="64"/>
  <c r="E42" i="64" s="1"/>
  <c r="B45" i="65"/>
  <c r="C45" i="65"/>
  <c r="C48" i="77"/>
  <c r="G48" i="77" s="1"/>
  <c r="F47" i="58"/>
  <c r="E67" i="120" s="1"/>
  <c r="C67" i="120"/>
  <c r="B46" i="58"/>
  <c r="AU65" i="120"/>
  <c r="M65" i="120"/>
  <c r="AG65" i="120"/>
  <c r="P65" i="120"/>
  <c r="AR65" i="120"/>
  <c r="AE65" i="120"/>
  <c r="AH65" i="120" s="1"/>
  <c r="S65" i="120"/>
  <c r="V65" i="120" s="1"/>
  <c r="AC65" i="120"/>
  <c r="O65" i="120"/>
  <c r="R65" i="120" s="1"/>
  <c r="AQ65" i="120"/>
  <c r="AT65" i="120" s="1"/>
  <c r="B45" i="77"/>
  <c r="Q65" i="120"/>
  <c r="U65" i="120"/>
  <c r="X65" i="120"/>
  <c r="L65" i="120"/>
  <c r="B65" i="120"/>
  <c r="BA65" i="120"/>
  <c r="H65" i="120"/>
  <c r="BB65" i="120"/>
  <c r="AS65" i="120"/>
  <c r="AV65" i="120"/>
  <c r="C39" i="64" s="1"/>
  <c r="AA65" i="120"/>
  <c r="AD65" i="120" s="1"/>
  <c r="Y65" i="120"/>
  <c r="AF65" i="120"/>
  <c r="AB65" i="120"/>
  <c r="G65" i="120"/>
  <c r="J65" i="120" s="1"/>
  <c r="B39" i="64"/>
  <c r="T65" i="120"/>
  <c r="K65" i="120"/>
  <c r="N65" i="120" s="1"/>
  <c r="AM65" i="120"/>
  <c r="AP65" i="120" s="1"/>
  <c r="AJ65" i="120"/>
  <c r="AO65" i="120"/>
  <c r="AN65" i="120"/>
  <c r="W65" i="120"/>
  <c r="Z65" i="120" s="1"/>
  <c r="AK65" i="120"/>
  <c r="AI65" i="120"/>
  <c r="AL65" i="120" s="1"/>
  <c r="I65" i="120"/>
  <c r="J45" i="58"/>
  <c r="I45" i="58"/>
  <c r="G45" i="58"/>
  <c r="H45" i="58" s="1"/>
  <c r="D65" i="120" s="1"/>
  <c r="B40" i="46"/>
  <c r="L40" i="42"/>
  <c r="M40" i="42"/>
  <c r="J40" i="42"/>
  <c r="E40" i="42" s="1"/>
  <c r="K40" i="42"/>
  <c r="B39" i="46"/>
  <c r="J39" i="42"/>
  <c r="E39" i="42" s="1"/>
  <c r="M39" i="42"/>
  <c r="L39" i="42"/>
  <c r="E44" i="42"/>
  <c r="F44" i="46"/>
  <c r="B44" i="51"/>
  <c r="D46" i="44"/>
  <c r="E39" i="44" s="1"/>
  <c r="B43" i="58"/>
  <c r="F43" i="58" s="1"/>
  <c r="K43" i="51"/>
  <c r="E30" i="43"/>
  <c r="B42" i="46"/>
  <c r="M42" i="42"/>
  <c r="L42" i="42"/>
  <c r="K42" i="42"/>
  <c r="J42" i="42"/>
  <c r="B41" i="58"/>
  <c r="F41" i="58" s="1"/>
  <c r="K41" i="51"/>
  <c r="C44" i="46" a="1"/>
  <c r="E39" i="46"/>
  <c r="E40" i="46"/>
  <c r="C40" i="46" a="1"/>
  <c r="E42" i="46"/>
  <c r="F49" i="58" l="1"/>
  <c r="E69" i="120" s="1"/>
  <c r="C69" i="120"/>
  <c r="H48" i="77"/>
  <c r="C48" i="63" s="1"/>
  <c r="J48" i="77"/>
  <c r="K45" i="65"/>
  <c r="S45" i="65"/>
  <c r="L45" i="65"/>
  <c r="M45" i="65" s="1"/>
  <c r="N45" i="65" s="1"/>
  <c r="Q45" i="65"/>
  <c r="R45" i="65"/>
  <c r="B48" i="57"/>
  <c r="D48" i="63"/>
  <c r="P48" i="63" s="1"/>
  <c r="J47" i="58"/>
  <c r="B67" i="120"/>
  <c r="BA67" i="120"/>
  <c r="BB67" i="120"/>
  <c r="B47" i="77"/>
  <c r="B41" i="64"/>
  <c r="F46" i="58"/>
  <c r="E66" i="120" s="1"/>
  <c r="C66" i="120"/>
  <c r="B42" i="65"/>
  <c r="H39" i="64"/>
  <c r="E39" i="64" s="1"/>
  <c r="F45" i="77"/>
  <c r="I45" i="77" s="1"/>
  <c r="B45" i="63"/>
  <c r="C42" i="65"/>
  <c r="C45" i="77"/>
  <c r="G45" i="77" s="1"/>
  <c r="C44" i="46"/>
  <c r="I44" i="46" s="1"/>
  <c r="G44" i="46" s="1"/>
  <c r="C40" i="46"/>
  <c r="I40" i="46" s="1"/>
  <c r="B39" i="51"/>
  <c r="B39" i="58" s="1"/>
  <c r="F39" i="58" s="1"/>
  <c r="B40" i="51"/>
  <c r="B40" i="58" s="1"/>
  <c r="F40" i="46"/>
  <c r="F39" i="46"/>
  <c r="E39" i="40"/>
  <c r="B44" i="58"/>
  <c r="F44" i="58" s="1"/>
  <c r="C43" i="58"/>
  <c r="L43" i="51"/>
  <c r="C63" i="120"/>
  <c r="AU63" i="120" s="1"/>
  <c r="E63" i="120"/>
  <c r="E48" i="43"/>
  <c r="E7" i="44"/>
  <c r="E13" i="44"/>
  <c r="E20" i="44"/>
  <c r="E15" i="44"/>
  <c r="E18" i="44"/>
  <c r="E9" i="44"/>
  <c r="E12" i="44"/>
  <c r="E14" i="44"/>
  <c r="E27" i="44"/>
  <c r="E25" i="44"/>
  <c r="E11" i="44"/>
  <c r="E22" i="44"/>
  <c r="E26" i="44"/>
  <c r="E8" i="44"/>
  <c r="E45" i="44"/>
  <c r="E10" i="44"/>
  <c r="E17" i="44"/>
  <c r="E23" i="44"/>
  <c r="E6" i="44"/>
  <c r="E16" i="44"/>
  <c r="E21" i="44"/>
  <c r="E24" i="44"/>
  <c r="E19" i="44"/>
  <c r="E42" i="42"/>
  <c r="F42" i="46"/>
  <c r="B42" i="51"/>
  <c r="C41" i="58"/>
  <c r="L41" i="51"/>
  <c r="C61" i="120"/>
  <c r="AU61" i="120" s="1"/>
  <c r="E61" i="120"/>
  <c r="C42" i="46" a="1"/>
  <c r="C39" i="46" a="1"/>
  <c r="B69" i="120" l="1"/>
  <c r="BB69" i="120"/>
  <c r="B43" i="64"/>
  <c r="BA69" i="120"/>
  <c r="B49" i="77"/>
  <c r="J49" i="58"/>
  <c r="J45" i="65"/>
  <c r="H45" i="65"/>
  <c r="I45" i="65" s="1"/>
  <c r="H48" i="63"/>
  <c r="I48" i="63" s="1"/>
  <c r="O48" i="63"/>
  <c r="D48" i="57" s="1"/>
  <c r="D68" i="74" s="1"/>
  <c r="C68" i="66"/>
  <c r="D68" i="66" s="1"/>
  <c r="C68" i="74"/>
  <c r="E48" i="57"/>
  <c r="G48" i="57"/>
  <c r="F48" i="57"/>
  <c r="J48" i="63"/>
  <c r="K48" i="63" s="1"/>
  <c r="N48" i="63"/>
  <c r="C48" i="57" s="1"/>
  <c r="F48" i="63"/>
  <c r="G48" i="63" s="1"/>
  <c r="L48" i="63"/>
  <c r="M48" i="63" s="1"/>
  <c r="F47" i="77"/>
  <c r="B47" i="63"/>
  <c r="B44" i="65"/>
  <c r="H41" i="64"/>
  <c r="BA66" i="120"/>
  <c r="B66" i="120"/>
  <c r="B46" i="77"/>
  <c r="BB66" i="120"/>
  <c r="B40" i="64"/>
  <c r="J46" i="58"/>
  <c r="H45" i="77"/>
  <c r="C45" i="63" s="1"/>
  <c r="K42" i="65"/>
  <c r="S42" i="65"/>
  <c r="L42" i="65"/>
  <c r="M42" i="65" s="1"/>
  <c r="N42" i="65" s="1"/>
  <c r="D45" i="63"/>
  <c r="P45" i="63" s="1"/>
  <c r="B45" i="57"/>
  <c r="R42" i="65"/>
  <c r="Q42" i="65"/>
  <c r="J45" i="77"/>
  <c r="C42" i="46"/>
  <c r="I42" i="46" s="1"/>
  <c r="G42" i="46" s="1"/>
  <c r="C59" i="120"/>
  <c r="BB59" i="120" s="1"/>
  <c r="C39" i="46"/>
  <c r="I39" i="46" s="1"/>
  <c r="G39" i="46" s="1"/>
  <c r="G40" i="46"/>
  <c r="F40" i="58"/>
  <c r="C60" i="120"/>
  <c r="I41" i="58"/>
  <c r="I43" i="58"/>
  <c r="B41" i="77"/>
  <c r="F41" i="77" s="1"/>
  <c r="B43" i="77"/>
  <c r="F43" i="77" s="1"/>
  <c r="C64" i="120"/>
  <c r="E64" i="120"/>
  <c r="J43" i="58"/>
  <c r="E46" i="44"/>
  <c r="F9" i="43"/>
  <c r="F14" i="43"/>
  <c r="F25" i="43"/>
  <c r="F20" i="43"/>
  <c r="F15" i="43"/>
  <c r="F27" i="43"/>
  <c r="F29" i="43"/>
  <c r="F16" i="43"/>
  <c r="F10" i="43"/>
  <c r="F21" i="43"/>
  <c r="F28" i="43"/>
  <c r="F17" i="43"/>
  <c r="F18" i="43"/>
  <c r="F8" i="43"/>
  <c r="F22" i="43"/>
  <c r="F12" i="43"/>
  <c r="F19" i="43"/>
  <c r="F24" i="43"/>
  <c r="F11" i="43"/>
  <c r="F23" i="43"/>
  <c r="F47" i="43"/>
  <c r="F26" i="43"/>
  <c r="F13" i="43"/>
  <c r="AG63" i="120"/>
  <c r="Y63" i="120"/>
  <c r="G63" i="120"/>
  <c r="J63" i="120" s="1"/>
  <c r="M63" i="120"/>
  <c r="AS63" i="120"/>
  <c r="AB63" i="120"/>
  <c r="AV63" i="120"/>
  <c r="C37" i="64" s="1"/>
  <c r="BA63" i="120"/>
  <c r="AN63" i="120"/>
  <c r="AA63" i="120"/>
  <c r="AD63" i="120" s="1"/>
  <c r="T63" i="120"/>
  <c r="Q63" i="120"/>
  <c r="I63" i="120"/>
  <c r="AJ63" i="120"/>
  <c r="O63" i="120"/>
  <c r="R63" i="120" s="1"/>
  <c r="AR63" i="120"/>
  <c r="AE63" i="120"/>
  <c r="AH63" i="120" s="1"/>
  <c r="AI63" i="120"/>
  <c r="AL63" i="120" s="1"/>
  <c r="AM63" i="120"/>
  <c r="AP63" i="120" s="1"/>
  <c r="B37" i="64"/>
  <c r="W63" i="120"/>
  <c r="Z63" i="120" s="1"/>
  <c r="H63" i="120"/>
  <c r="X63" i="120"/>
  <c r="AQ63" i="120"/>
  <c r="AT63" i="120" s="1"/>
  <c r="BB63" i="120"/>
  <c r="AF63" i="120"/>
  <c r="AC63" i="120"/>
  <c r="U63" i="120"/>
  <c r="P63" i="120"/>
  <c r="AK63" i="120"/>
  <c r="L63" i="120"/>
  <c r="B63" i="120"/>
  <c r="AO63" i="120"/>
  <c r="K63" i="120"/>
  <c r="N63" i="120" s="1"/>
  <c r="S63" i="120"/>
  <c r="V63" i="120" s="1"/>
  <c r="G43" i="58"/>
  <c r="H43" i="58" s="1"/>
  <c r="D63" i="120" s="1"/>
  <c r="F30" i="43"/>
  <c r="F38" i="42"/>
  <c r="H38" i="42" s="1"/>
  <c r="B42" i="58"/>
  <c r="F42" i="58" s="1"/>
  <c r="AF61" i="120"/>
  <c r="AI61" i="120"/>
  <c r="AL61" i="120" s="1"/>
  <c r="B61" i="120"/>
  <c r="AK61" i="120"/>
  <c r="K61" i="120"/>
  <c r="N61" i="120" s="1"/>
  <c r="X61" i="120"/>
  <c r="P61" i="120"/>
  <c r="M61" i="120"/>
  <c r="AO61" i="120"/>
  <c r="B35" i="64"/>
  <c r="AC61" i="120"/>
  <c r="L61" i="120"/>
  <c r="AA61" i="120"/>
  <c r="AD61" i="120" s="1"/>
  <c r="S61" i="120"/>
  <c r="V61" i="120" s="1"/>
  <c r="BB61" i="120"/>
  <c r="AM61" i="120"/>
  <c r="AP61" i="120" s="1"/>
  <c r="AV61" i="120"/>
  <c r="C35" i="64" s="1"/>
  <c r="AQ61" i="120"/>
  <c r="AT61" i="120" s="1"/>
  <c r="W61" i="120"/>
  <c r="Z61" i="120" s="1"/>
  <c r="BA61" i="120"/>
  <c r="Q61" i="120"/>
  <c r="I61" i="120"/>
  <c r="AJ61" i="120"/>
  <c r="AE61" i="120"/>
  <c r="AH61" i="120" s="1"/>
  <c r="AR61" i="120"/>
  <c r="AN61" i="120"/>
  <c r="H61" i="120"/>
  <c r="AG61" i="120"/>
  <c r="U61" i="120"/>
  <c r="Y61" i="120"/>
  <c r="T61" i="120"/>
  <c r="AS61" i="120"/>
  <c r="AB61" i="120"/>
  <c r="O61" i="120"/>
  <c r="R61" i="120" s="1"/>
  <c r="G61" i="120"/>
  <c r="J61" i="120" s="1"/>
  <c r="J41" i="58"/>
  <c r="G41" i="58"/>
  <c r="H41" i="58" s="1"/>
  <c r="D61" i="120" s="1"/>
  <c r="J39" i="58"/>
  <c r="E59" i="120"/>
  <c r="H43" i="64" l="1"/>
  <c r="B46" i="65"/>
  <c r="F49" i="77"/>
  <c r="B49" i="63"/>
  <c r="G68" i="74"/>
  <c r="H68" i="74"/>
  <c r="D68" i="76" s="1"/>
  <c r="J68" i="74"/>
  <c r="B68" i="74"/>
  <c r="M68" i="74"/>
  <c r="C68" i="76"/>
  <c r="F68" i="74"/>
  <c r="R68" i="70" s="1"/>
  <c r="R68" i="71" s="1"/>
  <c r="K68" i="74"/>
  <c r="L68" i="74"/>
  <c r="Y68" i="66"/>
  <c r="E68" i="66"/>
  <c r="G68" i="66"/>
  <c r="M68" i="66"/>
  <c r="K68" i="66"/>
  <c r="T68" i="66"/>
  <c r="U68" i="66" s="1"/>
  <c r="B68" i="66"/>
  <c r="P68" i="66"/>
  <c r="F68" i="66"/>
  <c r="V68" i="66"/>
  <c r="H68" i="66"/>
  <c r="N68" i="66"/>
  <c r="J68" i="66"/>
  <c r="Q68" i="66"/>
  <c r="S68" i="66"/>
  <c r="B47" i="57"/>
  <c r="Q44" i="65"/>
  <c r="R44" i="65"/>
  <c r="F46" i="77"/>
  <c r="B46" i="63"/>
  <c r="H40" i="64"/>
  <c r="B43" i="65"/>
  <c r="J45" i="63"/>
  <c r="K45" i="63" s="1"/>
  <c r="J42" i="65"/>
  <c r="F45" i="63"/>
  <c r="G45" i="63" s="1"/>
  <c r="O45" i="63"/>
  <c r="D45" i="57" s="1"/>
  <c r="D65" i="74" s="1"/>
  <c r="H45" i="63"/>
  <c r="I45" i="63" s="1"/>
  <c r="L45" i="63"/>
  <c r="M45" i="63" s="1"/>
  <c r="N45" i="63"/>
  <c r="C45" i="57" s="1"/>
  <c r="E45" i="57"/>
  <c r="G45" i="57"/>
  <c r="C65" i="74"/>
  <c r="C65" i="66"/>
  <c r="D65" i="66" s="1"/>
  <c r="F45" i="57"/>
  <c r="H42" i="65"/>
  <c r="I42" i="65" s="1"/>
  <c r="BA59" i="120"/>
  <c r="B33" i="64"/>
  <c r="B36" i="65" s="1"/>
  <c r="B59" i="120"/>
  <c r="B39" i="77"/>
  <c r="B39" i="63" s="1"/>
  <c r="BB60" i="120"/>
  <c r="BA60" i="120"/>
  <c r="B60" i="120"/>
  <c r="B34" i="64"/>
  <c r="B40" i="77"/>
  <c r="E60" i="120"/>
  <c r="J40" i="58"/>
  <c r="B44" i="77"/>
  <c r="F44" i="77" s="1"/>
  <c r="C38" i="65"/>
  <c r="S38" i="65" s="1"/>
  <c r="C41" i="77"/>
  <c r="G41" i="77" s="1"/>
  <c r="H41" i="77" s="1"/>
  <c r="C41" i="63" s="1"/>
  <c r="C40" i="65"/>
  <c r="L40" i="65" s="1"/>
  <c r="M40" i="65" s="1"/>
  <c r="N40" i="65" s="1"/>
  <c r="C43" i="77"/>
  <c r="G43" i="77" s="1"/>
  <c r="H43" i="77" s="1"/>
  <c r="C43" i="63" s="1"/>
  <c r="J44" i="58"/>
  <c r="BB64" i="120"/>
  <c r="B38" i="64"/>
  <c r="B64" i="120"/>
  <c r="BA64" i="120"/>
  <c r="F48" i="43"/>
  <c r="B40" i="65"/>
  <c r="H37" i="64"/>
  <c r="E37" i="64" s="1"/>
  <c r="B43" i="63"/>
  <c r="C62" i="120"/>
  <c r="H35" i="64"/>
  <c r="E35" i="64" s="1"/>
  <c r="B38" i="65"/>
  <c r="B41" i="63"/>
  <c r="T43" i="120"/>
  <c r="U43" i="120" s="1"/>
  <c r="L48" i="120"/>
  <c r="M48" i="120" s="1"/>
  <c r="R46" i="65" l="1"/>
  <c r="Q46" i="65"/>
  <c r="B49" i="57"/>
  <c r="I68" i="66"/>
  <c r="L68" i="66" s="1"/>
  <c r="G68" i="76"/>
  <c r="F68" i="69" s="1"/>
  <c r="B68" i="76"/>
  <c r="K68" i="76"/>
  <c r="L68" i="76"/>
  <c r="F68" i="76"/>
  <c r="I68" i="76"/>
  <c r="B68" i="69"/>
  <c r="J68" i="76"/>
  <c r="E47" i="57"/>
  <c r="C67" i="66"/>
  <c r="D67" i="66" s="1"/>
  <c r="C67" i="74"/>
  <c r="R43" i="65"/>
  <c r="Q43" i="65"/>
  <c r="B46" i="57"/>
  <c r="F65" i="74"/>
  <c r="R65" i="70" s="1"/>
  <c r="R65" i="71" s="1"/>
  <c r="L65" i="74"/>
  <c r="M65" i="74"/>
  <c r="B65" i="74"/>
  <c r="K65" i="74"/>
  <c r="H65" i="74"/>
  <c r="D65" i="76" s="1"/>
  <c r="J65" i="74"/>
  <c r="C65" i="76"/>
  <c r="G65" i="74"/>
  <c r="Y65" i="66"/>
  <c r="B65" i="66"/>
  <c r="E65" i="66"/>
  <c r="F65" i="66"/>
  <c r="G65" i="66"/>
  <c r="H65" i="66"/>
  <c r="J65" i="66"/>
  <c r="K65" i="66"/>
  <c r="M65" i="66"/>
  <c r="N65" i="66"/>
  <c r="P65" i="66"/>
  <c r="Q65" i="66"/>
  <c r="S65" i="66"/>
  <c r="T65" i="66"/>
  <c r="U65" i="66" s="1"/>
  <c r="V65" i="66"/>
  <c r="H33" i="64"/>
  <c r="F39" i="77"/>
  <c r="H34" i="64"/>
  <c r="B37" i="65"/>
  <c r="B40" i="63"/>
  <c r="B40" i="57" s="1"/>
  <c r="F40" i="77"/>
  <c r="B42" i="77"/>
  <c r="F42" i="77" s="1"/>
  <c r="S40" i="65"/>
  <c r="J41" i="77"/>
  <c r="K40" i="65"/>
  <c r="J43" i="77"/>
  <c r="I43" i="77" s="1"/>
  <c r="B44" i="63"/>
  <c r="B41" i="65"/>
  <c r="H38" i="64"/>
  <c r="R40" i="65"/>
  <c r="Q40" i="65"/>
  <c r="B43" i="57"/>
  <c r="E43" i="57" s="1"/>
  <c r="D43" i="63"/>
  <c r="P43" i="63" s="1"/>
  <c r="J42" i="58"/>
  <c r="E62" i="120"/>
  <c r="BA62" i="120"/>
  <c r="B62" i="120"/>
  <c r="B36" i="64"/>
  <c r="BB62" i="120"/>
  <c r="Q38" i="65"/>
  <c r="H38" i="65" s="1"/>
  <c r="I38" i="65" s="1"/>
  <c r="R38" i="65"/>
  <c r="J38" i="65" s="1"/>
  <c r="K38" i="65" s="1"/>
  <c r="L38" i="65" s="1"/>
  <c r="M38" i="65" s="1"/>
  <c r="N38" i="65" s="1"/>
  <c r="I41" i="77"/>
  <c r="D41" i="63"/>
  <c r="P41" i="63" s="1"/>
  <c r="B41" i="57"/>
  <c r="E41" i="57" s="1"/>
  <c r="Q36" i="65"/>
  <c r="R36" i="65"/>
  <c r="X43" i="120"/>
  <c r="Y43" i="120" s="1"/>
  <c r="T48" i="120"/>
  <c r="U48" i="120" s="1"/>
  <c r="B39" i="57"/>
  <c r="E39" i="57" s="1"/>
  <c r="C69" i="66" l="1"/>
  <c r="D69" i="66" s="1"/>
  <c r="E49" i="57"/>
  <c r="C69" i="74"/>
  <c r="O68" i="66"/>
  <c r="R68" i="66" s="1"/>
  <c r="D68" i="69"/>
  <c r="R68" i="69"/>
  <c r="Q68" i="69"/>
  <c r="I68" i="69"/>
  <c r="U68" i="69"/>
  <c r="V68" i="69" s="1"/>
  <c r="P68" i="70" s="1"/>
  <c r="T68" i="69"/>
  <c r="K68" i="69"/>
  <c r="C68" i="69"/>
  <c r="A68" i="69"/>
  <c r="E68" i="69"/>
  <c r="W68" i="69" s="1"/>
  <c r="H68" i="69"/>
  <c r="G68" i="69"/>
  <c r="N68" i="69"/>
  <c r="O68" i="69"/>
  <c r="L68" i="69"/>
  <c r="J67" i="74"/>
  <c r="B67" i="74"/>
  <c r="C67" i="76"/>
  <c r="K67" i="74"/>
  <c r="Y67" i="66"/>
  <c r="B67" i="66"/>
  <c r="E46" i="57"/>
  <c r="C66" i="74"/>
  <c r="C66" i="66"/>
  <c r="D66" i="66" s="1"/>
  <c r="B65" i="76"/>
  <c r="B65" i="69"/>
  <c r="L65" i="76"/>
  <c r="F65" i="76"/>
  <c r="I65" i="76"/>
  <c r="G65" i="76"/>
  <c r="F65" i="69" s="1"/>
  <c r="K65" i="76"/>
  <c r="J65" i="76"/>
  <c r="I65" i="66"/>
  <c r="C60" i="66"/>
  <c r="D60" i="66" s="1"/>
  <c r="E40" i="57"/>
  <c r="C60" i="74"/>
  <c r="R37" i="65"/>
  <c r="Q37" i="65"/>
  <c r="H40" i="65"/>
  <c r="I40" i="65" s="1"/>
  <c r="J40" i="65"/>
  <c r="B44" i="57"/>
  <c r="E44" i="57" s="1"/>
  <c r="R41" i="65"/>
  <c r="Q41" i="65"/>
  <c r="J43" i="63"/>
  <c r="K43" i="63" s="1"/>
  <c r="O43" i="63"/>
  <c r="D43" i="57" s="1"/>
  <c r="D63" i="74" s="1"/>
  <c r="L43" i="63"/>
  <c r="M43" i="63" s="1"/>
  <c r="F43" i="63"/>
  <c r="G43" i="63" s="1"/>
  <c r="N43" i="63"/>
  <c r="C43" i="57" s="1"/>
  <c r="H43" i="63"/>
  <c r="I43" i="63" s="1"/>
  <c r="C63" i="66"/>
  <c r="D63" i="66" s="1"/>
  <c r="C63" i="74"/>
  <c r="G43" i="57"/>
  <c r="F43" i="57"/>
  <c r="B42" i="63"/>
  <c r="B39" i="65"/>
  <c r="H36" i="64"/>
  <c r="F41" i="63"/>
  <c r="G41" i="63" s="1"/>
  <c r="H41" i="63" s="1"/>
  <c r="I41" i="63" s="1"/>
  <c r="J41" i="63" s="1"/>
  <c r="K41" i="63" s="1"/>
  <c r="L41" i="63" s="1"/>
  <c r="M41" i="63" s="1"/>
  <c r="O41" i="63" s="1"/>
  <c r="D41" i="57" s="1"/>
  <c r="D61" i="74" s="1"/>
  <c r="N41" i="63"/>
  <c r="C41" i="57" s="1"/>
  <c r="C61" i="66"/>
  <c r="D61" i="66" s="1"/>
  <c r="C61" i="74"/>
  <c r="F41" i="57"/>
  <c r="G41" i="57" s="1"/>
  <c r="AB48" i="120"/>
  <c r="AC48" i="120" s="1"/>
  <c r="C59" i="74"/>
  <c r="C59" i="66"/>
  <c r="D59" i="66" s="1"/>
  <c r="AB43" i="120"/>
  <c r="AC43" i="120" s="1"/>
  <c r="L67" i="74" l="1"/>
  <c r="K69" i="74"/>
  <c r="J69" i="74"/>
  <c r="B69" i="74"/>
  <c r="C69" i="76"/>
  <c r="Y69" i="66"/>
  <c r="B69" i="66"/>
  <c r="J68" i="69"/>
  <c r="M68" i="69" s="1"/>
  <c r="Q68" i="70"/>
  <c r="Q68" i="71" s="1"/>
  <c r="P68" i="71"/>
  <c r="J67" i="76"/>
  <c r="B67" i="69"/>
  <c r="B67" i="76"/>
  <c r="I67" i="76"/>
  <c r="Y66" i="66"/>
  <c r="B66" i="66"/>
  <c r="B66" i="74"/>
  <c r="K66" i="74"/>
  <c r="J66" i="74"/>
  <c r="C66" i="76"/>
  <c r="L65" i="66"/>
  <c r="O65" i="66" s="1"/>
  <c r="R65" i="66" s="1"/>
  <c r="A65" i="69"/>
  <c r="C65" i="69"/>
  <c r="D65" i="69"/>
  <c r="E65" i="69"/>
  <c r="W65" i="69" s="1"/>
  <c r="G65" i="69"/>
  <c r="H65" i="69"/>
  <c r="I65" i="69"/>
  <c r="K65" i="69"/>
  <c r="L65" i="69"/>
  <c r="N65" i="69"/>
  <c r="O65" i="69"/>
  <c r="R65" i="69"/>
  <c r="T65" i="69"/>
  <c r="U65" i="69"/>
  <c r="V65" i="69" s="1"/>
  <c r="P65" i="70" s="1"/>
  <c r="B60" i="74"/>
  <c r="K60" i="74"/>
  <c r="J60" i="74"/>
  <c r="C60" i="76"/>
  <c r="B60" i="66"/>
  <c r="C64" i="66"/>
  <c r="D64" i="66" s="1"/>
  <c r="C64" i="74"/>
  <c r="H63" i="74"/>
  <c r="D63" i="76" s="1"/>
  <c r="F63" i="74"/>
  <c r="R63" i="70" s="1"/>
  <c r="R63" i="71" s="1"/>
  <c r="L63" i="74"/>
  <c r="M63" i="74"/>
  <c r="J63" i="74"/>
  <c r="C63" i="76"/>
  <c r="G63" i="74"/>
  <c r="K63" i="74"/>
  <c r="B63" i="74"/>
  <c r="E63" i="66"/>
  <c r="G63" i="66"/>
  <c r="N63" i="66"/>
  <c r="V63" i="66"/>
  <c r="H63" i="66"/>
  <c r="Q63" i="66"/>
  <c r="B63" i="66"/>
  <c r="K63" i="66"/>
  <c r="M63" i="66"/>
  <c r="P63" i="66"/>
  <c r="T63" i="66"/>
  <c r="U63" i="66" s="1"/>
  <c r="F63" i="66"/>
  <c r="J63" i="66"/>
  <c r="S63" i="66"/>
  <c r="Q39" i="65"/>
  <c r="R39" i="65"/>
  <c r="B42" i="57"/>
  <c r="E42" i="57" s="1"/>
  <c r="M61" i="74"/>
  <c r="B61" i="74"/>
  <c r="J61" i="74"/>
  <c r="G61" i="74"/>
  <c r="H61" i="74"/>
  <c r="D61" i="76" s="1"/>
  <c r="L61" i="74"/>
  <c r="F61" i="74"/>
  <c r="R61" i="70" s="1"/>
  <c r="R61" i="71" s="1"/>
  <c r="K61" i="74"/>
  <c r="C61" i="76"/>
  <c r="E61" i="66"/>
  <c r="B61" i="66"/>
  <c r="G61" i="66"/>
  <c r="F61" i="66"/>
  <c r="H61" i="66"/>
  <c r="J61" i="66"/>
  <c r="K61" i="66"/>
  <c r="M61" i="66"/>
  <c r="N61" i="66"/>
  <c r="P61" i="66"/>
  <c r="Q61" i="66"/>
  <c r="S61" i="66"/>
  <c r="T61" i="66"/>
  <c r="U61" i="66" s="1"/>
  <c r="V61" i="66"/>
  <c r="B59" i="66"/>
  <c r="J59" i="74"/>
  <c r="K59" i="74"/>
  <c r="C59" i="76"/>
  <c r="B59" i="74"/>
  <c r="AF48" i="120"/>
  <c r="AG48" i="120" s="1"/>
  <c r="AF43" i="120"/>
  <c r="AG43" i="120" s="1"/>
  <c r="L69" i="74" l="1"/>
  <c r="K67" i="76"/>
  <c r="L66" i="74"/>
  <c r="J69" i="76"/>
  <c r="I69" i="76"/>
  <c r="B69" i="69"/>
  <c r="B69" i="76"/>
  <c r="P68" i="69"/>
  <c r="S68" i="69" s="1"/>
  <c r="C67" i="69"/>
  <c r="A67" i="69"/>
  <c r="J66" i="76"/>
  <c r="B66" i="69"/>
  <c r="I66" i="76"/>
  <c r="B66" i="76"/>
  <c r="Q65" i="69"/>
  <c r="J65" i="69"/>
  <c r="Q65" i="70"/>
  <c r="Q65" i="71" s="1"/>
  <c r="P65" i="71"/>
  <c r="B60" i="76"/>
  <c r="B60" i="69"/>
  <c r="I60" i="76"/>
  <c r="J60" i="76"/>
  <c r="L60" i="74"/>
  <c r="Y60" i="66"/>
  <c r="L59" i="74"/>
  <c r="K64" i="74"/>
  <c r="B64" i="74"/>
  <c r="C64" i="76"/>
  <c r="J64" i="74"/>
  <c r="B64" i="66"/>
  <c r="I63" i="66"/>
  <c r="L63" i="66" s="1"/>
  <c r="O63" i="66" s="1"/>
  <c r="Y63" i="66"/>
  <c r="J63" i="76"/>
  <c r="F63" i="76"/>
  <c r="L63" i="76"/>
  <c r="B63" i="69"/>
  <c r="K63" i="76"/>
  <c r="B63" i="76"/>
  <c r="I63" i="76"/>
  <c r="G63" i="76"/>
  <c r="I61" i="66"/>
  <c r="L61" i="66" s="1"/>
  <c r="O61" i="66" s="1"/>
  <c r="C62" i="66"/>
  <c r="D62" i="66" s="1"/>
  <c r="C62" i="74"/>
  <c r="Y61" i="66"/>
  <c r="B61" i="69"/>
  <c r="L61" i="76"/>
  <c r="K61" i="76"/>
  <c r="F61" i="76"/>
  <c r="J61" i="76"/>
  <c r="G61" i="76"/>
  <c r="I61" i="76"/>
  <c r="B61" i="76"/>
  <c r="B59" i="76"/>
  <c r="B59" i="69"/>
  <c r="J59" i="76"/>
  <c r="I59" i="76"/>
  <c r="Y59" i="66"/>
  <c r="K69" i="76" l="1"/>
  <c r="K66" i="76"/>
  <c r="C69" i="69"/>
  <c r="A69" i="69"/>
  <c r="C66" i="69"/>
  <c r="A66" i="69"/>
  <c r="M65" i="69"/>
  <c r="P65" i="69" s="1"/>
  <c r="K60" i="76"/>
  <c r="A60" i="69"/>
  <c r="C60" i="69"/>
  <c r="L64" i="74"/>
  <c r="K59" i="76"/>
  <c r="B64" i="76"/>
  <c r="B64" i="69"/>
  <c r="J64" i="76"/>
  <c r="I64" i="76"/>
  <c r="Y64" i="66"/>
  <c r="R63" i="66"/>
  <c r="F63" i="69"/>
  <c r="K63" i="69"/>
  <c r="T63" i="69"/>
  <c r="O63" i="69"/>
  <c r="E63" i="69"/>
  <c r="W63" i="69" s="1"/>
  <c r="D63" i="69"/>
  <c r="U63" i="69"/>
  <c r="V63" i="69" s="1"/>
  <c r="P63" i="70" s="1"/>
  <c r="Q63" i="69"/>
  <c r="C63" i="69"/>
  <c r="L63" i="69"/>
  <c r="N63" i="69"/>
  <c r="H63" i="69"/>
  <c r="I63" i="69"/>
  <c r="R63" i="69"/>
  <c r="G63" i="69"/>
  <c r="A63" i="69"/>
  <c r="J62" i="74"/>
  <c r="B62" i="74"/>
  <c r="K62" i="74"/>
  <c r="C62" i="76"/>
  <c r="B62" i="66"/>
  <c r="R61" i="66"/>
  <c r="D61" i="69"/>
  <c r="A61" i="69"/>
  <c r="C61" i="69"/>
  <c r="E61" i="69"/>
  <c r="W61" i="69" s="1"/>
  <c r="G61" i="69"/>
  <c r="H61" i="69"/>
  <c r="I61" i="69"/>
  <c r="K61" i="69"/>
  <c r="L61" i="69"/>
  <c r="N61" i="69"/>
  <c r="O61" i="69"/>
  <c r="Q61" i="69"/>
  <c r="R61" i="69"/>
  <c r="T61" i="69"/>
  <c r="U61" i="69"/>
  <c r="V61" i="69" s="1"/>
  <c r="P61" i="70" s="1"/>
  <c r="F61" i="69"/>
  <c r="C59" i="69"/>
  <c r="A59" i="69"/>
  <c r="S65" i="69" l="1"/>
  <c r="Q61" i="70"/>
  <c r="Q61" i="71" s="1"/>
  <c r="P61" i="71"/>
  <c r="Q63" i="70"/>
  <c r="Q63" i="71" s="1"/>
  <c r="P63" i="71"/>
  <c r="L62" i="74"/>
  <c r="K64" i="76"/>
  <c r="A64" i="69"/>
  <c r="C64" i="69"/>
  <c r="J63" i="69"/>
  <c r="M63" i="69" s="1"/>
  <c r="P63" i="69" s="1"/>
  <c r="S63" i="69" s="1"/>
  <c r="Y62" i="66"/>
  <c r="J62" i="76"/>
  <c r="B62" i="69"/>
  <c r="B62" i="76"/>
  <c r="I62" i="76"/>
  <c r="J61" i="69"/>
  <c r="M61" i="69" s="1"/>
  <c r="P61" i="69" s="1"/>
  <c r="K62" i="76" l="1"/>
  <c r="C62" i="69"/>
  <c r="A62" i="69"/>
  <c r="S61" i="69"/>
  <c r="H58" i="120" l="1"/>
  <c r="I58" i="120" s="1"/>
  <c r="L58" i="120" l="1"/>
  <c r="M58" i="120" s="1"/>
  <c r="AF58" i="120" l="1"/>
  <c r="AG58" i="120" s="1"/>
  <c r="AN58" i="120" l="1"/>
  <c r="AO58" i="120" s="1"/>
  <c r="AR58" i="120" l="1"/>
  <c r="AS58" i="120" s="1"/>
  <c r="C35" i="65" l="1"/>
  <c r="C38" i="77"/>
  <c r="AV58" i="120"/>
  <c r="C32" i="64" s="1"/>
  <c r="E32" i="64" s="1"/>
  <c r="G38" i="77" l="1"/>
  <c r="J38" i="77"/>
  <c r="S35" i="65"/>
  <c r="H35" i="65" s="1"/>
  <c r="I35" i="65" s="1"/>
  <c r="J35" i="65" l="1"/>
  <c r="K35" i="65" s="1"/>
  <c r="L35" i="65" s="1"/>
  <c r="M35" i="65" s="1"/>
  <c r="N35" i="65" s="1"/>
  <c r="H38" i="77" l="1"/>
  <c r="I38" i="77" l="1"/>
  <c r="C38" i="63"/>
  <c r="D38" i="63" l="1"/>
  <c r="P38" i="63" s="1"/>
  <c r="F38" i="63" l="1"/>
  <c r="G38" i="63" l="1"/>
  <c r="H38" i="63" s="1"/>
  <c r="I38" i="63" l="1"/>
  <c r="J38" i="63" s="1"/>
  <c r="K38" i="63" l="1"/>
  <c r="L38" i="63" s="1"/>
  <c r="M38" i="63" l="1"/>
  <c r="O38" i="63" s="1"/>
  <c r="D38" i="57" s="1"/>
  <c r="D58" i="74" s="1"/>
  <c r="E58" i="66" l="1"/>
  <c r="F38" i="57"/>
  <c r="G38" i="57" s="1"/>
  <c r="G58" i="66"/>
  <c r="F58" i="66"/>
  <c r="F58" i="74"/>
  <c r="G58" i="74" s="1"/>
  <c r="N38" i="63" l="1"/>
  <c r="C38" i="57" s="1"/>
  <c r="D58" i="69"/>
  <c r="E58" i="69" s="1"/>
  <c r="W58" i="69" s="1"/>
  <c r="R58" i="70"/>
  <c r="R58" i="71" s="1"/>
  <c r="H58" i="66" l="1"/>
  <c r="J58" i="66" l="1"/>
  <c r="I58" i="66"/>
  <c r="M58" i="74"/>
  <c r="H58" i="74" s="1"/>
  <c r="D58" i="76" s="1"/>
  <c r="K58" i="66" l="1"/>
  <c r="L58" i="66" s="1"/>
  <c r="F58" i="76"/>
  <c r="M58" i="66" l="1"/>
  <c r="N58" i="66" l="1"/>
  <c r="O58" i="66" s="1"/>
  <c r="L58" i="76"/>
  <c r="G58" i="76" s="1"/>
  <c r="P58" i="66" l="1"/>
  <c r="F58" i="69"/>
  <c r="Q58" i="66" l="1"/>
  <c r="G58" i="69"/>
  <c r="H58" i="69"/>
  <c r="S58" i="66" l="1"/>
  <c r="R58" i="66"/>
  <c r="I58" i="69"/>
  <c r="T58" i="66" l="1"/>
  <c r="U58" i="66" s="1"/>
  <c r="K58" i="69"/>
  <c r="J58" i="69"/>
  <c r="L58" i="69" l="1"/>
  <c r="M58" i="69" s="1"/>
  <c r="N58" i="69" l="1"/>
  <c r="V58" i="66"/>
  <c r="O58" i="69" l="1"/>
  <c r="P58" i="69" s="1"/>
  <c r="Q58" i="69" l="1"/>
  <c r="R58" i="69" l="1"/>
  <c r="S58" i="69" s="1"/>
  <c r="T58" i="69" l="1"/>
  <c r="U58" i="69" l="1"/>
  <c r="V58" i="69" s="1"/>
  <c r="P58" i="70" s="1"/>
  <c r="Q58" i="70" l="1"/>
  <c r="Q58" i="71" s="1"/>
  <c r="P58" i="71"/>
  <c r="AQ58" i="120"/>
  <c r="AT58" i="120" s="1"/>
  <c r="AM58" i="120"/>
  <c r="AP58" i="120" s="1"/>
  <c r="AI58" i="120"/>
  <c r="AL58" i="120" s="1"/>
  <c r="AK58" i="120"/>
  <c r="AJ58" i="120"/>
  <c r="AE58" i="120"/>
  <c r="AH58" i="120" s="1"/>
  <c r="AA58" i="120"/>
  <c r="AD58" i="120" s="1"/>
  <c r="AC58" i="120"/>
  <c r="AB58" i="120"/>
  <c r="W58" i="120"/>
  <c r="Z58" i="120" s="1"/>
  <c r="Y58" i="120"/>
  <c r="X58" i="120"/>
  <c r="S58" i="120"/>
  <c r="V58" i="120" s="1"/>
  <c r="U58" i="120"/>
  <c r="T58" i="120"/>
  <c r="O58" i="120"/>
  <c r="R58" i="120" s="1"/>
  <c r="Q58" i="120"/>
  <c r="P58" i="120"/>
  <c r="K58" i="120"/>
  <c r="N58" i="120" s="1"/>
  <c r="G58" i="120"/>
  <c r="J58" i="120" s="1"/>
  <c r="K38" i="51"/>
  <c r="C38" i="58" s="1"/>
  <c r="I38" i="58" s="1"/>
  <c r="AI43" i="120"/>
  <c r="AL43" i="120" s="1"/>
  <c r="AM43" i="120"/>
  <c r="AP43" i="120" s="1"/>
  <c r="AQ43" i="120"/>
  <c r="AT43" i="120" s="1"/>
  <c r="AE43" i="120"/>
  <c r="AH43" i="120" s="1"/>
  <c r="AI48" i="120"/>
  <c r="AL48" i="120" s="1"/>
  <c r="AM48" i="120"/>
  <c r="AP48" i="120" s="1"/>
  <c r="AQ48" i="120"/>
  <c r="AT48" i="120" s="1"/>
  <c r="AE48" i="120"/>
  <c r="AH48" i="120" s="1"/>
  <c r="K13" i="51"/>
  <c r="C13" i="58" s="1"/>
  <c r="I13" i="58" s="1"/>
  <c r="K28" i="51"/>
  <c r="C28" i="58" s="1"/>
  <c r="I28" i="58" s="1"/>
  <c r="G48" i="120"/>
  <c r="J48" i="120" s="1"/>
  <c r="K48" i="120"/>
  <c r="N48" i="120" s="1"/>
  <c r="O48" i="120"/>
  <c r="R48" i="120" s="1"/>
  <c r="S48" i="120"/>
  <c r="V48" i="120" s="1"/>
  <c r="W48" i="120"/>
  <c r="Z48" i="120" s="1"/>
  <c r="AA48" i="120"/>
  <c r="AD48" i="120" s="1"/>
  <c r="AA43" i="120"/>
  <c r="AD43" i="120" s="1"/>
  <c r="K17" i="51"/>
  <c r="C17" i="58" s="1"/>
  <c r="I17" i="58" s="1"/>
  <c r="K23" i="51"/>
  <c r="C23" i="58" s="1"/>
  <c r="I23" i="58" s="1"/>
  <c r="G43" i="120"/>
  <c r="J43" i="120" s="1"/>
  <c r="K43" i="120"/>
  <c r="N43" i="120" s="1"/>
  <c r="O43" i="120"/>
  <c r="R43" i="120" s="1"/>
  <c r="S43" i="120"/>
  <c r="V43" i="120" s="1"/>
  <c r="W43" i="120"/>
  <c r="Z43" i="120" s="1"/>
  <c r="L38" i="51" l="1"/>
  <c r="L13" i="51"/>
  <c r="L17" i="51"/>
  <c r="L23" i="51"/>
  <c r="G23" i="58"/>
  <c r="H23" i="58" s="1"/>
  <c r="D43" i="120" s="1"/>
  <c r="G28" i="58"/>
  <c r="H28" i="58" s="1"/>
  <c r="D48" i="120" s="1"/>
  <c r="G38" i="58"/>
  <c r="H38" i="58" s="1"/>
  <c r="D58" i="120" s="1"/>
  <c r="G17" i="58"/>
  <c r="H17" i="58" s="1"/>
  <c r="D37" i="120" s="1"/>
  <c r="L28" i="51"/>
  <c r="G13" i="58"/>
  <c r="H13" i="58" s="1"/>
  <c r="D33" i="120" s="1"/>
  <c r="BP33" i="61"/>
  <c r="Y51" i="61" l="1"/>
  <c r="AL33" i="61"/>
  <c r="AL51" i="61" l="1"/>
  <c r="B33" i="9"/>
  <c r="C33" i="9" a="1"/>
  <c r="C33" i="9" l="1"/>
  <c r="C51" i="9" s="1"/>
  <c r="B33" i="40"/>
  <c r="E33" i="9" l="1"/>
  <c r="D33" i="40"/>
  <c r="J33" i="40"/>
  <c r="I33" i="40"/>
  <c r="H33" i="40"/>
  <c r="B33" i="42"/>
  <c r="G33" i="40"/>
  <c r="E33" i="40" l="1"/>
  <c r="M33" i="42"/>
  <c r="L33" i="42"/>
  <c r="K33" i="42"/>
  <c r="B33" i="46"/>
  <c r="J33" i="42"/>
  <c r="E33" i="46"/>
  <c r="E33" i="42" l="1"/>
  <c r="B33" i="51"/>
  <c r="F33" i="46"/>
  <c r="C33" i="46" a="1"/>
  <c r="F47" i="42" l="1"/>
  <c r="H47" i="42" s="1"/>
  <c r="F49" i="42"/>
  <c r="H49" i="42" s="1"/>
  <c r="F15" i="42"/>
  <c r="H15" i="42" s="1"/>
  <c r="F46" i="42"/>
  <c r="H46" i="42" s="1"/>
  <c r="C33" i="46"/>
  <c r="I33" i="46" s="1"/>
  <c r="G33" i="46" s="1"/>
  <c r="G51" i="46" s="1"/>
  <c r="F36" i="42"/>
  <c r="H36" i="42" s="1"/>
  <c r="F40" i="42"/>
  <c r="H40" i="42" s="1"/>
  <c r="F32" i="42"/>
  <c r="H32" i="42" s="1"/>
  <c r="F42" i="42"/>
  <c r="H42" i="42" s="1"/>
  <c r="F33" i="42"/>
  <c r="H33" i="42" s="1"/>
  <c r="E42" i="40"/>
  <c r="B33" i="58"/>
  <c r="F33" i="58" s="1"/>
  <c r="F20" i="42"/>
  <c r="H20" i="42" s="1"/>
  <c r="F16" i="42"/>
  <c r="H16" i="42" s="1"/>
  <c r="F30" i="42"/>
  <c r="H30" i="42" s="1"/>
  <c r="F18" i="42"/>
  <c r="H18" i="42" s="1"/>
  <c r="F31" i="42"/>
  <c r="H31" i="42" s="1"/>
  <c r="F19" i="42"/>
  <c r="H19" i="42" s="1"/>
  <c r="F29" i="42"/>
  <c r="H29" i="42" s="1"/>
  <c r="F44" i="42"/>
  <c r="H44" i="42" s="1"/>
  <c r="F39" i="42"/>
  <c r="H39" i="42" s="1"/>
  <c r="F12" i="42"/>
  <c r="H12" i="42" s="1"/>
  <c r="F35" i="42"/>
  <c r="H35" i="42" s="1"/>
  <c r="F21" i="42"/>
  <c r="H21" i="42" s="1"/>
  <c r="F27" i="42"/>
  <c r="H27" i="42" s="1"/>
  <c r="F24" i="42"/>
  <c r="H24" i="42" s="1"/>
  <c r="F14" i="42"/>
  <c r="H14" i="42" s="1"/>
  <c r="F22" i="42"/>
  <c r="H22" i="42" s="1"/>
  <c r="F34" i="42"/>
  <c r="H34" i="42" s="1"/>
  <c r="F25" i="42"/>
  <c r="H25" i="42" s="1"/>
  <c r="F11" i="42"/>
  <c r="E51" i="9" l="1"/>
  <c r="J33" i="58"/>
  <c r="C53" i="120"/>
  <c r="F51" i="42"/>
  <c r="H11" i="42"/>
  <c r="H25" i="46"/>
  <c r="F25" i="51" s="1"/>
  <c r="H23" i="46"/>
  <c r="F23" i="51" s="1"/>
  <c r="H49" i="46"/>
  <c r="H26" i="46"/>
  <c r="F26" i="51" s="1"/>
  <c r="H15" i="46"/>
  <c r="F15" i="51" s="1"/>
  <c r="H41" i="46"/>
  <c r="H50" i="46"/>
  <c r="H35" i="46"/>
  <c r="F35" i="51" s="1"/>
  <c r="H45" i="46"/>
  <c r="H19" i="46"/>
  <c r="F19" i="51" s="1"/>
  <c r="H16" i="46"/>
  <c r="F16" i="51" s="1"/>
  <c r="H39" i="46"/>
  <c r="F39" i="51" s="1"/>
  <c r="H22" i="46"/>
  <c r="F22" i="51" s="1"/>
  <c r="H20" i="46"/>
  <c r="F20" i="51" s="1"/>
  <c r="H44" i="46"/>
  <c r="H11" i="46"/>
  <c r="H14" i="46"/>
  <c r="F14" i="51" s="1"/>
  <c r="H28" i="46"/>
  <c r="F28" i="51" s="1"/>
  <c r="H38" i="46"/>
  <c r="F38" i="51" s="1"/>
  <c r="H29" i="46"/>
  <c r="F29" i="51" s="1"/>
  <c r="H24" i="46"/>
  <c r="F24" i="51" s="1"/>
  <c r="H48" i="46"/>
  <c r="H47" i="46"/>
  <c r="H46" i="46"/>
  <c r="H43" i="46"/>
  <c r="H36" i="46"/>
  <c r="F36" i="51" s="1"/>
  <c r="H31" i="46"/>
  <c r="F31" i="51" s="1"/>
  <c r="H30" i="46"/>
  <c r="F30" i="51" s="1"/>
  <c r="H13" i="46"/>
  <c r="F13" i="51" s="1"/>
  <c r="H21" i="46"/>
  <c r="F21" i="51" s="1"/>
  <c r="H27" i="46"/>
  <c r="F27" i="51" s="1"/>
  <c r="H18" i="46"/>
  <c r="F18" i="51" s="1"/>
  <c r="H40" i="46"/>
  <c r="H42" i="46"/>
  <c r="H12" i="46"/>
  <c r="F12" i="51" s="1"/>
  <c r="H32" i="46"/>
  <c r="F32" i="51" s="1"/>
  <c r="H17" i="46"/>
  <c r="F17" i="51" s="1"/>
  <c r="H34" i="46"/>
  <c r="F34" i="51" s="1"/>
  <c r="H37" i="46"/>
  <c r="F37" i="51" s="1"/>
  <c r="H33" i="46"/>
  <c r="F33" i="51" s="1"/>
  <c r="E44" i="40" l="1"/>
  <c r="E51" i="40" s="1"/>
  <c r="F44" i="40" s="1"/>
  <c r="D44" i="51" s="1"/>
  <c r="F44" i="9"/>
  <c r="C44" i="51" s="1"/>
  <c r="F16" i="9"/>
  <c r="C16" i="51" s="1"/>
  <c r="F22" i="9"/>
  <c r="C22" i="51" s="1"/>
  <c r="F30" i="9"/>
  <c r="C30" i="51" s="1"/>
  <c r="F20" i="9"/>
  <c r="C20" i="51" s="1"/>
  <c r="F35" i="9"/>
  <c r="C35" i="51" s="1"/>
  <c r="F39" i="9"/>
  <c r="C39" i="51" s="1"/>
  <c r="F43" i="9"/>
  <c r="C43" i="51" s="1"/>
  <c r="F27" i="9"/>
  <c r="C27" i="51" s="1"/>
  <c r="F46" i="9"/>
  <c r="C46" i="51" s="1"/>
  <c r="F25" i="9"/>
  <c r="C25" i="51" s="1"/>
  <c r="F14" i="9"/>
  <c r="C14" i="51" s="1"/>
  <c r="F32" i="9"/>
  <c r="C32" i="51" s="1"/>
  <c r="F12" i="9"/>
  <c r="C12" i="51" s="1"/>
  <c r="F28" i="9"/>
  <c r="C28" i="51" s="1"/>
  <c r="F29" i="9"/>
  <c r="C29" i="51" s="1"/>
  <c r="F26" i="9"/>
  <c r="C26" i="51" s="1"/>
  <c r="F18" i="9"/>
  <c r="C18" i="51" s="1"/>
  <c r="F37" i="9"/>
  <c r="C37" i="51" s="1"/>
  <c r="F13" i="9"/>
  <c r="C13" i="51" s="1"/>
  <c r="F38" i="9"/>
  <c r="C38" i="51" s="1"/>
  <c r="F24" i="9"/>
  <c r="C24" i="51" s="1"/>
  <c r="F21" i="9"/>
  <c r="C21" i="51" s="1"/>
  <c r="F23" i="9"/>
  <c r="C23" i="51" s="1"/>
  <c r="F15" i="9"/>
  <c r="C15" i="51" s="1"/>
  <c r="F40" i="9"/>
  <c r="C40" i="51" s="1"/>
  <c r="F17" i="9"/>
  <c r="C17" i="51" s="1"/>
  <c r="F50" i="9"/>
  <c r="C50" i="51" s="1"/>
  <c r="F11" i="9"/>
  <c r="C11" i="51" s="1"/>
  <c r="F36" i="9"/>
  <c r="C36" i="51" s="1"/>
  <c r="F31" i="9"/>
  <c r="C31" i="51" s="1"/>
  <c r="F49" i="9"/>
  <c r="C49" i="51" s="1"/>
  <c r="F33" i="9"/>
  <c r="C33" i="51" s="1"/>
  <c r="F42" i="9"/>
  <c r="C42" i="51" s="1"/>
  <c r="F47" i="9"/>
  <c r="C47" i="51" s="1"/>
  <c r="F45" i="9"/>
  <c r="C45" i="51" s="1"/>
  <c r="F48" i="9"/>
  <c r="C48" i="51" s="1"/>
  <c r="F34" i="9"/>
  <c r="C34" i="51" s="1"/>
  <c r="F41" i="9"/>
  <c r="C41" i="51" s="1"/>
  <c r="F19" i="9"/>
  <c r="C19" i="51" s="1"/>
  <c r="F50" i="51"/>
  <c r="H50" i="51"/>
  <c r="F41" i="51"/>
  <c r="H41" i="51"/>
  <c r="H51" i="42"/>
  <c r="F49" i="51"/>
  <c r="H49" i="51"/>
  <c r="H43" i="51"/>
  <c r="F43" i="51"/>
  <c r="H51" i="46"/>
  <c r="F11" i="51"/>
  <c r="H46" i="51"/>
  <c r="F46" i="51"/>
  <c r="BB53" i="120"/>
  <c r="BA53" i="120"/>
  <c r="B53" i="120"/>
  <c r="C3" i="120" s="1"/>
  <c r="B33" i="77"/>
  <c r="B27" i="64"/>
  <c r="H44" i="51"/>
  <c r="F44" i="51"/>
  <c r="H47" i="51"/>
  <c r="F47" i="51"/>
  <c r="H42" i="51"/>
  <c r="F42" i="51"/>
  <c r="E53" i="120"/>
  <c r="E71" i="120" s="1"/>
  <c r="F51" i="58"/>
  <c r="H48" i="51"/>
  <c r="F48" i="51"/>
  <c r="H40" i="51"/>
  <c r="F40" i="51"/>
  <c r="H45" i="51"/>
  <c r="F45" i="51"/>
  <c r="F20" i="40" l="1"/>
  <c r="D20" i="51" s="1"/>
  <c r="F38" i="40"/>
  <c r="D38" i="51" s="1"/>
  <c r="F43" i="40"/>
  <c r="D43" i="51" s="1"/>
  <c r="F46" i="40"/>
  <c r="D46" i="51" s="1"/>
  <c r="F36" i="40"/>
  <c r="D36" i="51" s="1"/>
  <c r="F47" i="40"/>
  <c r="D47" i="51" s="1"/>
  <c r="F30" i="40"/>
  <c r="D30" i="51" s="1"/>
  <c r="F35" i="40"/>
  <c r="D35" i="51" s="1"/>
  <c r="F32" i="40"/>
  <c r="D32" i="51" s="1"/>
  <c r="F31" i="40"/>
  <c r="D31" i="51" s="1"/>
  <c r="F11" i="40"/>
  <c r="D11" i="51" s="1"/>
  <c r="F23" i="40"/>
  <c r="D23" i="51" s="1"/>
  <c r="F27" i="40"/>
  <c r="D27" i="51" s="1"/>
  <c r="F14" i="40"/>
  <c r="D14" i="51" s="1"/>
  <c r="F28" i="40"/>
  <c r="D28" i="51" s="1"/>
  <c r="F50" i="40"/>
  <c r="D50" i="51" s="1"/>
  <c r="F12" i="40"/>
  <c r="D12" i="51" s="1"/>
  <c r="F17" i="40"/>
  <c r="D17" i="51" s="1"/>
  <c r="F21" i="40"/>
  <c r="D21" i="51" s="1"/>
  <c r="F42" i="40"/>
  <c r="D42" i="51" s="1"/>
  <c r="F41" i="40"/>
  <c r="D41" i="51" s="1"/>
  <c r="F37" i="40"/>
  <c r="D37" i="51" s="1"/>
  <c r="F13" i="40"/>
  <c r="D13" i="51" s="1"/>
  <c r="F15" i="40"/>
  <c r="D15" i="51" s="1"/>
  <c r="F25" i="40"/>
  <c r="D25" i="51" s="1"/>
  <c r="F29" i="40"/>
  <c r="D29" i="51" s="1"/>
  <c r="F34" i="40"/>
  <c r="D34" i="51" s="1"/>
  <c r="F49" i="40"/>
  <c r="D49" i="51" s="1"/>
  <c r="F26" i="40"/>
  <c r="D26" i="51" s="1"/>
  <c r="F33" i="40"/>
  <c r="D33" i="51" s="1"/>
  <c r="F40" i="40"/>
  <c r="D40" i="51" s="1"/>
  <c r="F48" i="40"/>
  <c r="D48" i="51" s="1"/>
  <c r="F45" i="40"/>
  <c r="D45" i="51" s="1"/>
  <c r="F18" i="40"/>
  <c r="D18" i="51" s="1"/>
  <c r="F39" i="40"/>
  <c r="D39" i="51" s="1"/>
  <c r="F22" i="40"/>
  <c r="D22" i="51" s="1"/>
  <c r="F24" i="40"/>
  <c r="D24" i="51" s="1"/>
  <c r="F16" i="40"/>
  <c r="D16" i="51" s="1"/>
  <c r="F19" i="40"/>
  <c r="D19" i="51" s="1"/>
  <c r="F51" i="9"/>
  <c r="F51" i="51"/>
  <c r="C51" i="51"/>
  <c r="I50" i="42"/>
  <c r="E50" i="51" s="1"/>
  <c r="I48" i="42"/>
  <c r="E48" i="51" s="1"/>
  <c r="I42" i="42"/>
  <c r="E42" i="51" s="1"/>
  <c r="I23" i="42"/>
  <c r="E23" i="51" s="1"/>
  <c r="I43" i="42"/>
  <c r="E43" i="51" s="1"/>
  <c r="I41" i="42"/>
  <c r="E41" i="51" s="1"/>
  <c r="I49" i="42"/>
  <c r="E49" i="51" s="1"/>
  <c r="I36" i="42"/>
  <c r="E36" i="51" s="1"/>
  <c r="K36" i="51" s="1"/>
  <c r="I13" i="42"/>
  <c r="E13" i="51" s="1"/>
  <c r="I37" i="42"/>
  <c r="E37" i="51" s="1"/>
  <c r="K37" i="51" s="1"/>
  <c r="I15" i="42"/>
  <c r="E15" i="51" s="1"/>
  <c r="I46" i="42"/>
  <c r="E46" i="51" s="1"/>
  <c r="I47" i="42"/>
  <c r="E47" i="51" s="1"/>
  <c r="I28" i="42"/>
  <c r="E28" i="51" s="1"/>
  <c r="I32" i="42"/>
  <c r="E32" i="51" s="1"/>
  <c r="I40" i="42"/>
  <c r="E40" i="51" s="1"/>
  <c r="I17" i="42"/>
  <c r="E17" i="51" s="1"/>
  <c r="I26" i="42"/>
  <c r="E26" i="51" s="1"/>
  <c r="I45" i="42"/>
  <c r="E45" i="51" s="1"/>
  <c r="I38" i="42"/>
  <c r="E38" i="51" s="1"/>
  <c r="I33" i="42"/>
  <c r="E33" i="51" s="1"/>
  <c r="I12" i="42"/>
  <c r="E12" i="51" s="1"/>
  <c r="I18" i="42"/>
  <c r="E18" i="51" s="1"/>
  <c r="I29" i="42"/>
  <c r="E29" i="51" s="1"/>
  <c r="I24" i="42"/>
  <c r="E24" i="51" s="1"/>
  <c r="I25" i="42"/>
  <c r="E25" i="51" s="1"/>
  <c r="I27" i="42"/>
  <c r="E27" i="51" s="1"/>
  <c r="I44" i="42"/>
  <c r="E44" i="51" s="1"/>
  <c r="K44" i="51" s="1"/>
  <c r="I20" i="42"/>
  <c r="E20" i="51" s="1"/>
  <c r="I21" i="42"/>
  <c r="E21" i="51" s="1"/>
  <c r="I22" i="42"/>
  <c r="E22" i="51" s="1"/>
  <c r="I14" i="42"/>
  <c r="E14" i="51" s="1"/>
  <c r="I30" i="42"/>
  <c r="E30" i="51" s="1"/>
  <c r="I39" i="42"/>
  <c r="E39" i="51" s="1"/>
  <c r="I35" i="42"/>
  <c r="E35" i="51" s="1"/>
  <c r="K35" i="51" s="1"/>
  <c r="I34" i="42"/>
  <c r="E34" i="51" s="1"/>
  <c r="I19" i="42"/>
  <c r="E19" i="51" s="1"/>
  <c r="I31" i="42"/>
  <c r="E31" i="51" s="1"/>
  <c r="I16" i="42"/>
  <c r="E16" i="51" s="1"/>
  <c r="I11" i="42"/>
  <c r="H51" i="51"/>
  <c r="B30" i="65"/>
  <c r="H27" i="64"/>
  <c r="B33" i="63"/>
  <c r="F33" i="77"/>
  <c r="K32" i="51" l="1"/>
  <c r="C32" i="58" s="1"/>
  <c r="K29" i="51"/>
  <c r="L29" i="51" s="1"/>
  <c r="K49" i="51"/>
  <c r="C49" i="58" s="1"/>
  <c r="K47" i="51"/>
  <c r="C47" i="58" s="1"/>
  <c r="K46" i="51"/>
  <c r="L46" i="51" s="1"/>
  <c r="K30" i="51"/>
  <c r="L30" i="51" s="1"/>
  <c r="K27" i="51"/>
  <c r="L27" i="51" s="1"/>
  <c r="K14" i="51"/>
  <c r="C14" i="58" s="1"/>
  <c r="K19" i="51"/>
  <c r="C19" i="58" s="1"/>
  <c r="K20" i="51"/>
  <c r="C20" i="58" s="1"/>
  <c r="K31" i="51"/>
  <c r="C31" i="58" s="1"/>
  <c r="K25" i="51"/>
  <c r="L25" i="51" s="1"/>
  <c r="K12" i="51"/>
  <c r="C12" i="58" s="1"/>
  <c r="K24" i="51"/>
  <c r="C24" i="58" s="1"/>
  <c r="K16" i="51"/>
  <c r="L16" i="51" s="1"/>
  <c r="K18" i="51"/>
  <c r="L18" i="51" s="1"/>
  <c r="K33" i="51"/>
  <c r="L33" i="51" s="1"/>
  <c r="K22" i="51"/>
  <c r="L22" i="51" s="1"/>
  <c r="K34" i="51"/>
  <c r="L34" i="51" s="1"/>
  <c r="K40" i="51"/>
  <c r="C40" i="58" s="1"/>
  <c r="K39" i="51"/>
  <c r="L39" i="51" s="1"/>
  <c r="K21" i="51"/>
  <c r="C21" i="58" s="1"/>
  <c r="D51" i="51"/>
  <c r="K15" i="51"/>
  <c r="L15" i="51" s="1"/>
  <c r="K42" i="51"/>
  <c r="L42" i="51" s="1"/>
  <c r="F51" i="40"/>
  <c r="C36" i="58"/>
  <c r="I36" i="58" s="1"/>
  <c r="L36" i="51"/>
  <c r="C37" i="58"/>
  <c r="I37" i="58" s="1"/>
  <c r="L37" i="51"/>
  <c r="C29" i="58"/>
  <c r="B33" i="57"/>
  <c r="E33" i="57" s="1"/>
  <c r="L44" i="51"/>
  <c r="C44" i="58"/>
  <c r="E11" i="51"/>
  <c r="E51" i="51" s="1"/>
  <c r="I51" i="42"/>
  <c r="Q30" i="65"/>
  <c r="R30" i="65"/>
  <c r="L35" i="51"/>
  <c r="C35" i="58"/>
  <c r="I35" i="58" s="1"/>
  <c r="L32" i="51" l="1"/>
  <c r="L49" i="51"/>
  <c r="I49" i="58"/>
  <c r="G49" i="58"/>
  <c r="H49" i="58" s="1"/>
  <c r="D69" i="120" s="1"/>
  <c r="G69" i="120" s="1"/>
  <c r="L47" i="51"/>
  <c r="C46" i="58"/>
  <c r="G47" i="58"/>
  <c r="H47" i="58" s="1"/>
  <c r="D67" i="120" s="1"/>
  <c r="G67" i="120" s="1"/>
  <c r="I47" i="58"/>
  <c r="C30" i="58"/>
  <c r="G30" i="58" s="1"/>
  <c r="C27" i="58"/>
  <c r="G27" i="58" s="1"/>
  <c r="L19" i="51"/>
  <c r="L14" i="51"/>
  <c r="L20" i="51"/>
  <c r="L31" i="51"/>
  <c r="L12" i="51"/>
  <c r="L24" i="51"/>
  <c r="C18" i="58"/>
  <c r="G18" i="58" s="1"/>
  <c r="C33" i="58"/>
  <c r="G33" i="58" s="1"/>
  <c r="L40" i="51"/>
  <c r="C25" i="58"/>
  <c r="G25" i="58" s="1"/>
  <c r="C16" i="58"/>
  <c r="G16" i="58" s="1"/>
  <c r="C34" i="58"/>
  <c r="G34" i="58" s="1"/>
  <c r="C22" i="58"/>
  <c r="G22" i="58" s="1"/>
  <c r="L21" i="51"/>
  <c r="C39" i="58"/>
  <c r="G39" i="58" s="1"/>
  <c r="C42" i="58"/>
  <c r="G42" i="58" s="1"/>
  <c r="C15" i="58"/>
  <c r="G15" i="58" s="1"/>
  <c r="G37" i="58"/>
  <c r="G36" i="58"/>
  <c r="G32" i="58"/>
  <c r="G44" i="58"/>
  <c r="G12" i="58"/>
  <c r="G31" i="58"/>
  <c r="G14" i="58"/>
  <c r="G20" i="58"/>
  <c r="G29" i="58"/>
  <c r="G24" i="58"/>
  <c r="G35" i="58"/>
  <c r="C53" i="74"/>
  <c r="E51" i="57"/>
  <c r="C53" i="66"/>
  <c r="D53" i="66" s="1"/>
  <c r="G40" i="58"/>
  <c r="K11" i="51"/>
  <c r="G19" i="58"/>
  <c r="G21" i="58"/>
  <c r="J69" i="120" l="1"/>
  <c r="K69" i="120" s="1"/>
  <c r="H69" i="120"/>
  <c r="I69" i="120" s="1"/>
  <c r="G46" i="58"/>
  <c r="J67" i="120"/>
  <c r="K67" i="120" s="1"/>
  <c r="H67" i="120"/>
  <c r="I67" i="120" s="1"/>
  <c r="B53" i="74"/>
  <c r="K53" i="74"/>
  <c r="J53" i="74"/>
  <c r="C53" i="76"/>
  <c r="B53" i="66"/>
  <c r="K51" i="51"/>
  <c r="L11" i="51"/>
  <c r="L51" i="51" s="1"/>
  <c r="L52" i="51" s="1"/>
  <c r="C11" i="58"/>
  <c r="N69" i="120" l="1"/>
  <c r="O69" i="120" s="1"/>
  <c r="L69" i="120"/>
  <c r="M69" i="120" s="1"/>
  <c r="N67" i="120"/>
  <c r="O67" i="120" s="1"/>
  <c r="L67" i="120"/>
  <c r="M67" i="120" s="1"/>
  <c r="L53" i="74"/>
  <c r="I53" i="76"/>
  <c r="B53" i="76"/>
  <c r="J53" i="76"/>
  <c r="B53" i="69"/>
  <c r="Y53" i="66"/>
  <c r="D71" i="66"/>
  <c r="C51" i="58"/>
  <c r="G11" i="58"/>
  <c r="R69" i="120" l="1"/>
  <c r="S69" i="120" s="1"/>
  <c r="P69" i="120"/>
  <c r="Q69" i="120" s="1"/>
  <c r="R67" i="120"/>
  <c r="S67" i="120" s="1"/>
  <c r="P67" i="120"/>
  <c r="Q67" i="120" s="1"/>
  <c r="K53" i="76"/>
  <c r="A53" i="69"/>
  <c r="C53" i="69"/>
  <c r="C71" i="69" s="1"/>
  <c r="G51" i="58"/>
  <c r="H46" i="58" s="1"/>
  <c r="N71" i="70"/>
  <c r="D66" i="120" l="1"/>
  <c r="G66" i="120" s="1"/>
  <c r="I46" i="58"/>
  <c r="V69" i="120"/>
  <c r="W69" i="120" s="1"/>
  <c r="T69" i="120"/>
  <c r="U69" i="120" s="1"/>
  <c r="V67" i="120"/>
  <c r="W67" i="120" s="1"/>
  <c r="T67" i="120"/>
  <c r="U67" i="120" s="1"/>
  <c r="H36" i="58"/>
  <c r="H37" i="58"/>
  <c r="H11" i="58"/>
  <c r="I11" i="58" s="1"/>
  <c r="H32" i="58"/>
  <c r="I32" i="58" s="1"/>
  <c r="H42" i="58"/>
  <c r="I42" i="58" s="1"/>
  <c r="H40" i="58"/>
  <c r="I40" i="58" s="1"/>
  <c r="H34" i="58"/>
  <c r="I34" i="58" s="1"/>
  <c r="H20" i="58"/>
  <c r="I20" i="58" s="1"/>
  <c r="H39" i="58"/>
  <c r="I39" i="58" s="1"/>
  <c r="H18" i="58"/>
  <c r="I18" i="58" s="1"/>
  <c r="H27" i="58"/>
  <c r="I27" i="58" s="1"/>
  <c r="H16" i="58"/>
  <c r="I16" i="58" s="1"/>
  <c r="H31" i="58"/>
  <c r="I31" i="58" s="1"/>
  <c r="H30" i="58"/>
  <c r="I30" i="58" s="1"/>
  <c r="H12" i="58"/>
  <c r="I12" i="58" s="1"/>
  <c r="H14" i="58"/>
  <c r="I14" i="58" s="1"/>
  <c r="H15" i="58"/>
  <c r="I15" i="58" s="1"/>
  <c r="H33" i="58"/>
  <c r="I33" i="58" s="1"/>
  <c r="H44" i="58"/>
  <c r="I44" i="58" s="1"/>
  <c r="H35" i="58"/>
  <c r="H19" i="58"/>
  <c r="I19" i="58" s="1"/>
  <c r="H29" i="58"/>
  <c r="I29" i="58" s="1"/>
  <c r="H24" i="58"/>
  <c r="I24" i="58" s="1"/>
  <c r="H25" i="58"/>
  <c r="I25" i="58" s="1"/>
  <c r="H22" i="58"/>
  <c r="I22" i="58" s="1"/>
  <c r="H21" i="58"/>
  <c r="I21" i="58" s="1"/>
  <c r="H66" i="120" l="1"/>
  <c r="I66" i="120" s="1"/>
  <c r="Z69" i="120"/>
  <c r="AA69" i="120" s="1"/>
  <c r="X69" i="120"/>
  <c r="Y69" i="120" s="1"/>
  <c r="Z67" i="120"/>
  <c r="AA67" i="120" s="1"/>
  <c r="X67" i="120"/>
  <c r="Y67" i="120" s="1"/>
  <c r="D31" i="120"/>
  <c r="D57" i="120"/>
  <c r="G57" i="120" s="1"/>
  <c r="D56" i="120"/>
  <c r="G56" i="120" s="1"/>
  <c r="D52" i="120"/>
  <c r="G52" i="120" s="1"/>
  <c r="D35" i="120"/>
  <c r="G35" i="120" s="1"/>
  <c r="D54" i="120"/>
  <c r="G54" i="120" s="1"/>
  <c r="D53" i="120"/>
  <c r="G53" i="120" s="1"/>
  <c r="D55" i="120"/>
  <c r="G55" i="120" s="1"/>
  <c r="D64" i="120"/>
  <c r="G64" i="120" s="1"/>
  <c r="D34" i="120"/>
  <c r="G34" i="120" s="1"/>
  <c r="D41" i="120"/>
  <c r="G41" i="120" s="1"/>
  <c r="D40" i="120"/>
  <c r="G40" i="120" s="1"/>
  <c r="D62" i="120"/>
  <c r="G62" i="120" s="1"/>
  <c r="D32" i="120"/>
  <c r="G32" i="120" s="1"/>
  <c r="D50" i="120"/>
  <c r="G50" i="120" s="1"/>
  <c r="D51" i="120"/>
  <c r="G51" i="120" s="1"/>
  <c r="D36" i="120"/>
  <c r="G36" i="120" s="1"/>
  <c r="D44" i="120"/>
  <c r="G44" i="120" s="1"/>
  <c r="D49" i="120"/>
  <c r="G49" i="120" s="1"/>
  <c r="D38" i="120"/>
  <c r="G38" i="120" s="1"/>
  <c r="H51" i="58"/>
  <c r="D60" i="120"/>
  <c r="G60" i="120" s="1"/>
  <c r="D42" i="120"/>
  <c r="G42" i="120" s="1"/>
  <c r="D45" i="120"/>
  <c r="G45" i="120" s="1"/>
  <c r="D47" i="120"/>
  <c r="G47" i="120" s="1"/>
  <c r="D39" i="120"/>
  <c r="G39" i="120" s="1"/>
  <c r="D59" i="120"/>
  <c r="G59" i="120" s="1"/>
  <c r="AD69" i="120" l="1"/>
  <c r="AE69" i="120" s="1"/>
  <c r="AB69" i="120"/>
  <c r="AC69" i="120" s="1"/>
  <c r="AD67" i="120"/>
  <c r="AE67" i="120" s="1"/>
  <c r="AB67" i="120"/>
  <c r="AC67" i="120" s="1"/>
  <c r="H56" i="120"/>
  <c r="I56" i="120" s="1"/>
  <c r="H57" i="120"/>
  <c r="I57" i="120" s="1"/>
  <c r="H52" i="120"/>
  <c r="I52" i="120" s="1"/>
  <c r="I51" i="58"/>
  <c r="H55" i="120"/>
  <c r="I55" i="120" s="1"/>
  <c r="H40" i="120"/>
  <c r="I40" i="120" s="1"/>
  <c r="H45" i="120"/>
  <c r="I45" i="120" s="1"/>
  <c r="H53" i="120"/>
  <c r="I53" i="120" s="1"/>
  <c r="H36" i="120"/>
  <c r="I36" i="120" s="1"/>
  <c r="H62" i="120"/>
  <c r="I62" i="120" s="1"/>
  <c r="H42" i="120"/>
  <c r="I42" i="120" s="1"/>
  <c r="H41" i="120"/>
  <c r="I41" i="120" s="1"/>
  <c r="H54" i="120"/>
  <c r="I54" i="120" s="1"/>
  <c r="H49" i="120"/>
  <c r="I49" i="120" s="1"/>
  <c r="D71" i="120"/>
  <c r="H51" i="120"/>
  <c r="I51" i="120" s="1"/>
  <c r="H39" i="120"/>
  <c r="I39" i="120" s="1"/>
  <c r="H60" i="120"/>
  <c r="I60" i="120" s="1"/>
  <c r="H34" i="120"/>
  <c r="I34" i="120" s="1"/>
  <c r="H50" i="120"/>
  <c r="I50" i="120" s="1"/>
  <c r="H35" i="120"/>
  <c r="I35" i="120" s="1"/>
  <c r="H47" i="120"/>
  <c r="I47" i="120" s="1"/>
  <c r="H59" i="120"/>
  <c r="I59" i="120" s="1"/>
  <c r="H64" i="120"/>
  <c r="I64" i="120" s="1"/>
  <c r="H44" i="120"/>
  <c r="I44" i="120" s="1"/>
  <c r="H38" i="120"/>
  <c r="I38" i="120" s="1"/>
  <c r="H32" i="120"/>
  <c r="I32" i="120" s="1"/>
  <c r="AH69" i="120" l="1"/>
  <c r="AI69" i="120" s="1"/>
  <c r="AF69" i="120"/>
  <c r="AG69" i="120" s="1"/>
  <c r="AH67" i="120"/>
  <c r="AI67" i="120" s="1"/>
  <c r="AF67" i="120"/>
  <c r="AG67" i="120" s="1"/>
  <c r="BD31" i="120"/>
  <c r="G31" i="120" s="1"/>
  <c r="F71" i="120"/>
  <c r="J57" i="120"/>
  <c r="K57" i="120" s="1"/>
  <c r="J55" i="120"/>
  <c r="K55" i="120" s="1"/>
  <c r="AL69" i="120" l="1"/>
  <c r="AM69" i="120" s="1"/>
  <c r="AJ69" i="120"/>
  <c r="AK69" i="120" s="1"/>
  <c r="AL67" i="120"/>
  <c r="AM67" i="120" s="1"/>
  <c r="AJ67" i="120"/>
  <c r="AK67" i="120" s="1"/>
  <c r="G71" i="120"/>
  <c r="H31" i="120"/>
  <c r="J56" i="120"/>
  <c r="K56" i="120" s="1"/>
  <c r="L56" i="120" s="1"/>
  <c r="M56" i="120" s="1"/>
  <c r="N57" i="120"/>
  <c r="O57" i="120" s="1"/>
  <c r="L57" i="120"/>
  <c r="M57" i="120" s="1"/>
  <c r="L55" i="120"/>
  <c r="M55" i="120" s="1"/>
  <c r="AP69" i="120" l="1"/>
  <c r="AN69" i="120"/>
  <c r="AO69" i="120" s="1"/>
  <c r="AP67" i="120"/>
  <c r="AN67" i="120"/>
  <c r="AO67" i="120" s="1"/>
  <c r="I31" i="120"/>
  <c r="J49" i="120" s="1"/>
  <c r="K49" i="120" s="1"/>
  <c r="L49" i="120" s="1"/>
  <c r="M49" i="120" s="1"/>
  <c r="H71" i="120"/>
  <c r="R57" i="120"/>
  <c r="S57" i="120" s="1"/>
  <c r="P57" i="120"/>
  <c r="Q57" i="120" s="1"/>
  <c r="J66" i="120" l="1"/>
  <c r="K66" i="120" s="1"/>
  <c r="AQ69" i="120"/>
  <c r="AQ67" i="120"/>
  <c r="J31" i="120"/>
  <c r="K31" i="120" s="1"/>
  <c r="L31" i="120" s="1"/>
  <c r="J47" i="120"/>
  <c r="K47" i="120" s="1"/>
  <c r="L47" i="120" s="1"/>
  <c r="M47" i="120" s="1"/>
  <c r="I71" i="120"/>
  <c r="J54" i="120"/>
  <c r="K54" i="120" s="1"/>
  <c r="L54" i="120" s="1"/>
  <c r="M54" i="120" s="1"/>
  <c r="J35" i="120"/>
  <c r="K35" i="120" s="1"/>
  <c r="L35" i="120" s="1"/>
  <c r="M35" i="120" s="1"/>
  <c r="J45" i="120"/>
  <c r="K45" i="120" s="1"/>
  <c r="L45" i="120" s="1"/>
  <c r="M45" i="120" s="1"/>
  <c r="J52" i="120"/>
  <c r="K52" i="120" s="1"/>
  <c r="L52" i="120" s="1"/>
  <c r="M52" i="120" s="1"/>
  <c r="J59" i="120"/>
  <c r="K59" i="120" s="1"/>
  <c r="L59" i="120" s="1"/>
  <c r="M59" i="120" s="1"/>
  <c r="J50" i="120"/>
  <c r="K50" i="120" s="1"/>
  <c r="L50" i="120" s="1"/>
  <c r="M50" i="120" s="1"/>
  <c r="J34" i="120"/>
  <c r="K34" i="120" s="1"/>
  <c r="L34" i="120" s="1"/>
  <c r="M34" i="120" s="1"/>
  <c r="J42" i="120"/>
  <c r="K42" i="120" s="1"/>
  <c r="L42" i="120" s="1"/>
  <c r="M42" i="120" s="1"/>
  <c r="J32" i="120"/>
  <c r="K32" i="120" s="1"/>
  <c r="L32" i="120" s="1"/>
  <c r="M32" i="120" s="1"/>
  <c r="J36" i="120"/>
  <c r="K36" i="120" s="1"/>
  <c r="L36" i="120" s="1"/>
  <c r="M36" i="120" s="1"/>
  <c r="J62" i="120"/>
  <c r="K62" i="120" s="1"/>
  <c r="L62" i="120" s="1"/>
  <c r="M62" i="120" s="1"/>
  <c r="J39" i="120"/>
  <c r="K39" i="120" s="1"/>
  <c r="L39" i="120" s="1"/>
  <c r="M39" i="120" s="1"/>
  <c r="J51" i="120"/>
  <c r="K51" i="120" s="1"/>
  <c r="L51" i="120" s="1"/>
  <c r="M51" i="120" s="1"/>
  <c r="J44" i="120"/>
  <c r="K44" i="120" s="1"/>
  <c r="L44" i="120" s="1"/>
  <c r="M44" i="120" s="1"/>
  <c r="J64" i="120"/>
  <c r="K64" i="120" s="1"/>
  <c r="L64" i="120" s="1"/>
  <c r="M64" i="120" s="1"/>
  <c r="J40" i="120"/>
  <c r="K40" i="120" s="1"/>
  <c r="L40" i="120" s="1"/>
  <c r="M40" i="120" s="1"/>
  <c r="J60" i="120"/>
  <c r="K60" i="120" s="1"/>
  <c r="L60" i="120" s="1"/>
  <c r="M60" i="120" s="1"/>
  <c r="J38" i="120"/>
  <c r="K38" i="120" s="1"/>
  <c r="L38" i="120" s="1"/>
  <c r="M38" i="120" s="1"/>
  <c r="J53" i="120"/>
  <c r="K53" i="120" s="1"/>
  <c r="L53" i="120" s="1"/>
  <c r="M53" i="120" s="1"/>
  <c r="J41" i="120"/>
  <c r="K41" i="120" s="1"/>
  <c r="L41" i="120" s="1"/>
  <c r="M41" i="120" s="1"/>
  <c r="V57" i="120"/>
  <c r="W57" i="120" s="1"/>
  <c r="T57" i="120"/>
  <c r="U57" i="120" s="1"/>
  <c r="L66" i="120" l="1"/>
  <c r="M66" i="120" s="1"/>
  <c r="AT69" i="120"/>
  <c r="AR69" i="120"/>
  <c r="AS69" i="120" s="1"/>
  <c r="AT67" i="120"/>
  <c r="AR67" i="120"/>
  <c r="AS67" i="120" s="1"/>
  <c r="K71" i="120"/>
  <c r="J71" i="120"/>
  <c r="Z57" i="120"/>
  <c r="AA57" i="120" s="1"/>
  <c r="X57" i="120"/>
  <c r="Y57" i="120" s="1"/>
  <c r="M31" i="120"/>
  <c r="N62" i="120" s="1"/>
  <c r="O62" i="120" s="1"/>
  <c r="L71" i="120" l="1"/>
  <c r="N66" i="120"/>
  <c r="O66" i="120" s="1"/>
  <c r="N41" i="120"/>
  <c r="O41" i="120" s="1"/>
  <c r="P41" i="120" s="1"/>
  <c r="Q41" i="120" s="1"/>
  <c r="N32" i="120"/>
  <c r="O32" i="120" s="1"/>
  <c r="N55" i="120"/>
  <c r="O55" i="120" s="1"/>
  <c r="N38" i="120"/>
  <c r="O38" i="120" s="1"/>
  <c r="P38" i="120" s="1"/>
  <c r="Q38" i="120" s="1"/>
  <c r="N56" i="120"/>
  <c r="O56" i="120" s="1"/>
  <c r="P56" i="120" s="1"/>
  <c r="Q56" i="120" s="1"/>
  <c r="N54" i="120"/>
  <c r="O54" i="120" s="1"/>
  <c r="P54" i="120" s="1"/>
  <c r="Q54" i="120" s="1"/>
  <c r="N49" i="120"/>
  <c r="O49" i="120" s="1"/>
  <c r="P49" i="120" s="1"/>
  <c r="Q49" i="120" s="1"/>
  <c r="N40" i="120"/>
  <c r="O40" i="120" s="1"/>
  <c r="P40" i="120" s="1"/>
  <c r="Q40" i="120" s="1"/>
  <c r="N35" i="120"/>
  <c r="O35" i="120" s="1"/>
  <c r="P35" i="120" s="1"/>
  <c r="Q35" i="120" s="1"/>
  <c r="N36" i="120"/>
  <c r="O36" i="120" s="1"/>
  <c r="P36" i="120" s="1"/>
  <c r="Q36" i="120" s="1"/>
  <c r="N42" i="120"/>
  <c r="O42" i="120" s="1"/>
  <c r="P42" i="120" s="1"/>
  <c r="Q42" i="120" s="1"/>
  <c r="N45" i="120"/>
  <c r="O45" i="120" s="1"/>
  <c r="P45" i="120" s="1"/>
  <c r="Q45" i="120" s="1"/>
  <c r="AD57" i="120"/>
  <c r="AE57" i="120" s="1"/>
  <c r="AB57" i="120"/>
  <c r="AC57" i="120" s="1"/>
  <c r="M71" i="120"/>
  <c r="N34" i="120"/>
  <c r="O34" i="120" s="1"/>
  <c r="P34" i="120" s="1"/>
  <c r="Q34" i="120" s="1"/>
  <c r="N39" i="120"/>
  <c r="O39" i="120" s="1"/>
  <c r="P39" i="120" s="1"/>
  <c r="Q39" i="120" s="1"/>
  <c r="N52" i="120"/>
  <c r="O52" i="120" s="1"/>
  <c r="P52" i="120" s="1"/>
  <c r="Q52" i="120" s="1"/>
  <c r="N59" i="120"/>
  <c r="O59" i="120" s="1"/>
  <c r="P59" i="120" s="1"/>
  <c r="Q59" i="120" s="1"/>
  <c r="N64" i="120"/>
  <c r="O64" i="120" s="1"/>
  <c r="P64" i="120" s="1"/>
  <c r="Q64" i="120" s="1"/>
  <c r="N51" i="120"/>
  <c r="O51" i="120" s="1"/>
  <c r="P51" i="120" s="1"/>
  <c r="Q51" i="120" s="1"/>
  <c r="N44" i="120"/>
  <c r="O44" i="120" s="1"/>
  <c r="P44" i="120" s="1"/>
  <c r="Q44" i="120" s="1"/>
  <c r="N47" i="120"/>
  <c r="O47" i="120" s="1"/>
  <c r="P47" i="120" s="1"/>
  <c r="Q47" i="120" s="1"/>
  <c r="N53" i="120"/>
  <c r="O53" i="120" s="1"/>
  <c r="P53" i="120" s="1"/>
  <c r="Q53" i="120" s="1"/>
  <c r="N60" i="120"/>
  <c r="O60" i="120" s="1"/>
  <c r="P60" i="120" s="1"/>
  <c r="Q60" i="120" s="1"/>
  <c r="N50" i="120"/>
  <c r="O50" i="120" s="1"/>
  <c r="P62" i="120"/>
  <c r="Q62" i="120" s="1"/>
  <c r="N31" i="120"/>
  <c r="O31" i="120" s="1"/>
  <c r="P31" i="120" s="1"/>
  <c r="Q31" i="120" s="1"/>
  <c r="P55" i="120"/>
  <c r="Q55" i="120" s="1"/>
  <c r="P66" i="120" l="1"/>
  <c r="Q66" i="120" s="1"/>
  <c r="AH57" i="120"/>
  <c r="AI57" i="120" s="1"/>
  <c r="AF57" i="120"/>
  <c r="AG57" i="120" s="1"/>
  <c r="P50" i="120"/>
  <c r="Q50" i="120" s="1"/>
  <c r="O71" i="120"/>
  <c r="N71" i="120"/>
  <c r="P32" i="120"/>
  <c r="AL57" i="120" l="1"/>
  <c r="AM57" i="120" s="1"/>
  <c r="AJ57" i="120"/>
  <c r="AK57" i="120" s="1"/>
  <c r="P71" i="120"/>
  <c r="Q32" i="120"/>
  <c r="R66" i="120" s="1"/>
  <c r="S66" i="120" s="1"/>
  <c r="T66" i="120" l="1"/>
  <c r="U66" i="120" s="1"/>
  <c r="R45" i="120"/>
  <c r="S45" i="120" s="1"/>
  <c r="T45" i="120" s="1"/>
  <c r="U45" i="120" s="1"/>
  <c r="R49" i="120"/>
  <c r="S49" i="120" s="1"/>
  <c r="T49" i="120" s="1"/>
  <c r="U49" i="120" s="1"/>
  <c r="R50" i="120"/>
  <c r="S50" i="120" s="1"/>
  <c r="T50" i="120" s="1"/>
  <c r="U50" i="120" s="1"/>
  <c r="R38" i="120"/>
  <c r="S38" i="120" s="1"/>
  <c r="T38" i="120" s="1"/>
  <c r="U38" i="120" s="1"/>
  <c r="R55" i="120"/>
  <c r="S55" i="120" s="1"/>
  <c r="T55" i="120" s="1"/>
  <c r="U55" i="120" s="1"/>
  <c r="R56" i="120"/>
  <c r="S56" i="120" s="1"/>
  <c r="R31" i="120"/>
  <c r="S31" i="120" s="1"/>
  <c r="T31" i="120" s="1"/>
  <c r="AP57" i="120"/>
  <c r="AN57" i="120"/>
  <c r="AO57" i="120" s="1"/>
  <c r="R47" i="120"/>
  <c r="S47" i="120" s="1"/>
  <c r="T47" i="120" s="1"/>
  <c r="U47" i="120" s="1"/>
  <c r="R44" i="120"/>
  <c r="S44" i="120" s="1"/>
  <c r="T44" i="120" s="1"/>
  <c r="U44" i="120" s="1"/>
  <c r="R60" i="120"/>
  <c r="S60" i="120" s="1"/>
  <c r="T60" i="120" s="1"/>
  <c r="U60" i="120" s="1"/>
  <c r="R35" i="120"/>
  <c r="S35" i="120" s="1"/>
  <c r="T35" i="120" s="1"/>
  <c r="U35" i="120" s="1"/>
  <c r="R39" i="120"/>
  <c r="S39" i="120" s="1"/>
  <c r="T39" i="120" s="1"/>
  <c r="U39" i="120" s="1"/>
  <c r="R40" i="120"/>
  <c r="S40" i="120" s="1"/>
  <c r="T40" i="120" s="1"/>
  <c r="U40" i="120" s="1"/>
  <c r="R34" i="120"/>
  <c r="S34" i="120" s="1"/>
  <c r="T34" i="120" s="1"/>
  <c r="U34" i="120" s="1"/>
  <c r="R42" i="120"/>
  <c r="S42" i="120" s="1"/>
  <c r="T42" i="120" s="1"/>
  <c r="U42" i="120" s="1"/>
  <c r="R62" i="120"/>
  <c r="S62" i="120" s="1"/>
  <c r="Q71" i="120"/>
  <c r="R36" i="120"/>
  <c r="S36" i="120" s="1"/>
  <c r="T36" i="120" s="1"/>
  <c r="U36" i="120" s="1"/>
  <c r="R41" i="120"/>
  <c r="S41" i="120" s="1"/>
  <c r="T41" i="120" s="1"/>
  <c r="U41" i="120" s="1"/>
  <c r="R54" i="120"/>
  <c r="S54" i="120" s="1"/>
  <c r="R53" i="120"/>
  <c r="S53" i="120" s="1"/>
  <c r="R32" i="120"/>
  <c r="S32" i="120" s="1"/>
  <c r="T32" i="120" s="1"/>
  <c r="U32" i="120" s="1"/>
  <c r="R51" i="120"/>
  <c r="S51" i="120" s="1"/>
  <c r="R52" i="120"/>
  <c r="S52" i="120" s="1"/>
  <c r="R59" i="120"/>
  <c r="S59" i="120" s="1"/>
  <c r="R64" i="120"/>
  <c r="S64" i="120" s="1"/>
  <c r="T56" i="120" l="1"/>
  <c r="U56" i="120" s="1"/>
  <c r="AQ57" i="120"/>
  <c r="AT57" i="120" s="1"/>
  <c r="T62" i="120"/>
  <c r="U62" i="120" s="1"/>
  <c r="U31" i="120"/>
  <c r="R71" i="120"/>
  <c r="T64" i="120"/>
  <c r="U64" i="120" s="1"/>
  <c r="T59" i="120"/>
  <c r="U59" i="120" s="1"/>
  <c r="T52" i="120"/>
  <c r="U52" i="120" s="1"/>
  <c r="T51" i="120"/>
  <c r="T53" i="120"/>
  <c r="U53" i="120" s="1"/>
  <c r="T54" i="120"/>
  <c r="U54" i="120" s="1"/>
  <c r="S71" i="120"/>
  <c r="AR57" i="120" l="1"/>
  <c r="AS57" i="120" s="1"/>
  <c r="U51" i="120"/>
  <c r="V32" i="120" s="1"/>
  <c r="W32" i="120" s="1"/>
  <c r="X32" i="120" s="1"/>
  <c r="Y32" i="120" s="1"/>
  <c r="T71" i="120"/>
  <c r="V66" i="120" l="1"/>
  <c r="W66" i="120" s="1"/>
  <c r="V41" i="120"/>
  <c r="W41" i="120" s="1"/>
  <c r="X41" i="120" s="1"/>
  <c r="Y41" i="120" s="1"/>
  <c r="V44" i="120"/>
  <c r="W44" i="120" s="1"/>
  <c r="X44" i="120" s="1"/>
  <c r="Y44" i="120" s="1"/>
  <c r="V56" i="120"/>
  <c r="W56" i="120" s="1"/>
  <c r="V55" i="120"/>
  <c r="W55" i="120" s="1"/>
  <c r="V40" i="120"/>
  <c r="W40" i="120" s="1"/>
  <c r="X40" i="120" s="1"/>
  <c r="Y40" i="120" s="1"/>
  <c r="V47" i="120"/>
  <c r="W47" i="120" s="1"/>
  <c r="X47" i="120" s="1"/>
  <c r="Y47" i="120" s="1"/>
  <c r="U71" i="120"/>
  <c r="V53" i="120"/>
  <c r="W53" i="120" s="1"/>
  <c r="X53" i="120" s="1"/>
  <c r="Y53" i="120" s="1"/>
  <c r="V60" i="120"/>
  <c r="W60" i="120" s="1"/>
  <c r="X60" i="120" s="1"/>
  <c r="Y60" i="120" s="1"/>
  <c r="V50" i="120"/>
  <c r="W50" i="120" s="1"/>
  <c r="V36" i="120"/>
  <c r="W36" i="120" s="1"/>
  <c r="X36" i="120" s="1"/>
  <c r="Y36" i="120" s="1"/>
  <c r="V39" i="120"/>
  <c r="W39" i="120" s="1"/>
  <c r="X39" i="120" s="1"/>
  <c r="Y39" i="120" s="1"/>
  <c r="V31" i="120"/>
  <c r="W31" i="120" s="1"/>
  <c r="V38" i="120"/>
  <c r="W38" i="120" s="1"/>
  <c r="X38" i="120" s="1"/>
  <c r="Y38" i="120" s="1"/>
  <c r="V34" i="120"/>
  <c r="W34" i="120" s="1"/>
  <c r="X34" i="120" s="1"/>
  <c r="Y34" i="120" s="1"/>
  <c r="V35" i="120"/>
  <c r="W35" i="120" s="1"/>
  <c r="X35" i="120" s="1"/>
  <c r="Y35" i="120" s="1"/>
  <c r="V62" i="120"/>
  <c r="W62" i="120" s="1"/>
  <c r="V54" i="120"/>
  <c r="W54" i="120" s="1"/>
  <c r="V51" i="120"/>
  <c r="W51" i="120" s="1"/>
  <c r="V45" i="120"/>
  <c r="W45" i="120" s="1"/>
  <c r="V42" i="120"/>
  <c r="W42" i="120" s="1"/>
  <c r="V49" i="120"/>
  <c r="W49" i="120" s="1"/>
  <c r="V59" i="120"/>
  <c r="W59" i="120" s="1"/>
  <c r="V64" i="120"/>
  <c r="W64" i="120" s="1"/>
  <c r="V52" i="120"/>
  <c r="W52" i="120" s="1"/>
  <c r="X66" i="120" l="1"/>
  <c r="Y66" i="120" s="1"/>
  <c r="X55" i="120"/>
  <c r="Y55" i="120" s="1"/>
  <c r="X56" i="120"/>
  <c r="Y56" i="120" s="1"/>
  <c r="X50" i="120"/>
  <c r="Y50" i="120" s="1"/>
  <c r="X62" i="120"/>
  <c r="Y62" i="120" s="1"/>
  <c r="X59" i="120"/>
  <c r="Y59" i="120" s="1"/>
  <c r="X49" i="120"/>
  <c r="Y49" i="120" s="1"/>
  <c r="X42" i="120"/>
  <c r="Y42" i="120" s="1"/>
  <c r="X45" i="120"/>
  <c r="Y45" i="120" s="1"/>
  <c r="X51" i="120"/>
  <c r="Y51" i="120" s="1"/>
  <c r="X54" i="120"/>
  <c r="Y54" i="120" s="1"/>
  <c r="X52" i="120"/>
  <c r="Y52" i="120" s="1"/>
  <c r="V71" i="120"/>
  <c r="X64" i="120"/>
  <c r="Y64" i="120" s="1"/>
  <c r="W71" i="120"/>
  <c r="X31" i="120"/>
  <c r="X71" i="120" l="1"/>
  <c r="Y31" i="120"/>
  <c r="Z53" i="120" s="1"/>
  <c r="AA53" i="120" s="1"/>
  <c r="Z66" i="120" l="1"/>
  <c r="AA66" i="120" s="1"/>
  <c r="Z49" i="120"/>
  <c r="AA49" i="120" s="1"/>
  <c r="AB49" i="120" s="1"/>
  <c r="AC49" i="120" s="1"/>
  <c r="Z42" i="120"/>
  <c r="AA42" i="120" s="1"/>
  <c r="AB42" i="120" s="1"/>
  <c r="AC42" i="120" s="1"/>
  <c r="Z39" i="120"/>
  <c r="AA39" i="120" s="1"/>
  <c r="AB39" i="120" s="1"/>
  <c r="AC39" i="120" s="1"/>
  <c r="Z38" i="120"/>
  <c r="AA38" i="120" s="1"/>
  <c r="AB38" i="120" s="1"/>
  <c r="AC38" i="120" s="1"/>
  <c r="Z55" i="120"/>
  <c r="AA55" i="120" s="1"/>
  <c r="AB55" i="120" s="1"/>
  <c r="AC55" i="120" s="1"/>
  <c r="Z56" i="120"/>
  <c r="AA56" i="120" s="1"/>
  <c r="Z60" i="120"/>
  <c r="AA60" i="120" s="1"/>
  <c r="AB60" i="120" s="1"/>
  <c r="AC60" i="120" s="1"/>
  <c r="Z59" i="120"/>
  <c r="AA59" i="120" s="1"/>
  <c r="AB59" i="120" s="1"/>
  <c r="AC59" i="120" s="1"/>
  <c r="Z31" i="120"/>
  <c r="AA31" i="120" s="1"/>
  <c r="AB31" i="120" s="1"/>
  <c r="AC31" i="120" s="1"/>
  <c r="Z64" i="120"/>
  <c r="AA64" i="120" s="1"/>
  <c r="AB64" i="120" s="1"/>
  <c r="AC64" i="120" s="1"/>
  <c r="Z50" i="120"/>
  <c r="AA50" i="120" s="1"/>
  <c r="AB50" i="120" s="1"/>
  <c r="AC50" i="120" s="1"/>
  <c r="Z40" i="120"/>
  <c r="AA40" i="120" s="1"/>
  <c r="AB40" i="120" s="1"/>
  <c r="AC40" i="120" s="1"/>
  <c r="Z35" i="120"/>
  <c r="AA35" i="120" s="1"/>
  <c r="AB35" i="120" s="1"/>
  <c r="AC35" i="120" s="1"/>
  <c r="Z62" i="120"/>
  <c r="AA62" i="120" s="1"/>
  <c r="Z51" i="120"/>
  <c r="AA51" i="120" s="1"/>
  <c r="AB51" i="120" s="1"/>
  <c r="AC51" i="120" s="1"/>
  <c r="Z34" i="120"/>
  <c r="AA34" i="120" s="1"/>
  <c r="AB34" i="120" s="1"/>
  <c r="AC34" i="120" s="1"/>
  <c r="AB53" i="120"/>
  <c r="AC53" i="120" s="1"/>
  <c r="Z32" i="120"/>
  <c r="AA32" i="120" s="1"/>
  <c r="AB32" i="120" s="1"/>
  <c r="AC32" i="120" s="1"/>
  <c r="Y71" i="120"/>
  <c r="Z41" i="120"/>
  <c r="AA41" i="120" s="1"/>
  <c r="AB41" i="120" s="1"/>
  <c r="AC41" i="120" s="1"/>
  <c r="Z36" i="120"/>
  <c r="AA36" i="120" s="1"/>
  <c r="AB36" i="120" s="1"/>
  <c r="AC36" i="120" s="1"/>
  <c r="Z44" i="120"/>
  <c r="AA44" i="120" s="1"/>
  <c r="Z47" i="120"/>
  <c r="AA47" i="120" s="1"/>
  <c r="Z54" i="120"/>
  <c r="AA54" i="120" s="1"/>
  <c r="Z52" i="120"/>
  <c r="AA52" i="120" s="1"/>
  <c r="Z45" i="120"/>
  <c r="AA45" i="120" s="1"/>
  <c r="AB66" i="120" l="1"/>
  <c r="AC66" i="120" s="1"/>
  <c r="AB56" i="120"/>
  <c r="AC56" i="120" s="1"/>
  <c r="AB62" i="120"/>
  <c r="AC62" i="120" s="1"/>
  <c r="Z71" i="120"/>
  <c r="AB54" i="120"/>
  <c r="AC54" i="120" s="1"/>
  <c r="AB44" i="120"/>
  <c r="AC44" i="120" s="1"/>
  <c r="AB47" i="120"/>
  <c r="AC47" i="120" s="1"/>
  <c r="AB45" i="120"/>
  <c r="AC45" i="120" s="1"/>
  <c r="AB52" i="120"/>
  <c r="AC52" i="120" s="1"/>
  <c r="AA71" i="120"/>
  <c r="AD66" i="120" l="1"/>
  <c r="AE66" i="120" s="1"/>
  <c r="AD50" i="120"/>
  <c r="AE50" i="120" s="1"/>
  <c r="AF50" i="120" s="1"/>
  <c r="AG50" i="120" s="1"/>
  <c r="AD56" i="120"/>
  <c r="AE56" i="120" s="1"/>
  <c r="AD55" i="120"/>
  <c r="AE55" i="120" s="1"/>
  <c r="AD64" i="120"/>
  <c r="AE64" i="120" s="1"/>
  <c r="AF64" i="120" s="1"/>
  <c r="AG64" i="120" s="1"/>
  <c r="AD39" i="120"/>
  <c r="AE39" i="120" s="1"/>
  <c r="AF39" i="120" s="1"/>
  <c r="AG39" i="120" s="1"/>
  <c r="AD35" i="120"/>
  <c r="AE35" i="120" s="1"/>
  <c r="AF35" i="120" s="1"/>
  <c r="AG35" i="120" s="1"/>
  <c r="AD38" i="120"/>
  <c r="AE38" i="120" s="1"/>
  <c r="AF38" i="120" s="1"/>
  <c r="AG38" i="120" s="1"/>
  <c r="AD62" i="120"/>
  <c r="AE62" i="120" s="1"/>
  <c r="AD52" i="120"/>
  <c r="AE52" i="120" s="1"/>
  <c r="AF52" i="120" s="1"/>
  <c r="AG52" i="120" s="1"/>
  <c r="AC71" i="120"/>
  <c r="AD51" i="120"/>
  <c r="AE51" i="120" s="1"/>
  <c r="AF51" i="120" s="1"/>
  <c r="AG51" i="120" s="1"/>
  <c r="AD53" i="120"/>
  <c r="AE53" i="120" s="1"/>
  <c r="AF53" i="120" s="1"/>
  <c r="AG53" i="120" s="1"/>
  <c r="AD59" i="120"/>
  <c r="AE59" i="120" s="1"/>
  <c r="AF59" i="120" s="1"/>
  <c r="AG59" i="120" s="1"/>
  <c r="AD54" i="120"/>
  <c r="AE54" i="120" s="1"/>
  <c r="AF54" i="120" s="1"/>
  <c r="AG54" i="120" s="1"/>
  <c r="AD32" i="120"/>
  <c r="AE32" i="120" s="1"/>
  <c r="AF32" i="120" s="1"/>
  <c r="AG32" i="120" s="1"/>
  <c r="AD34" i="120"/>
  <c r="AE34" i="120" s="1"/>
  <c r="AF34" i="120" s="1"/>
  <c r="AG34" i="120" s="1"/>
  <c r="AD49" i="120"/>
  <c r="AE49" i="120" s="1"/>
  <c r="AD47" i="120"/>
  <c r="AE47" i="120" s="1"/>
  <c r="AD45" i="120"/>
  <c r="AE45" i="120" s="1"/>
  <c r="AD60" i="120"/>
  <c r="AE60" i="120" s="1"/>
  <c r="AD31" i="120"/>
  <c r="AD40" i="120"/>
  <c r="AE40" i="120" s="1"/>
  <c r="AF40" i="120" s="1"/>
  <c r="AG40" i="120" s="1"/>
  <c r="AD36" i="120"/>
  <c r="AE36" i="120" s="1"/>
  <c r="AF36" i="120" s="1"/>
  <c r="AG36" i="120" s="1"/>
  <c r="AD41" i="120"/>
  <c r="AE41" i="120" s="1"/>
  <c r="AF41" i="120" s="1"/>
  <c r="AG41" i="120" s="1"/>
  <c r="AB71" i="120"/>
  <c r="AD44" i="120"/>
  <c r="AE44" i="120" s="1"/>
  <c r="AD42" i="120"/>
  <c r="AE42" i="120" s="1"/>
  <c r="AF66" i="120" l="1"/>
  <c r="AG66" i="120" s="1"/>
  <c r="AF55" i="120"/>
  <c r="AG55" i="120" s="1"/>
  <c r="AF56" i="120"/>
  <c r="AG56" i="120" s="1"/>
  <c r="AF62" i="120"/>
  <c r="AG62" i="120" s="1"/>
  <c r="AF42" i="120"/>
  <c r="AG42" i="120" s="1"/>
  <c r="AF49" i="120"/>
  <c r="AG49" i="120" s="1"/>
  <c r="AE31" i="120"/>
  <c r="AD71" i="120"/>
  <c r="AF60" i="120"/>
  <c r="AG60" i="120" s="1"/>
  <c r="AF45" i="120"/>
  <c r="AG45" i="120" s="1"/>
  <c r="AF44" i="120"/>
  <c r="AG44" i="120" s="1"/>
  <c r="AF47" i="120"/>
  <c r="AG47" i="120" s="1"/>
  <c r="AF31" i="120" l="1"/>
  <c r="AE71" i="120"/>
  <c r="AG31" i="120" l="1"/>
  <c r="AF71" i="120"/>
  <c r="AH38" i="120" l="1"/>
  <c r="AI38" i="120" s="1"/>
  <c r="AJ38" i="120" s="1"/>
  <c r="AK38" i="120" s="1"/>
  <c r="AH66" i="120"/>
  <c r="AI66" i="120" s="1"/>
  <c r="AH45" i="120"/>
  <c r="AI45" i="120" s="1"/>
  <c r="AJ45" i="120" s="1"/>
  <c r="AK45" i="120" s="1"/>
  <c r="AH60" i="120"/>
  <c r="AI60" i="120" s="1"/>
  <c r="AJ60" i="120" s="1"/>
  <c r="AK60" i="120" s="1"/>
  <c r="AH49" i="120"/>
  <c r="AI49" i="120" s="1"/>
  <c r="AJ49" i="120" s="1"/>
  <c r="AK49" i="120" s="1"/>
  <c r="AH55" i="120"/>
  <c r="AI55" i="120" s="1"/>
  <c r="AJ55" i="120" s="1"/>
  <c r="AK55" i="120" s="1"/>
  <c r="AH56" i="120"/>
  <c r="AI56" i="120" s="1"/>
  <c r="AH64" i="120"/>
  <c r="AI64" i="120" s="1"/>
  <c r="AJ64" i="120" s="1"/>
  <c r="AK64" i="120" s="1"/>
  <c r="AH59" i="120"/>
  <c r="AI59" i="120" s="1"/>
  <c r="AJ59" i="120" s="1"/>
  <c r="AK59" i="120" s="1"/>
  <c r="AH36" i="120"/>
  <c r="AI36" i="120" s="1"/>
  <c r="AJ36" i="120" s="1"/>
  <c r="AK36" i="120" s="1"/>
  <c r="AH31" i="120"/>
  <c r="AI31" i="120" s="1"/>
  <c r="AH32" i="120"/>
  <c r="AI32" i="120" s="1"/>
  <c r="AJ32" i="120" s="1"/>
  <c r="AK32" i="120" s="1"/>
  <c r="AH44" i="120"/>
  <c r="AI44" i="120" s="1"/>
  <c r="AJ44" i="120" s="1"/>
  <c r="AK44" i="120" s="1"/>
  <c r="AH52" i="120"/>
  <c r="AI52" i="120" s="1"/>
  <c r="AJ52" i="120" s="1"/>
  <c r="AK52" i="120" s="1"/>
  <c r="AH50" i="120"/>
  <c r="AI50" i="120" s="1"/>
  <c r="AJ50" i="120" s="1"/>
  <c r="AK50" i="120" s="1"/>
  <c r="AH39" i="120"/>
  <c r="AI39" i="120" s="1"/>
  <c r="AJ39" i="120" s="1"/>
  <c r="AK39" i="120" s="1"/>
  <c r="AH35" i="120"/>
  <c r="AI35" i="120" s="1"/>
  <c r="AJ35" i="120" s="1"/>
  <c r="AK35" i="120" s="1"/>
  <c r="AH62" i="120"/>
  <c r="AI62" i="120" s="1"/>
  <c r="AH42" i="120"/>
  <c r="AI42" i="120" s="1"/>
  <c r="AJ42" i="120" s="1"/>
  <c r="AK42" i="120" s="1"/>
  <c r="AH40" i="120"/>
  <c r="AI40" i="120" s="1"/>
  <c r="AJ40" i="120" s="1"/>
  <c r="AK40" i="120" s="1"/>
  <c r="AH41" i="120"/>
  <c r="AI41" i="120" s="1"/>
  <c r="AJ41" i="120" s="1"/>
  <c r="AK41" i="120" s="1"/>
  <c r="AH34" i="120"/>
  <c r="AI34" i="120" s="1"/>
  <c r="AJ34" i="120" s="1"/>
  <c r="AK34" i="120" s="1"/>
  <c r="AH54" i="120"/>
  <c r="AI54" i="120" s="1"/>
  <c r="AJ54" i="120" s="1"/>
  <c r="AK54" i="120" s="1"/>
  <c r="AH53" i="120"/>
  <c r="AI53" i="120" s="1"/>
  <c r="AJ53" i="120" s="1"/>
  <c r="AK53" i="120" s="1"/>
  <c r="AH51" i="120"/>
  <c r="AI51" i="120" s="1"/>
  <c r="AJ51" i="120" s="1"/>
  <c r="AK51" i="120" s="1"/>
  <c r="AG71" i="120"/>
  <c r="AH47" i="120"/>
  <c r="AI47" i="120" s="1"/>
  <c r="AJ66" i="120" l="1"/>
  <c r="AK66" i="120" s="1"/>
  <c r="AJ56" i="120"/>
  <c r="AK56" i="120" s="1"/>
  <c r="AJ62" i="120"/>
  <c r="AK62" i="120" s="1"/>
  <c r="AJ47" i="120"/>
  <c r="AK47" i="120" s="1"/>
  <c r="AI71" i="120"/>
  <c r="AJ31" i="120"/>
  <c r="AH71" i="120"/>
  <c r="AK31" i="120" l="1"/>
  <c r="AL50" i="120" s="1"/>
  <c r="AM50" i="120" s="1"/>
  <c r="AJ71" i="120"/>
  <c r="AL66" i="120" l="1"/>
  <c r="AM66" i="120" s="1"/>
  <c r="AL41" i="120"/>
  <c r="AM41" i="120" s="1"/>
  <c r="AN41" i="120" s="1"/>
  <c r="AO41" i="120" s="1"/>
  <c r="AL56" i="120"/>
  <c r="AM56" i="120" s="1"/>
  <c r="AN56" i="120" s="1"/>
  <c r="AO56" i="120" s="1"/>
  <c r="AL55" i="120"/>
  <c r="AM55" i="120" s="1"/>
  <c r="AN55" i="120" s="1"/>
  <c r="AO55" i="120" s="1"/>
  <c r="AL59" i="120"/>
  <c r="AM59" i="120" s="1"/>
  <c r="AN59" i="120" s="1"/>
  <c r="AO59" i="120" s="1"/>
  <c r="AL52" i="120"/>
  <c r="AM52" i="120" s="1"/>
  <c r="AN52" i="120" s="1"/>
  <c r="AO52" i="120" s="1"/>
  <c r="AL54" i="120"/>
  <c r="AM54" i="120" s="1"/>
  <c r="AN54" i="120" s="1"/>
  <c r="AO54" i="120" s="1"/>
  <c r="AL49" i="120"/>
  <c r="AM49" i="120" s="1"/>
  <c r="AN49" i="120" s="1"/>
  <c r="AO49" i="120" s="1"/>
  <c r="AL44" i="120"/>
  <c r="AM44" i="120" s="1"/>
  <c r="AN44" i="120" s="1"/>
  <c r="AO44" i="120" s="1"/>
  <c r="AL40" i="120"/>
  <c r="AM40" i="120" s="1"/>
  <c r="AN40" i="120" s="1"/>
  <c r="AO40" i="120" s="1"/>
  <c r="AL32" i="120"/>
  <c r="AM32" i="120" s="1"/>
  <c r="AN32" i="120" s="1"/>
  <c r="AO32" i="120" s="1"/>
  <c r="AL39" i="120"/>
  <c r="AM39" i="120" s="1"/>
  <c r="AN39" i="120" s="1"/>
  <c r="AO39" i="120" s="1"/>
  <c r="AL35" i="120"/>
  <c r="AM35" i="120" s="1"/>
  <c r="AN35" i="120" s="1"/>
  <c r="AO35" i="120" s="1"/>
  <c r="AL38" i="120"/>
  <c r="AM38" i="120" s="1"/>
  <c r="AN38" i="120" s="1"/>
  <c r="AO38" i="120" s="1"/>
  <c r="AN50" i="120"/>
  <c r="AO50" i="120" s="1"/>
  <c r="AL62" i="120"/>
  <c r="AM62" i="120" s="1"/>
  <c r="AN62" i="120" s="1"/>
  <c r="AO62" i="120" s="1"/>
  <c r="AK71" i="120"/>
  <c r="AL60" i="120"/>
  <c r="AM60" i="120" s="1"/>
  <c r="AL34" i="120"/>
  <c r="AM34" i="120" s="1"/>
  <c r="AN34" i="120" s="1"/>
  <c r="AO34" i="120" s="1"/>
  <c r="AL36" i="120"/>
  <c r="AM36" i="120" s="1"/>
  <c r="AL42" i="120"/>
  <c r="AM42" i="120" s="1"/>
  <c r="AL53" i="120"/>
  <c r="AM53" i="120" s="1"/>
  <c r="AL31" i="120"/>
  <c r="AL64" i="120"/>
  <c r="AM64" i="120" s="1"/>
  <c r="AL47" i="120"/>
  <c r="AM47" i="120" s="1"/>
  <c r="AL51" i="120"/>
  <c r="AM51" i="120" s="1"/>
  <c r="AL45" i="120"/>
  <c r="AM45" i="120" s="1"/>
  <c r="AN66" i="120" l="1"/>
  <c r="AO66" i="120" s="1"/>
  <c r="AN36" i="120"/>
  <c r="AO36" i="120" s="1"/>
  <c r="AN42" i="120"/>
  <c r="AO42" i="120" s="1"/>
  <c r="AN51" i="120"/>
  <c r="AO51" i="120" s="1"/>
  <c r="AN47" i="120"/>
  <c r="AO47" i="120" s="1"/>
  <c r="AN60" i="120"/>
  <c r="AO60" i="120" s="1"/>
  <c r="AN64" i="120"/>
  <c r="AO64" i="120" s="1"/>
  <c r="AM31" i="120"/>
  <c r="AL71" i="120"/>
  <c r="AN45" i="120"/>
  <c r="AO45" i="120" s="1"/>
  <c r="AN53" i="120"/>
  <c r="AO53" i="120" s="1"/>
  <c r="AM71" i="120" l="1"/>
  <c r="AN31" i="120"/>
  <c r="AN71" i="120" l="1"/>
  <c r="AO31" i="120"/>
  <c r="AP66" i="120" s="1"/>
  <c r="AQ66" i="120" s="1"/>
  <c r="AR66" i="120" l="1"/>
  <c r="AS66" i="120" s="1"/>
  <c r="AP42" i="120"/>
  <c r="AQ42" i="120" s="1"/>
  <c r="AP36" i="120"/>
  <c r="AQ36" i="120" s="1"/>
  <c r="AR36" i="120" s="1"/>
  <c r="AS36" i="120" s="1"/>
  <c r="AP38" i="120"/>
  <c r="AP56" i="120"/>
  <c r="AQ56" i="120" s="1"/>
  <c r="AR56" i="120" s="1"/>
  <c r="AS56" i="120" s="1"/>
  <c r="AP55" i="120"/>
  <c r="AQ55" i="120" s="1"/>
  <c r="AP50" i="120"/>
  <c r="AP39" i="120"/>
  <c r="AP59" i="120"/>
  <c r="AP35" i="120"/>
  <c r="AP44" i="120"/>
  <c r="AP62" i="120"/>
  <c r="AP40" i="120"/>
  <c r="AP49" i="120"/>
  <c r="AP34" i="120"/>
  <c r="AP41" i="120"/>
  <c r="AO71" i="120"/>
  <c r="AP64" i="120"/>
  <c r="AP31" i="120"/>
  <c r="AP45" i="120"/>
  <c r="AP54" i="120"/>
  <c r="AP53" i="120"/>
  <c r="AP51" i="120"/>
  <c r="AP52" i="120"/>
  <c r="AP60" i="120"/>
  <c r="AP32" i="120"/>
  <c r="AP47" i="120"/>
  <c r="AR42" i="120" l="1"/>
  <c r="AS42" i="120" s="1"/>
  <c r="AQ47" i="120"/>
  <c r="AR47" i="120" s="1"/>
  <c r="AS47" i="120" s="1"/>
  <c r="AQ51" i="120"/>
  <c r="AR51" i="120" s="1"/>
  <c r="AS51" i="120" s="1"/>
  <c r="AQ45" i="120"/>
  <c r="AR45" i="120" s="1"/>
  <c r="AS45" i="120" s="1"/>
  <c r="AQ40" i="120"/>
  <c r="AR40" i="120" s="1"/>
  <c r="AS40" i="120" s="1"/>
  <c r="AQ59" i="120"/>
  <c r="AR59" i="120" s="1"/>
  <c r="AS59" i="120" s="1"/>
  <c r="AQ62" i="120"/>
  <c r="AR62" i="120" s="1"/>
  <c r="AS62" i="120" s="1"/>
  <c r="AQ41" i="120"/>
  <c r="AR41" i="120" s="1"/>
  <c r="AS41" i="120" s="1"/>
  <c r="AQ60" i="120"/>
  <c r="AR60" i="120" s="1"/>
  <c r="AS60" i="120" s="1"/>
  <c r="AQ64" i="120"/>
  <c r="AR64" i="120" s="1"/>
  <c r="AS64" i="120" s="1"/>
  <c r="AQ34" i="120"/>
  <c r="AR34" i="120" s="1"/>
  <c r="AS34" i="120" s="1"/>
  <c r="AQ44" i="120"/>
  <c r="AR44" i="120" s="1"/>
  <c r="AS44" i="120" s="1"/>
  <c r="AQ50" i="120"/>
  <c r="AR50" i="120" s="1"/>
  <c r="AS50" i="120" s="1"/>
  <c r="AQ32" i="120"/>
  <c r="AR32" i="120" s="1"/>
  <c r="AS32" i="120" s="1"/>
  <c r="AQ39" i="120"/>
  <c r="AR39" i="120" s="1"/>
  <c r="AS39" i="120" s="1"/>
  <c r="AQ53" i="120"/>
  <c r="AR53" i="120" s="1"/>
  <c r="AS53" i="120" s="1"/>
  <c r="AQ52" i="120"/>
  <c r="AR52" i="120" s="1"/>
  <c r="AS52" i="120" s="1"/>
  <c r="AQ54" i="120"/>
  <c r="AR54" i="120" s="1"/>
  <c r="AS54" i="120" s="1"/>
  <c r="AQ49" i="120"/>
  <c r="AR49" i="120" s="1"/>
  <c r="AS49" i="120" s="1"/>
  <c r="AQ35" i="120"/>
  <c r="AR35" i="120" s="1"/>
  <c r="AS35" i="120" s="1"/>
  <c r="AQ38" i="120"/>
  <c r="AR55" i="120"/>
  <c r="AS55" i="120" s="1"/>
  <c r="AQ31" i="120"/>
  <c r="AP71" i="120"/>
  <c r="AR38" i="120" l="1"/>
  <c r="AS38" i="120" s="1"/>
  <c r="AQ71" i="120"/>
  <c r="AR31" i="120"/>
  <c r="AS31" i="120" l="1"/>
  <c r="AT40" i="120" s="1"/>
  <c r="AR71" i="120"/>
  <c r="AT66" i="120" l="1"/>
  <c r="AT49" i="120"/>
  <c r="AT42" i="120"/>
  <c r="AT45" i="120"/>
  <c r="AT38" i="120"/>
  <c r="AT41" i="120"/>
  <c r="AT47" i="120"/>
  <c r="AT44" i="120"/>
  <c r="AT55" i="120"/>
  <c r="AT56" i="120"/>
  <c r="AT53" i="120"/>
  <c r="AT59" i="120"/>
  <c r="AT52" i="120"/>
  <c r="AT64" i="120"/>
  <c r="AT36" i="120"/>
  <c r="AT39" i="120"/>
  <c r="AT50" i="120"/>
  <c r="AT35" i="120"/>
  <c r="AT62" i="120"/>
  <c r="AT60" i="120"/>
  <c r="AT32" i="120"/>
  <c r="AT34" i="120"/>
  <c r="AS71" i="120"/>
  <c r="AT54" i="120"/>
  <c r="AT31" i="120"/>
  <c r="AU69" i="120" s="1"/>
  <c r="AT51" i="120"/>
  <c r="AV69" i="120" l="1"/>
  <c r="C43" i="64" s="1"/>
  <c r="E43" i="64" s="1"/>
  <c r="C46" i="65"/>
  <c r="C49" i="77"/>
  <c r="AU66" i="120"/>
  <c r="AV66" i="120" s="1"/>
  <c r="C40" i="64" s="1"/>
  <c r="E40" i="64" s="1"/>
  <c r="AU67" i="120"/>
  <c r="AU59" i="120"/>
  <c r="AU54" i="120"/>
  <c r="AU51" i="120"/>
  <c r="C31" i="77" s="1"/>
  <c r="AU34" i="120"/>
  <c r="C14" i="77" s="1"/>
  <c r="AU35" i="120"/>
  <c r="AU64" i="120"/>
  <c r="C44" i="77" s="1"/>
  <c r="G44" i="77" s="1"/>
  <c r="AU41" i="120"/>
  <c r="AU42" i="120"/>
  <c r="AU49" i="120"/>
  <c r="AU32" i="120"/>
  <c r="AU50" i="120"/>
  <c r="AU52" i="120"/>
  <c r="AU38" i="120"/>
  <c r="AU44" i="120"/>
  <c r="AU40" i="120"/>
  <c r="AU60" i="120"/>
  <c r="AU39" i="120"/>
  <c r="C19" i="77" s="1"/>
  <c r="AU62" i="120"/>
  <c r="AU36" i="120"/>
  <c r="AU53" i="120"/>
  <c r="AV53" i="120" s="1"/>
  <c r="C27" i="64" s="1"/>
  <c r="E27" i="64" s="1"/>
  <c r="AU47" i="120"/>
  <c r="AU45" i="120"/>
  <c r="AU31" i="120"/>
  <c r="AV55" i="120"/>
  <c r="C29" i="64" s="1"/>
  <c r="E29" i="64" s="1"/>
  <c r="AT71" i="120"/>
  <c r="C46" i="77" l="1"/>
  <c r="J46" i="77" s="1"/>
  <c r="G49" i="77"/>
  <c r="J49" i="77"/>
  <c r="C43" i="65"/>
  <c r="K43" i="65" s="1"/>
  <c r="K46" i="65"/>
  <c r="S46" i="65"/>
  <c r="H46" i="65" s="1"/>
  <c r="I46" i="65" s="1"/>
  <c r="AV67" i="120"/>
  <c r="C41" i="64" s="1"/>
  <c r="E41" i="64" s="1"/>
  <c r="C44" i="65"/>
  <c r="C47" i="77"/>
  <c r="C32" i="65"/>
  <c r="S32" i="65" s="1"/>
  <c r="H32" i="65" s="1"/>
  <c r="I32" i="65" s="1"/>
  <c r="C35" i="77"/>
  <c r="J35" i="77" s="1"/>
  <c r="C33" i="65"/>
  <c r="AV56" i="120"/>
  <c r="C30" i="64" s="1"/>
  <c r="E30" i="64" s="1"/>
  <c r="C36" i="77"/>
  <c r="C34" i="65"/>
  <c r="AV57" i="120"/>
  <c r="C31" i="64" s="1"/>
  <c r="E31" i="64" s="1"/>
  <c r="C37" i="77"/>
  <c r="AV62" i="120"/>
  <c r="C36" i="64" s="1"/>
  <c r="E36" i="64" s="1"/>
  <c r="C42" i="77"/>
  <c r="C16" i="65"/>
  <c r="S16" i="65" s="1"/>
  <c r="H16" i="65" s="1"/>
  <c r="I16" i="65" s="1"/>
  <c r="AV39" i="120"/>
  <c r="C13" i="64" s="1"/>
  <c r="E13" i="64" s="1"/>
  <c r="C33" i="77"/>
  <c r="J33" i="77" s="1"/>
  <c r="C28" i="65"/>
  <c r="S28" i="65" s="1"/>
  <c r="H28" i="65" s="1"/>
  <c r="I28" i="65" s="1"/>
  <c r="AV51" i="120"/>
  <c r="C25" i="64" s="1"/>
  <c r="E25" i="64" s="1"/>
  <c r="C30" i="65"/>
  <c r="S30" i="65" s="1"/>
  <c r="H30" i="65" s="1"/>
  <c r="I30" i="65" s="1"/>
  <c r="C27" i="65"/>
  <c r="C30" i="77"/>
  <c r="AV50" i="120"/>
  <c r="C24" i="64" s="1"/>
  <c r="E24" i="64" s="1"/>
  <c r="AV34" i="120"/>
  <c r="C8" i="64" s="1"/>
  <c r="E8" i="64" s="1"/>
  <c r="C11" i="65"/>
  <c r="S11" i="65" s="1"/>
  <c r="H11" i="65" s="1"/>
  <c r="I11" i="65" s="1"/>
  <c r="G19" i="77"/>
  <c r="J19" i="77"/>
  <c r="C18" i="77"/>
  <c r="AV38" i="120"/>
  <c r="C12" i="64" s="1"/>
  <c r="E12" i="64" s="1"/>
  <c r="C15" i="65"/>
  <c r="AV35" i="120"/>
  <c r="C9" i="64" s="1"/>
  <c r="E9" i="64" s="1"/>
  <c r="C12" i="65"/>
  <c r="C15" i="77"/>
  <c r="C39" i="65"/>
  <c r="K39" i="65" s="1"/>
  <c r="C24" i="65"/>
  <c r="C27" i="77"/>
  <c r="AV47" i="120"/>
  <c r="C21" i="64" s="1"/>
  <c r="E21" i="64" s="1"/>
  <c r="C24" i="77"/>
  <c r="AV44" i="120"/>
  <c r="C18" i="64" s="1"/>
  <c r="E18" i="64" s="1"/>
  <c r="C21" i="65"/>
  <c r="C8" i="65"/>
  <c r="AU71" i="120"/>
  <c r="C11" i="77"/>
  <c r="AV31" i="120"/>
  <c r="AV41" i="120"/>
  <c r="C15" i="64" s="1"/>
  <c r="E15" i="64" s="1"/>
  <c r="C21" i="77"/>
  <c r="C18" i="65"/>
  <c r="C19" i="65"/>
  <c r="C22" i="77"/>
  <c r="AV42" i="120"/>
  <c r="C16" i="64" s="1"/>
  <c r="E16" i="64" s="1"/>
  <c r="C39" i="77"/>
  <c r="AV59" i="120"/>
  <c r="C33" i="64" s="1"/>
  <c r="E33" i="64" s="1"/>
  <c r="C36" i="65"/>
  <c r="C16" i="77"/>
  <c r="C13" i="65"/>
  <c r="AV36" i="120"/>
  <c r="C10" i="64" s="1"/>
  <c r="E10" i="64" s="1"/>
  <c r="C9" i="65"/>
  <c r="AV32" i="120"/>
  <c r="C6" i="64" s="1"/>
  <c r="E6" i="64" s="1"/>
  <c r="C12" i="77"/>
  <c r="AV60" i="120"/>
  <c r="C34" i="64" s="1"/>
  <c r="E34" i="64" s="1"/>
  <c r="C37" i="65"/>
  <c r="C40" i="77"/>
  <c r="C17" i="65"/>
  <c r="AV40" i="120"/>
  <c r="C14" i="64" s="1"/>
  <c r="E14" i="64" s="1"/>
  <c r="C20" i="77"/>
  <c r="G31" i="77"/>
  <c r="J31" i="77"/>
  <c r="J14" i="77"/>
  <c r="G14" i="77"/>
  <c r="AV54" i="120"/>
  <c r="C28" i="64" s="1"/>
  <c r="E28" i="64" s="1"/>
  <c r="C34" i="77"/>
  <c r="C31" i="65"/>
  <c r="C29" i="77"/>
  <c r="AV49" i="120"/>
  <c r="C23" i="64" s="1"/>
  <c r="E23" i="64" s="1"/>
  <c r="C26" i="65"/>
  <c r="AV52" i="120"/>
  <c r="C26" i="64" s="1"/>
  <c r="E26" i="64" s="1"/>
  <c r="C32" i="77"/>
  <c r="C29" i="65"/>
  <c r="C25" i="77"/>
  <c r="AV45" i="120"/>
  <c r="C19" i="64" s="1"/>
  <c r="E19" i="64" s="1"/>
  <c r="C22" i="65"/>
  <c r="C41" i="65"/>
  <c r="AV64" i="120"/>
  <c r="C38" i="64" s="1"/>
  <c r="E38" i="64" s="1"/>
  <c r="G46" i="77" l="1"/>
  <c r="L46" i="65"/>
  <c r="M46" i="65" s="1"/>
  <c r="N46" i="65" s="1"/>
  <c r="S43" i="65"/>
  <c r="H43" i="65" s="1"/>
  <c r="I43" i="65" s="1"/>
  <c r="L43" i="65" s="1"/>
  <c r="M43" i="65" s="1"/>
  <c r="N43" i="65" s="1"/>
  <c r="J46" i="65"/>
  <c r="G47" i="77"/>
  <c r="J47" i="77"/>
  <c r="S44" i="65"/>
  <c r="H44" i="65" s="1"/>
  <c r="K44" i="65"/>
  <c r="G35" i="77"/>
  <c r="G33" i="77"/>
  <c r="S34" i="65"/>
  <c r="H34" i="65" s="1"/>
  <c r="I34" i="65" s="1"/>
  <c r="J36" i="77"/>
  <c r="G36" i="77"/>
  <c r="G37" i="77"/>
  <c r="J37" i="77"/>
  <c r="S33" i="65"/>
  <c r="H33" i="65" s="1"/>
  <c r="I33" i="65" s="1"/>
  <c r="J32" i="65"/>
  <c r="K32" i="65" s="1"/>
  <c r="L32" i="65" s="1"/>
  <c r="M32" i="65" s="1"/>
  <c r="N32" i="65" s="1"/>
  <c r="K16" i="65"/>
  <c r="L16" i="65" s="1"/>
  <c r="M16" i="65" s="1"/>
  <c r="N16" i="65" s="1"/>
  <c r="G42" i="77"/>
  <c r="J42" i="77"/>
  <c r="S39" i="65"/>
  <c r="H39" i="65" s="1"/>
  <c r="I39" i="65" s="1"/>
  <c r="L39" i="65" s="1"/>
  <c r="M39" i="65" s="1"/>
  <c r="N39" i="65" s="1"/>
  <c r="J30" i="77"/>
  <c r="G30" i="77"/>
  <c r="S27" i="65"/>
  <c r="H27" i="65" s="1"/>
  <c r="I27" i="65" s="1"/>
  <c r="J16" i="65"/>
  <c r="J15" i="77"/>
  <c r="G15" i="77"/>
  <c r="S12" i="65"/>
  <c r="H12" i="65" s="1"/>
  <c r="I12" i="65" s="1"/>
  <c r="S15" i="65"/>
  <c r="H15" i="65" s="1"/>
  <c r="I15" i="65" s="1"/>
  <c r="G18" i="77"/>
  <c r="J18" i="77"/>
  <c r="J28" i="65"/>
  <c r="K28" i="65" s="1"/>
  <c r="L28" i="65" s="1"/>
  <c r="M28" i="65" s="1"/>
  <c r="N28" i="65" s="1"/>
  <c r="J11" i="65"/>
  <c r="K11" i="65" s="1"/>
  <c r="L11" i="65" s="1"/>
  <c r="M11" i="65" s="1"/>
  <c r="N11" i="65" s="1"/>
  <c r="J44" i="77"/>
  <c r="S9" i="65"/>
  <c r="H9" i="65" s="1"/>
  <c r="I9" i="65" s="1"/>
  <c r="C5" i="64"/>
  <c r="AV71" i="120"/>
  <c r="S13" i="65"/>
  <c r="H13" i="65" s="1"/>
  <c r="I13" i="65" s="1"/>
  <c r="G11" i="77"/>
  <c r="C51" i="77"/>
  <c r="J11" i="77"/>
  <c r="S41" i="65"/>
  <c r="H41" i="65" s="1"/>
  <c r="I41" i="65" s="1"/>
  <c r="K41" i="65"/>
  <c r="S22" i="65"/>
  <c r="H22" i="65" s="1"/>
  <c r="I22" i="65" s="1"/>
  <c r="S26" i="65"/>
  <c r="H26" i="65" s="1"/>
  <c r="I26" i="65" s="1"/>
  <c r="J20" i="77"/>
  <c r="G20" i="77"/>
  <c r="G16" i="77"/>
  <c r="J16" i="77"/>
  <c r="G21" i="77"/>
  <c r="J21" i="77"/>
  <c r="S36" i="65"/>
  <c r="H36" i="65" s="1"/>
  <c r="I36" i="65" s="1"/>
  <c r="K8" i="65"/>
  <c r="S8" i="65"/>
  <c r="H8" i="65" s="1"/>
  <c r="I8" i="65" s="1"/>
  <c r="C48" i="65"/>
  <c r="J25" i="77"/>
  <c r="G25" i="77"/>
  <c r="G29" i="77"/>
  <c r="J29" i="77"/>
  <c r="S17" i="65"/>
  <c r="H17" i="65" s="1"/>
  <c r="I17" i="65" s="1"/>
  <c r="S21" i="65"/>
  <c r="H21" i="65" s="1"/>
  <c r="I21" i="65" s="1"/>
  <c r="J30" i="65"/>
  <c r="K30" i="65" s="1"/>
  <c r="L30" i="65" s="1"/>
  <c r="M30" i="65" s="1"/>
  <c r="N30" i="65" s="1"/>
  <c r="S29" i="65"/>
  <c r="H29" i="65" s="1"/>
  <c r="I29" i="65" s="1"/>
  <c r="S31" i="65"/>
  <c r="H31" i="65" s="1"/>
  <c r="I31" i="65" s="1"/>
  <c r="G39" i="77"/>
  <c r="J39" i="77"/>
  <c r="J32" i="77"/>
  <c r="G32" i="77"/>
  <c r="J34" i="77"/>
  <c r="G34" i="77"/>
  <c r="J40" i="77"/>
  <c r="G40" i="77"/>
  <c r="J24" i="77"/>
  <c r="G24" i="77"/>
  <c r="S37" i="65"/>
  <c r="H37" i="65" s="1"/>
  <c r="I37" i="65" s="1"/>
  <c r="G22" i="77"/>
  <c r="J22" i="77"/>
  <c r="S19" i="65"/>
  <c r="H19" i="65" s="1"/>
  <c r="I19" i="65" s="1"/>
  <c r="K19" i="65"/>
  <c r="J27" i="77"/>
  <c r="G27" i="77"/>
  <c r="G12" i="77"/>
  <c r="J12" i="77"/>
  <c r="S18" i="65"/>
  <c r="H18" i="65" s="1"/>
  <c r="I18" i="65" s="1"/>
  <c r="K24" i="65"/>
  <c r="S24" i="65"/>
  <c r="H24" i="65" s="1"/>
  <c r="I24" i="65" s="1"/>
  <c r="J43" i="65" l="1"/>
  <c r="I44" i="65"/>
  <c r="L44" i="65" s="1"/>
  <c r="M44" i="65" s="1"/>
  <c r="N44" i="65" s="1"/>
  <c r="J44" i="65"/>
  <c r="J33" i="65"/>
  <c r="K33" i="65" s="1"/>
  <c r="L33" i="65" s="1"/>
  <c r="M33" i="65" s="1"/>
  <c r="N33" i="65" s="1"/>
  <c r="J34" i="65"/>
  <c r="K34" i="65" s="1"/>
  <c r="L34" i="65" s="1"/>
  <c r="M34" i="65" s="1"/>
  <c r="N34" i="65" s="1"/>
  <c r="J39" i="65"/>
  <c r="J12" i="65"/>
  <c r="K12" i="65" s="1"/>
  <c r="L12" i="65" s="1"/>
  <c r="M12" i="65" s="1"/>
  <c r="N12" i="65" s="1"/>
  <c r="J27" i="65"/>
  <c r="K27" i="65" s="1"/>
  <c r="L27" i="65" s="1"/>
  <c r="M27" i="65" s="1"/>
  <c r="N27" i="65" s="1"/>
  <c r="J15" i="65"/>
  <c r="K15" i="65" s="1"/>
  <c r="L15" i="65" s="1"/>
  <c r="M15" i="65" s="1"/>
  <c r="N15" i="65" s="1"/>
  <c r="J9" i="65"/>
  <c r="K9" i="65" s="1"/>
  <c r="L9" i="65" s="1"/>
  <c r="M9" i="65" s="1"/>
  <c r="N9" i="65" s="1"/>
  <c r="J29" i="65"/>
  <c r="K29" i="65" s="1"/>
  <c r="L29" i="65" s="1"/>
  <c r="M29" i="65" s="1"/>
  <c r="N29" i="65" s="1"/>
  <c r="J13" i="65"/>
  <c r="K13" i="65" s="1"/>
  <c r="L13" i="65" s="1"/>
  <c r="M13" i="65" s="1"/>
  <c r="N13" i="65" s="1"/>
  <c r="J37" i="65"/>
  <c r="K37" i="65" s="1"/>
  <c r="L37" i="65" s="1"/>
  <c r="M37" i="65" s="1"/>
  <c r="N37" i="65" s="1"/>
  <c r="J31" i="65"/>
  <c r="K31" i="65" s="1"/>
  <c r="L31" i="65" s="1"/>
  <c r="M31" i="65" s="1"/>
  <c r="N31" i="65" s="1"/>
  <c r="J8" i="65"/>
  <c r="L24" i="65"/>
  <c r="M24" i="65" s="1"/>
  <c r="N24" i="65" s="1"/>
  <c r="J17" i="65"/>
  <c r="K17" i="65" s="1"/>
  <c r="L17" i="65" s="1"/>
  <c r="M17" i="65" s="1"/>
  <c r="N17" i="65" s="1"/>
  <c r="L19" i="65"/>
  <c r="M19" i="65" s="1"/>
  <c r="N19" i="65" s="1"/>
  <c r="J26" i="65"/>
  <c r="K26" i="65" s="1"/>
  <c r="L26" i="65" s="1"/>
  <c r="M26" i="65" s="1"/>
  <c r="N26" i="65" s="1"/>
  <c r="J41" i="65"/>
  <c r="J21" i="65"/>
  <c r="K21" i="65" s="1"/>
  <c r="L21" i="65" s="1"/>
  <c r="M21" i="65" s="1"/>
  <c r="N21" i="65" s="1"/>
  <c r="J36" i="65"/>
  <c r="K36" i="65" s="1"/>
  <c r="L36" i="65" s="1"/>
  <c r="M36" i="65" s="1"/>
  <c r="N36" i="65" s="1"/>
  <c r="E5" i="64"/>
  <c r="C45" i="64"/>
  <c r="J22" i="65"/>
  <c r="K22" i="65" s="1"/>
  <c r="L22" i="65" s="1"/>
  <c r="M22" i="65" s="1"/>
  <c r="N22" i="65" s="1"/>
  <c r="J24" i="65"/>
  <c r="J19" i="65"/>
  <c r="L41" i="65"/>
  <c r="M41" i="65" s="1"/>
  <c r="N41" i="65" s="1"/>
  <c r="J18" i="65"/>
  <c r="K18" i="65" s="1"/>
  <c r="L18" i="65" s="1"/>
  <c r="M18" i="65" s="1"/>
  <c r="N18" i="65" s="1"/>
  <c r="L8" i="65"/>
  <c r="M8" i="65" s="1"/>
  <c r="G51" i="77"/>
  <c r="I48" i="65" l="1"/>
  <c r="H47" i="77"/>
  <c r="H49" i="77"/>
  <c r="H35" i="77"/>
  <c r="C35" i="63" s="1"/>
  <c r="H46" i="77"/>
  <c r="H37" i="77"/>
  <c r="H36" i="77"/>
  <c r="I35" i="77"/>
  <c r="H30" i="77"/>
  <c r="I30" i="77" s="1"/>
  <c r="H44" i="77"/>
  <c r="C44" i="63" s="1"/>
  <c r="D44" i="63" s="1"/>
  <c r="P44" i="63" s="1"/>
  <c r="H42" i="77"/>
  <c r="H12" i="77"/>
  <c r="I12" i="77" s="1"/>
  <c r="H29" i="77"/>
  <c r="H34" i="77"/>
  <c r="I34" i="77" s="1"/>
  <c r="H19" i="77"/>
  <c r="H15" i="77"/>
  <c r="H18" i="77"/>
  <c r="H11" i="77"/>
  <c r="C11" i="63" s="1"/>
  <c r="H40" i="77"/>
  <c r="H27" i="77"/>
  <c r="I27" i="77" s="1"/>
  <c r="H20" i="77"/>
  <c r="I20" i="77" s="1"/>
  <c r="H32" i="77"/>
  <c r="C32" i="63" s="1"/>
  <c r="H21" i="77"/>
  <c r="C21" i="63" s="1"/>
  <c r="H22" i="77"/>
  <c r="I22" i="77" s="1"/>
  <c r="H39" i="77"/>
  <c r="C39" i="63" s="1"/>
  <c r="H16" i="77"/>
  <c r="H24" i="77"/>
  <c r="C24" i="63" s="1"/>
  <c r="N8" i="65"/>
  <c r="N48" i="65" s="1"/>
  <c r="O18" i="65" s="1"/>
  <c r="P18" i="65" s="1"/>
  <c r="M48" i="65"/>
  <c r="E51" i="77"/>
  <c r="F51" i="77" s="1"/>
  <c r="K48" i="65"/>
  <c r="J48" i="65"/>
  <c r="H25" i="77"/>
  <c r="H14" i="77"/>
  <c r="H31" i="77"/>
  <c r="H33" i="77"/>
  <c r="E45" i="64"/>
  <c r="F5" i="64" s="1"/>
  <c r="C49" i="63" l="1"/>
  <c r="D49" i="63" s="1"/>
  <c r="P49" i="63" s="1"/>
  <c r="I49" i="77"/>
  <c r="C47" i="63"/>
  <c r="D47" i="63" s="1"/>
  <c r="P47" i="63" s="1"/>
  <c r="I47" i="77"/>
  <c r="C46" i="63"/>
  <c r="D46" i="63" s="1"/>
  <c r="P46" i="63" s="1"/>
  <c r="I46" i="77"/>
  <c r="C29" i="63"/>
  <c r="D29" i="63" s="1"/>
  <c r="P29" i="63" s="1"/>
  <c r="I29" i="77"/>
  <c r="C16" i="63"/>
  <c r="D16" i="63" s="1"/>
  <c r="P16" i="63" s="1"/>
  <c r="I16" i="77"/>
  <c r="C40" i="63"/>
  <c r="D40" i="63" s="1"/>
  <c r="P40" i="63" s="1"/>
  <c r="I40" i="77"/>
  <c r="C42" i="63"/>
  <c r="D42" i="63" s="1"/>
  <c r="P42" i="63" s="1"/>
  <c r="I42" i="77"/>
  <c r="C34" i="63"/>
  <c r="D34" i="63" s="1"/>
  <c r="P34" i="63" s="1"/>
  <c r="C36" i="63"/>
  <c r="I36" i="77"/>
  <c r="I37" i="77"/>
  <c r="C37" i="63"/>
  <c r="D35" i="63"/>
  <c r="P35" i="63" s="1"/>
  <c r="C30" i="63"/>
  <c r="D30" i="63" s="1"/>
  <c r="P30" i="63" s="1"/>
  <c r="C12" i="63"/>
  <c r="D12" i="63" s="1"/>
  <c r="P12" i="63" s="1"/>
  <c r="I44" i="77"/>
  <c r="I11" i="77"/>
  <c r="C27" i="63"/>
  <c r="D27" i="63" s="1"/>
  <c r="P27" i="63" s="1"/>
  <c r="I19" i="77"/>
  <c r="C19" i="63"/>
  <c r="I39" i="77"/>
  <c r="I18" i="77"/>
  <c r="C18" i="63"/>
  <c r="I15" i="77"/>
  <c r="C15" i="63"/>
  <c r="C22" i="63"/>
  <c r="D22" i="63" s="1"/>
  <c r="P22" i="63" s="1"/>
  <c r="I21" i="77"/>
  <c r="I32" i="77"/>
  <c r="C20" i="63"/>
  <c r="D20" i="63" s="1"/>
  <c r="P20" i="63" s="1"/>
  <c r="O22" i="65"/>
  <c r="P22" i="65" s="1"/>
  <c r="I24" i="77"/>
  <c r="O41" i="65"/>
  <c r="P41" i="65" s="1"/>
  <c r="G5" i="64"/>
  <c r="F13" i="64"/>
  <c r="G13" i="64" s="1"/>
  <c r="F24" i="64"/>
  <c r="G24" i="64" s="1"/>
  <c r="F31" i="64"/>
  <c r="G31" i="64" s="1"/>
  <c r="F12" i="64"/>
  <c r="G12" i="64" s="1"/>
  <c r="F30" i="64"/>
  <c r="G30" i="64" s="1"/>
  <c r="F39" i="64"/>
  <c r="G39" i="64" s="1"/>
  <c r="F7" i="64"/>
  <c r="G7" i="64" s="1"/>
  <c r="F17" i="64"/>
  <c r="G17" i="64" s="1"/>
  <c r="F35" i="64"/>
  <c r="G35" i="64" s="1"/>
  <c r="F29" i="64"/>
  <c r="G29" i="64" s="1"/>
  <c r="F32" i="64"/>
  <c r="G32" i="64" s="1"/>
  <c r="F9" i="64"/>
  <c r="G9" i="64" s="1"/>
  <c r="F43" i="64"/>
  <c r="G43" i="64" s="1"/>
  <c r="F20" i="64"/>
  <c r="G20" i="64" s="1"/>
  <c r="F44" i="64"/>
  <c r="G44" i="64" s="1"/>
  <c r="F41" i="64"/>
  <c r="G41" i="64" s="1"/>
  <c r="F40" i="64"/>
  <c r="G40" i="64" s="1"/>
  <c r="F37" i="64"/>
  <c r="G37" i="64" s="1"/>
  <c r="F42" i="64"/>
  <c r="G42" i="64" s="1"/>
  <c r="F11" i="64"/>
  <c r="G11" i="64" s="1"/>
  <c r="F36" i="64"/>
  <c r="G36" i="64" s="1"/>
  <c r="F22" i="64"/>
  <c r="G22" i="64" s="1"/>
  <c r="F25" i="64"/>
  <c r="G25" i="64" s="1"/>
  <c r="F27" i="64"/>
  <c r="G27" i="64" s="1"/>
  <c r="F8" i="64"/>
  <c r="G8" i="64" s="1"/>
  <c r="F6" i="64"/>
  <c r="G6" i="64" s="1"/>
  <c r="F38" i="64"/>
  <c r="G38" i="64" s="1"/>
  <c r="F16" i="64"/>
  <c r="G16" i="64" s="1"/>
  <c r="F34" i="64"/>
  <c r="G34" i="64" s="1"/>
  <c r="F19" i="64"/>
  <c r="G19" i="64" s="1"/>
  <c r="F21" i="64"/>
  <c r="G21" i="64" s="1"/>
  <c r="F15" i="64"/>
  <c r="G15" i="64" s="1"/>
  <c r="F23" i="64"/>
  <c r="G23" i="64" s="1"/>
  <c r="F26" i="64"/>
  <c r="G26" i="64" s="1"/>
  <c r="F14" i="64"/>
  <c r="G14" i="64" s="1"/>
  <c r="F18" i="64"/>
  <c r="G18" i="64" s="1"/>
  <c r="F28" i="64"/>
  <c r="G28" i="64" s="1"/>
  <c r="F10" i="64"/>
  <c r="G10" i="64" s="1"/>
  <c r="F33" i="64"/>
  <c r="G33" i="64" s="1"/>
  <c r="D21" i="63"/>
  <c r="P21" i="63" s="1"/>
  <c r="C33" i="63"/>
  <c r="I33" i="77"/>
  <c r="D24" i="63"/>
  <c r="P24" i="63" s="1"/>
  <c r="C31" i="63"/>
  <c r="I31" i="77"/>
  <c r="F44" i="63"/>
  <c r="D32" i="63"/>
  <c r="P32" i="63" s="1"/>
  <c r="I14" i="77"/>
  <c r="C14" i="63"/>
  <c r="D39" i="63"/>
  <c r="P39" i="63" s="1"/>
  <c r="C25" i="63"/>
  <c r="I25" i="77"/>
  <c r="H51" i="77"/>
  <c r="D11" i="63"/>
  <c r="F11" i="63" s="1"/>
  <c r="O8" i="65"/>
  <c r="O14" i="65"/>
  <c r="P14" i="65" s="1"/>
  <c r="O15" i="65"/>
  <c r="P15" i="65" s="1"/>
  <c r="O16" i="65"/>
  <c r="P16" i="65" s="1"/>
  <c r="O42" i="65"/>
  <c r="P42" i="65" s="1"/>
  <c r="O46" i="65"/>
  <c r="P46" i="65" s="1"/>
  <c r="O27" i="65"/>
  <c r="P27" i="65" s="1"/>
  <c r="O32" i="65"/>
  <c r="P32" i="65" s="1"/>
  <c r="O43" i="65"/>
  <c r="P43" i="65" s="1"/>
  <c r="O34" i="65"/>
  <c r="P34" i="65" s="1"/>
  <c r="O33" i="65"/>
  <c r="P33" i="65" s="1"/>
  <c r="O39" i="65"/>
  <c r="P39" i="65" s="1"/>
  <c r="O44" i="65"/>
  <c r="P44" i="65" s="1"/>
  <c r="O10" i="65"/>
  <c r="P10" i="65" s="1"/>
  <c r="O45" i="65"/>
  <c r="P45" i="65" s="1"/>
  <c r="O38" i="65"/>
  <c r="P38" i="65" s="1"/>
  <c r="O20" i="65"/>
  <c r="P20" i="65" s="1"/>
  <c r="O47" i="65"/>
  <c r="P47" i="65" s="1"/>
  <c r="O40" i="65"/>
  <c r="P40" i="65" s="1"/>
  <c r="O25" i="65"/>
  <c r="P25" i="65" s="1"/>
  <c r="O35" i="65"/>
  <c r="P35" i="65" s="1"/>
  <c r="O23" i="65"/>
  <c r="P23" i="65" s="1"/>
  <c r="O12" i="65"/>
  <c r="P12" i="65" s="1"/>
  <c r="O11" i="65"/>
  <c r="P11" i="65" s="1"/>
  <c r="O28" i="65"/>
  <c r="P28" i="65" s="1"/>
  <c r="O19" i="65"/>
  <c r="P19" i="65" s="1"/>
  <c r="O31" i="65"/>
  <c r="P31" i="65" s="1"/>
  <c r="O24" i="65"/>
  <c r="P24" i="65" s="1"/>
  <c r="O21" i="65"/>
  <c r="P21" i="65" s="1"/>
  <c r="O13" i="65"/>
  <c r="P13" i="65" s="1"/>
  <c r="O17" i="65"/>
  <c r="P17" i="65" s="1"/>
  <c r="O26" i="65"/>
  <c r="P26" i="65" s="1"/>
  <c r="O29" i="65"/>
  <c r="P29" i="65" s="1"/>
  <c r="O36" i="65"/>
  <c r="P36" i="65" s="1"/>
  <c r="O30" i="65"/>
  <c r="P30" i="65" s="1"/>
  <c r="O37" i="65"/>
  <c r="P37" i="65" s="1"/>
  <c r="O9" i="65"/>
  <c r="P9" i="65" s="1"/>
  <c r="F40" i="63" l="1"/>
  <c r="O47" i="63"/>
  <c r="D47" i="57" s="1"/>
  <c r="D67" i="74" s="1"/>
  <c r="F67" i="74" s="1"/>
  <c r="G67" i="74" s="1"/>
  <c r="H47" i="63"/>
  <c r="I47" i="63" s="1"/>
  <c r="F47" i="63"/>
  <c r="G47" i="63" s="1"/>
  <c r="J47" i="63"/>
  <c r="K47" i="63" s="1"/>
  <c r="N47" i="63"/>
  <c r="C47" i="57" s="1"/>
  <c r="L47" i="63"/>
  <c r="M47" i="63" s="1"/>
  <c r="O49" i="63"/>
  <c r="D49" i="57" s="1"/>
  <c r="D69" i="74" s="1"/>
  <c r="H49" i="63"/>
  <c r="I49" i="63" s="1"/>
  <c r="J49" i="63"/>
  <c r="K49" i="63" s="1"/>
  <c r="L49" i="63"/>
  <c r="M49" i="63" s="1"/>
  <c r="F49" i="63"/>
  <c r="G49" i="63" s="1"/>
  <c r="N49" i="63"/>
  <c r="C49" i="57" s="1"/>
  <c r="F46" i="63"/>
  <c r="G45" i="64"/>
  <c r="F16" i="63"/>
  <c r="F29" i="63"/>
  <c r="F35" i="63"/>
  <c r="D37" i="63"/>
  <c r="P37" i="63" s="1"/>
  <c r="D36" i="63"/>
  <c r="P36" i="63" s="1"/>
  <c r="F42" i="63"/>
  <c r="F30" i="63"/>
  <c r="D19" i="63"/>
  <c r="P19" i="63" s="1"/>
  <c r="D15" i="63"/>
  <c r="P15" i="63" s="1"/>
  <c r="D18" i="63"/>
  <c r="P18" i="63" s="1"/>
  <c r="F32" i="63"/>
  <c r="F21" i="63"/>
  <c r="F27" i="63"/>
  <c r="F22" i="63"/>
  <c r="F34" i="63"/>
  <c r="F20" i="63"/>
  <c r="F12" i="63"/>
  <c r="I51" i="77"/>
  <c r="F39" i="63"/>
  <c r="D33" i="63"/>
  <c r="P33" i="63" s="1"/>
  <c r="D14" i="63"/>
  <c r="P14" i="63" s="1"/>
  <c r="D25" i="63"/>
  <c r="P25" i="63" s="1"/>
  <c r="D31" i="63"/>
  <c r="P31" i="63" s="1"/>
  <c r="F24" i="63"/>
  <c r="F45" i="64"/>
  <c r="C51" i="63"/>
  <c r="P8" i="65"/>
  <c r="P48" i="65" s="1"/>
  <c r="O48" i="65"/>
  <c r="P11" i="63"/>
  <c r="F47" i="57" l="1"/>
  <c r="G47" i="57" s="1"/>
  <c r="E67" i="66"/>
  <c r="G67" i="66" s="1"/>
  <c r="E69" i="66"/>
  <c r="F69" i="66" s="1"/>
  <c r="H69" i="66" s="1"/>
  <c r="F49" i="57"/>
  <c r="G49" i="57" s="1"/>
  <c r="F69" i="74"/>
  <c r="R67" i="70"/>
  <c r="R67" i="71" s="1"/>
  <c r="D67" i="69"/>
  <c r="E67" i="69" s="1"/>
  <c r="N37" i="63"/>
  <c r="C37" i="57" s="1"/>
  <c r="F37" i="63"/>
  <c r="G37" i="63" s="1"/>
  <c r="H37" i="63" s="1"/>
  <c r="I37" i="63" s="1"/>
  <c r="J37" i="63" s="1"/>
  <c r="K37" i="63" s="1"/>
  <c r="L37" i="63" s="1"/>
  <c r="M37" i="63" s="1"/>
  <c r="O37" i="63" s="1"/>
  <c r="D37" i="57" s="1"/>
  <c r="F36" i="63"/>
  <c r="F18" i="63"/>
  <c r="F19" i="63"/>
  <c r="F15" i="63"/>
  <c r="F25" i="63"/>
  <c r="G25" i="63" s="1"/>
  <c r="H25" i="63" s="1"/>
  <c r="I25" i="63" s="1"/>
  <c r="J25" i="63" s="1"/>
  <c r="K25" i="63" s="1"/>
  <c r="L25" i="63" s="1"/>
  <c r="M25" i="63" s="1"/>
  <c r="O25" i="63" s="1"/>
  <c r="F33" i="63"/>
  <c r="F31" i="63"/>
  <c r="F14" i="63"/>
  <c r="P51" i="63"/>
  <c r="D51" i="63"/>
  <c r="G46" i="63" l="1"/>
  <c r="H46" i="63" s="1"/>
  <c r="F67" i="66"/>
  <c r="H67" i="66" s="1"/>
  <c r="J67" i="66" s="1"/>
  <c r="G69" i="66"/>
  <c r="R69" i="70"/>
  <c r="R69" i="71" s="1"/>
  <c r="D69" i="69"/>
  <c r="E69" i="69" s="1"/>
  <c r="G69" i="74"/>
  <c r="J69" i="66"/>
  <c r="I69" i="66"/>
  <c r="W67" i="69"/>
  <c r="H67" i="69"/>
  <c r="G14" i="63"/>
  <c r="H14" i="63" s="1"/>
  <c r="G29" i="63"/>
  <c r="H29" i="63" s="1"/>
  <c r="G21" i="63"/>
  <c r="H21" i="63" s="1"/>
  <c r="G31" i="63"/>
  <c r="H31" i="63" s="1"/>
  <c r="G32" i="63"/>
  <c r="H32" i="63" s="1"/>
  <c r="G36" i="63"/>
  <c r="H36" i="63" s="1"/>
  <c r="I36" i="63" s="1"/>
  <c r="J36" i="63" s="1"/>
  <c r="K36" i="63" s="1"/>
  <c r="L36" i="63" s="1"/>
  <c r="M36" i="63" s="1"/>
  <c r="O36" i="63" s="1"/>
  <c r="G35" i="63"/>
  <c r="H35" i="63" s="1"/>
  <c r="E57" i="66"/>
  <c r="D57" i="74"/>
  <c r="F37" i="57"/>
  <c r="G37" i="57" s="1"/>
  <c r="G42" i="63"/>
  <c r="H42" i="63" s="1"/>
  <c r="G30" i="63"/>
  <c r="H30" i="63" s="1"/>
  <c r="G19" i="63"/>
  <c r="H19" i="63" s="1"/>
  <c r="G16" i="63"/>
  <c r="H16" i="63" s="1"/>
  <c r="G15" i="63"/>
  <c r="H15" i="63" s="1"/>
  <c r="G33" i="63"/>
  <c r="H33" i="63" s="1"/>
  <c r="G12" i="63"/>
  <c r="H12" i="63" s="1"/>
  <c r="G18" i="63"/>
  <c r="H18" i="63" s="1"/>
  <c r="G27" i="63"/>
  <c r="H27" i="63" s="1"/>
  <c r="G24" i="63"/>
  <c r="H24" i="63" s="1"/>
  <c r="G11" i="63"/>
  <c r="H11" i="63" s="1"/>
  <c r="G20" i="63"/>
  <c r="H20" i="63" s="1"/>
  <c r="G39" i="63"/>
  <c r="H39" i="63" s="1"/>
  <c r="G44" i="63"/>
  <c r="H44" i="63" s="1"/>
  <c r="G40" i="63"/>
  <c r="H40" i="63" s="1"/>
  <c r="G22" i="63"/>
  <c r="H22" i="63" s="1"/>
  <c r="G34" i="63"/>
  <c r="H34" i="63" s="1"/>
  <c r="D25" i="57"/>
  <c r="I25" i="57" s="1"/>
  <c r="J25" i="57" s="1"/>
  <c r="I46" i="63" l="1"/>
  <c r="J46" i="63" s="1"/>
  <c r="I67" i="66"/>
  <c r="K67" i="66" s="1"/>
  <c r="M67" i="66" s="1"/>
  <c r="W69" i="69"/>
  <c r="H69" i="69"/>
  <c r="K69" i="66"/>
  <c r="M69" i="66" s="1"/>
  <c r="I14" i="63"/>
  <c r="J14" i="63" s="1"/>
  <c r="I29" i="63"/>
  <c r="J29" i="63" s="1"/>
  <c r="I21" i="63"/>
  <c r="J21" i="63" s="1"/>
  <c r="I18" i="63"/>
  <c r="J18" i="63" s="1"/>
  <c r="I31" i="63"/>
  <c r="J31" i="63" s="1"/>
  <c r="I32" i="63"/>
  <c r="J32" i="63" s="1"/>
  <c r="I35" i="63"/>
  <c r="J35" i="63" s="1"/>
  <c r="I42" i="63"/>
  <c r="J42" i="63" s="1"/>
  <c r="D36" i="57"/>
  <c r="F57" i="66"/>
  <c r="H57" i="66" s="1"/>
  <c r="G57" i="66"/>
  <c r="F57" i="74"/>
  <c r="G57" i="74" s="1"/>
  <c r="I20" i="63"/>
  <c r="J20" i="63" s="1"/>
  <c r="I30" i="63"/>
  <c r="J30" i="63" s="1"/>
  <c r="I19" i="63"/>
  <c r="J19" i="63" s="1"/>
  <c r="I16" i="63"/>
  <c r="J16" i="63" s="1"/>
  <c r="I15" i="63"/>
  <c r="J15" i="63" s="1"/>
  <c r="I11" i="63"/>
  <c r="J11" i="63" s="1"/>
  <c r="I27" i="63"/>
  <c r="J27" i="63" s="1"/>
  <c r="I33" i="63"/>
  <c r="J33" i="63" s="1"/>
  <c r="I12" i="63"/>
  <c r="J12" i="63" s="1"/>
  <c r="G51" i="63"/>
  <c r="I39" i="63"/>
  <c r="J39" i="63" s="1"/>
  <c r="I24" i="63"/>
  <c r="J24" i="63" s="1"/>
  <c r="I22" i="63"/>
  <c r="J22" i="63" s="1"/>
  <c r="I34" i="63"/>
  <c r="J34" i="63" s="1"/>
  <c r="I40" i="63"/>
  <c r="J40" i="63" s="1"/>
  <c r="I44" i="63"/>
  <c r="J44" i="63" s="1"/>
  <c r="E45" i="66"/>
  <c r="D45" i="74"/>
  <c r="F25" i="57"/>
  <c r="G25" i="57" s="1"/>
  <c r="K46" i="63" l="1"/>
  <c r="L46" i="63" s="1"/>
  <c r="L67" i="66"/>
  <c r="L69" i="66"/>
  <c r="N69" i="66" s="1"/>
  <c r="P69" i="66" s="1"/>
  <c r="N67" i="66"/>
  <c r="P67" i="66" s="1"/>
  <c r="K14" i="63"/>
  <c r="L14" i="63" s="1"/>
  <c r="K29" i="63"/>
  <c r="L29" i="63" s="1"/>
  <c r="K21" i="63"/>
  <c r="L21" i="63" s="1"/>
  <c r="K18" i="63"/>
  <c r="L18" i="63" s="1"/>
  <c r="K31" i="63"/>
  <c r="L31" i="63" s="1"/>
  <c r="K20" i="63"/>
  <c r="L20" i="63" s="1"/>
  <c r="K32" i="63"/>
  <c r="L32" i="63" s="1"/>
  <c r="F36" i="57"/>
  <c r="G36" i="57" s="1"/>
  <c r="D56" i="74"/>
  <c r="E56" i="66"/>
  <c r="K42" i="63"/>
  <c r="L42" i="63" s="1"/>
  <c r="K35" i="63"/>
  <c r="L35" i="63" s="1"/>
  <c r="D57" i="69"/>
  <c r="E57" i="69" s="1"/>
  <c r="R57" i="70"/>
  <c r="R57" i="71" s="1"/>
  <c r="I57" i="66"/>
  <c r="K57" i="66" s="1"/>
  <c r="J57" i="66"/>
  <c r="K30" i="63"/>
  <c r="L30" i="63" s="1"/>
  <c r="K19" i="63"/>
  <c r="L19" i="63" s="1"/>
  <c r="K22" i="63"/>
  <c r="L22" i="63" s="1"/>
  <c r="K16" i="63"/>
  <c r="L16" i="63" s="1"/>
  <c r="K15" i="63"/>
  <c r="L15" i="63" s="1"/>
  <c r="K24" i="63"/>
  <c r="L24" i="63" s="1"/>
  <c r="K33" i="63"/>
  <c r="L33" i="63" s="1"/>
  <c r="K27" i="63"/>
  <c r="L27" i="63" s="1"/>
  <c r="K11" i="63"/>
  <c r="L11" i="63" s="1"/>
  <c r="K39" i="63"/>
  <c r="L39" i="63" s="1"/>
  <c r="K12" i="63"/>
  <c r="L12" i="63" s="1"/>
  <c r="I51" i="63"/>
  <c r="K44" i="63"/>
  <c r="L44" i="63" s="1"/>
  <c r="K34" i="63"/>
  <c r="L34" i="63" s="1"/>
  <c r="K40" i="63"/>
  <c r="L40" i="63" s="1"/>
  <c r="F45" i="66"/>
  <c r="G45" i="66"/>
  <c r="F45" i="74"/>
  <c r="G45" i="74" s="1"/>
  <c r="M46" i="63" l="1"/>
  <c r="O46" i="63" s="1"/>
  <c r="D46" i="57" s="1"/>
  <c r="O69" i="66"/>
  <c r="Q69" i="66" s="1"/>
  <c r="S69" i="66" s="1"/>
  <c r="O67" i="66"/>
  <c r="M14" i="63"/>
  <c r="O14" i="63" s="1"/>
  <c r="D14" i="57" s="1"/>
  <c r="F14" i="57" s="1"/>
  <c r="G14" i="57" s="1"/>
  <c r="M29" i="63"/>
  <c r="O29" i="63" s="1"/>
  <c r="D29" i="57" s="1"/>
  <c r="M21" i="63"/>
  <c r="O21" i="63" s="1"/>
  <c r="D21" i="57" s="1"/>
  <c r="M18" i="63"/>
  <c r="O18" i="63" s="1"/>
  <c r="D18" i="57" s="1"/>
  <c r="M31" i="63"/>
  <c r="O31" i="63" s="1"/>
  <c r="D31" i="57" s="1"/>
  <c r="M32" i="63"/>
  <c r="O32" i="63" s="1"/>
  <c r="D32" i="57" s="1"/>
  <c r="M20" i="63"/>
  <c r="O20" i="63" s="1"/>
  <c r="D20" i="57" s="1"/>
  <c r="M42" i="63"/>
  <c r="O42" i="63" s="1"/>
  <c r="D42" i="57" s="1"/>
  <c r="I42" i="57" s="1"/>
  <c r="F56" i="66"/>
  <c r="G56" i="66"/>
  <c r="F56" i="74"/>
  <c r="G56" i="74" s="1"/>
  <c r="M35" i="63"/>
  <c r="O35" i="63" s="1"/>
  <c r="M57" i="66"/>
  <c r="L57" i="66"/>
  <c r="N57" i="66" s="1"/>
  <c r="W57" i="69"/>
  <c r="H57" i="69"/>
  <c r="M30" i="63"/>
  <c r="O30" i="63" s="1"/>
  <c r="D30" i="57" s="1"/>
  <c r="I30" i="57" s="1"/>
  <c r="J30" i="57" s="1"/>
  <c r="M19" i="63"/>
  <c r="O19" i="63" s="1"/>
  <c r="D19" i="57" s="1"/>
  <c r="I19" i="57" s="1"/>
  <c r="J19" i="57" s="1"/>
  <c r="M16" i="63"/>
  <c r="O16" i="63" s="1"/>
  <c r="D16" i="57" s="1"/>
  <c r="I16" i="57" s="1"/>
  <c r="J16" i="57" s="1"/>
  <c r="M22" i="63"/>
  <c r="O22" i="63" s="1"/>
  <c r="D22" i="57" s="1"/>
  <c r="I22" i="57" s="1"/>
  <c r="J22" i="57" s="1"/>
  <c r="M15" i="63"/>
  <c r="O15" i="63" s="1"/>
  <c r="D15" i="57" s="1"/>
  <c r="I15" i="57" s="1"/>
  <c r="J15" i="57" s="1"/>
  <c r="M11" i="63"/>
  <c r="O11" i="63" s="1"/>
  <c r="D11" i="57" s="1"/>
  <c r="M27" i="63"/>
  <c r="O27" i="63" s="1"/>
  <c r="D27" i="57" s="1"/>
  <c r="I27" i="57" s="1"/>
  <c r="J27" i="57" s="1"/>
  <c r="M40" i="63"/>
  <c r="O40" i="63" s="1"/>
  <c r="D40" i="57" s="1"/>
  <c r="I40" i="57" s="1"/>
  <c r="M33" i="63"/>
  <c r="O33" i="63" s="1"/>
  <c r="D33" i="57" s="1"/>
  <c r="I33" i="57" s="1"/>
  <c r="M24" i="63"/>
  <c r="O24" i="63" s="1"/>
  <c r="D24" i="57" s="1"/>
  <c r="I24" i="57" s="1"/>
  <c r="J24" i="57" s="1"/>
  <c r="M39" i="63"/>
  <c r="O39" i="63" s="1"/>
  <c r="D39" i="57" s="1"/>
  <c r="I39" i="57" s="1"/>
  <c r="M44" i="63"/>
  <c r="O44" i="63" s="1"/>
  <c r="D44" i="57" s="1"/>
  <c r="I44" i="57" s="1"/>
  <c r="K51" i="63"/>
  <c r="M12" i="63"/>
  <c r="R45" i="70"/>
  <c r="R45" i="71" s="1"/>
  <c r="D45" i="69"/>
  <c r="E45" i="69" s="1"/>
  <c r="M34" i="63"/>
  <c r="O34" i="63" s="1"/>
  <c r="D66" i="74" l="1"/>
  <c r="F66" i="74" s="1"/>
  <c r="E66" i="66"/>
  <c r="F46" i="57"/>
  <c r="G46" i="57" s="1"/>
  <c r="R69" i="66"/>
  <c r="T69" i="66" s="1"/>
  <c r="U69" i="66" s="1"/>
  <c r="Q67" i="66"/>
  <c r="S67" i="66" s="1"/>
  <c r="E34" i="66"/>
  <c r="G34" i="66" s="1"/>
  <c r="I14" i="57"/>
  <c r="J14" i="57" s="1"/>
  <c r="D34" i="74"/>
  <c r="F34" i="74" s="1"/>
  <c r="G34" i="74" s="1"/>
  <c r="I29" i="57"/>
  <c r="J29" i="57" s="1"/>
  <c r="E49" i="66"/>
  <c r="D49" i="74"/>
  <c r="F49" i="74" s="1"/>
  <c r="F29" i="57"/>
  <c r="G29" i="57" s="1"/>
  <c r="F21" i="57"/>
  <c r="G21" i="57" s="1"/>
  <c r="I21" i="57"/>
  <c r="J21" i="57" s="1"/>
  <c r="D41" i="74"/>
  <c r="F41" i="74" s="1"/>
  <c r="E41" i="66"/>
  <c r="I18" i="57"/>
  <c r="J18" i="57" s="1"/>
  <c r="E38" i="66"/>
  <c r="D38" i="74"/>
  <c r="F38" i="74" s="1"/>
  <c r="F18" i="57"/>
  <c r="G18" i="57" s="1"/>
  <c r="I31" i="57"/>
  <c r="J31" i="57" s="1"/>
  <c r="F31" i="57"/>
  <c r="G31" i="57" s="1"/>
  <c r="D51" i="74"/>
  <c r="F51" i="74" s="1"/>
  <c r="E51" i="66"/>
  <c r="D40" i="74"/>
  <c r="F40" i="74" s="1"/>
  <c r="F20" i="57"/>
  <c r="G20" i="57" s="1"/>
  <c r="E40" i="66"/>
  <c r="I20" i="57"/>
  <c r="J20" i="57" s="1"/>
  <c r="F32" i="57"/>
  <c r="G32" i="57" s="1"/>
  <c r="E52" i="66"/>
  <c r="D52" i="74"/>
  <c r="F52" i="74" s="1"/>
  <c r="I32" i="57"/>
  <c r="J32" i="57" s="1"/>
  <c r="D31" i="74"/>
  <c r="F31" i="74" s="1"/>
  <c r="I11" i="57"/>
  <c r="J11" i="57" s="1"/>
  <c r="R56" i="70"/>
  <c r="R56" i="71" s="1"/>
  <c r="D56" i="69"/>
  <c r="E56" i="69" s="1"/>
  <c r="D35" i="57"/>
  <c r="E62" i="66"/>
  <c r="F42" i="57"/>
  <c r="G42" i="57" s="1"/>
  <c r="D62" i="74"/>
  <c r="F62" i="74" s="1"/>
  <c r="G62" i="74" s="1"/>
  <c r="O57" i="66"/>
  <c r="Q57" i="66" s="1"/>
  <c r="P57" i="66"/>
  <c r="F30" i="57"/>
  <c r="G30" i="57" s="1"/>
  <c r="D50" i="74"/>
  <c r="F50" i="74" s="1"/>
  <c r="E50" i="66"/>
  <c r="F19" i="57"/>
  <c r="G19" i="57" s="1"/>
  <c r="D39" i="74"/>
  <c r="F39" i="74" s="1"/>
  <c r="E39" i="66"/>
  <c r="F11" i="57"/>
  <c r="G11" i="57" s="1"/>
  <c r="E42" i="66"/>
  <c r="F22" i="57"/>
  <c r="G22" i="57" s="1"/>
  <c r="D42" i="74"/>
  <c r="E31" i="66"/>
  <c r="G31" i="66" s="1"/>
  <c r="E36" i="66"/>
  <c r="D36" i="74"/>
  <c r="F36" i="74" s="1"/>
  <c r="F16" i="57"/>
  <c r="G16" i="57" s="1"/>
  <c r="D35" i="74"/>
  <c r="E35" i="66"/>
  <c r="F15" i="57"/>
  <c r="G15" i="57" s="1"/>
  <c r="E44" i="66"/>
  <c r="D44" i="74"/>
  <c r="F24" i="57"/>
  <c r="G24" i="57" s="1"/>
  <c r="E53" i="66"/>
  <c r="F33" i="57"/>
  <c r="G33" i="57" s="1"/>
  <c r="D53" i="74"/>
  <c r="D47" i="74"/>
  <c r="E47" i="66"/>
  <c r="F27" i="57"/>
  <c r="G27" i="57" s="1"/>
  <c r="D59" i="74"/>
  <c r="F59" i="74" s="1"/>
  <c r="G59" i="74" s="1"/>
  <c r="E59" i="66"/>
  <c r="F39" i="57"/>
  <c r="G39" i="57" s="1"/>
  <c r="E64" i="66"/>
  <c r="F44" i="57"/>
  <c r="G44" i="57" s="1"/>
  <c r="D64" i="74"/>
  <c r="F64" i="74" s="1"/>
  <c r="D34" i="57"/>
  <c r="I34" i="57" s="1"/>
  <c r="O12" i="63"/>
  <c r="M51" i="63"/>
  <c r="E60" i="66"/>
  <c r="D60" i="74"/>
  <c r="F40" i="57"/>
  <c r="G40" i="57" s="1"/>
  <c r="G66" i="66" l="1"/>
  <c r="F66" i="66"/>
  <c r="G66" i="74"/>
  <c r="D66" i="69"/>
  <c r="E66" i="69" s="1"/>
  <c r="R66" i="70"/>
  <c r="R66" i="71" s="1"/>
  <c r="R67" i="66"/>
  <c r="T67" i="66" s="1"/>
  <c r="U67" i="66" s="1"/>
  <c r="F34" i="66"/>
  <c r="R34" i="70"/>
  <c r="R34" i="71" s="1"/>
  <c r="D34" i="69"/>
  <c r="E34" i="69" s="1"/>
  <c r="G49" i="74"/>
  <c r="D49" i="69"/>
  <c r="E49" i="69" s="1"/>
  <c r="R49" i="70"/>
  <c r="R49" i="71" s="1"/>
  <c r="F49" i="66"/>
  <c r="G49" i="66"/>
  <c r="F41" i="66"/>
  <c r="G41" i="66"/>
  <c r="G41" i="74"/>
  <c r="D41" i="69"/>
  <c r="E41" i="69" s="1"/>
  <c r="R41" i="70"/>
  <c r="R41" i="71" s="1"/>
  <c r="G38" i="74"/>
  <c r="R38" i="70"/>
  <c r="R38" i="71" s="1"/>
  <c r="D38" i="69"/>
  <c r="E38" i="69" s="1"/>
  <c r="F38" i="66"/>
  <c r="G38" i="66"/>
  <c r="G51" i="66"/>
  <c r="F51" i="66"/>
  <c r="G51" i="74"/>
  <c r="D51" i="69"/>
  <c r="E51" i="69" s="1"/>
  <c r="R51" i="70"/>
  <c r="R51" i="71" s="1"/>
  <c r="G52" i="74"/>
  <c r="R52" i="70"/>
  <c r="R52" i="71" s="1"/>
  <c r="D52" i="69"/>
  <c r="E52" i="69" s="1"/>
  <c r="F52" i="66"/>
  <c r="G52" i="66"/>
  <c r="G40" i="66"/>
  <c r="F40" i="66"/>
  <c r="G40" i="74"/>
  <c r="R40" i="70"/>
  <c r="R40" i="71" s="1"/>
  <c r="D40" i="69"/>
  <c r="E40" i="69" s="1"/>
  <c r="D55" i="74"/>
  <c r="F55" i="74" s="1"/>
  <c r="E55" i="66"/>
  <c r="F35" i="57"/>
  <c r="G35" i="57" s="1"/>
  <c r="D62" i="69"/>
  <c r="E62" i="69" s="1"/>
  <c r="F62" i="66"/>
  <c r="G62" i="66"/>
  <c r="R62" i="70"/>
  <c r="R62" i="71" s="1"/>
  <c r="R57" i="66"/>
  <c r="T57" i="66" s="1"/>
  <c r="U57" i="66" s="1"/>
  <c r="S57" i="66"/>
  <c r="G50" i="66"/>
  <c r="F50" i="66"/>
  <c r="G50" i="74"/>
  <c r="D50" i="69"/>
  <c r="E50" i="69" s="1"/>
  <c r="R50" i="70"/>
  <c r="R50" i="71" s="1"/>
  <c r="F31" i="66"/>
  <c r="G39" i="66"/>
  <c r="F39" i="66"/>
  <c r="G39" i="74"/>
  <c r="R39" i="70"/>
  <c r="R39" i="71" s="1"/>
  <c r="D39" i="69"/>
  <c r="E39" i="69" s="1"/>
  <c r="G36" i="74"/>
  <c r="R36" i="70"/>
  <c r="R36" i="71" s="1"/>
  <c r="D36" i="69"/>
  <c r="E36" i="69" s="1"/>
  <c r="F36" i="66"/>
  <c r="G36" i="66"/>
  <c r="F42" i="74"/>
  <c r="G42" i="74" s="1"/>
  <c r="F42" i="66"/>
  <c r="G42" i="66"/>
  <c r="G35" i="66"/>
  <c r="F35" i="66"/>
  <c r="F35" i="74"/>
  <c r="G35" i="74" s="1"/>
  <c r="R59" i="70"/>
  <c r="R59" i="71" s="1"/>
  <c r="F47" i="74"/>
  <c r="G47" i="74" s="1"/>
  <c r="F53" i="74"/>
  <c r="G53" i="74" s="1"/>
  <c r="F47" i="66"/>
  <c r="G47" i="66"/>
  <c r="G53" i="66"/>
  <c r="F53" i="66"/>
  <c r="D59" i="69"/>
  <c r="E59" i="69" s="1"/>
  <c r="F44" i="74"/>
  <c r="G44" i="74" s="1"/>
  <c r="G44" i="66"/>
  <c r="F44" i="66"/>
  <c r="G59" i="66"/>
  <c r="F59" i="66"/>
  <c r="G64" i="74"/>
  <c r="D64" i="69"/>
  <c r="E64" i="69" s="1"/>
  <c r="R64" i="70"/>
  <c r="R64" i="71" s="1"/>
  <c r="F64" i="66"/>
  <c r="G64" i="66"/>
  <c r="G31" i="74"/>
  <c r="R31" i="70"/>
  <c r="R31" i="71" s="1"/>
  <c r="D31" i="69"/>
  <c r="E54" i="66"/>
  <c r="F34" i="57"/>
  <c r="G34" i="57" s="1"/>
  <c r="D54" i="74"/>
  <c r="F54" i="74" s="1"/>
  <c r="D12" i="57"/>
  <c r="I12" i="57" s="1"/>
  <c r="J12" i="57" s="1"/>
  <c r="O51" i="63"/>
  <c r="N46" i="63" s="1"/>
  <c r="C46" i="57" s="1"/>
  <c r="F60" i="74"/>
  <c r="G60" i="74" s="1"/>
  <c r="G60" i="66"/>
  <c r="F60" i="66"/>
  <c r="G55" i="66" l="1"/>
  <c r="F55" i="66"/>
  <c r="N42" i="63"/>
  <c r="C42" i="57" s="1"/>
  <c r="N36" i="63"/>
  <c r="C36" i="57" s="1"/>
  <c r="N35" i="63"/>
  <c r="C35" i="57" s="1"/>
  <c r="G55" i="74"/>
  <c r="R55" i="70"/>
  <c r="R55" i="71" s="1"/>
  <c r="D55" i="69"/>
  <c r="E55" i="69" s="1"/>
  <c r="R42" i="70"/>
  <c r="R42" i="71" s="1"/>
  <c r="D42" i="69"/>
  <c r="E42" i="69" s="1"/>
  <c r="R35" i="70"/>
  <c r="R35" i="71" s="1"/>
  <c r="D35" i="69"/>
  <c r="E35" i="69" s="1"/>
  <c r="D53" i="69"/>
  <c r="E53" i="69" s="1"/>
  <c r="R53" i="70"/>
  <c r="R53" i="71" s="1"/>
  <c r="R44" i="70"/>
  <c r="R44" i="71" s="1"/>
  <c r="D44" i="69"/>
  <c r="E44" i="69" s="1"/>
  <c r="D47" i="69"/>
  <c r="E47" i="69" s="1"/>
  <c r="R47" i="70"/>
  <c r="R47" i="71" s="1"/>
  <c r="N30" i="63"/>
  <c r="C30" i="57" s="1"/>
  <c r="N19" i="63"/>
  <c r="C19" i="57" s="1"/>
  <c r="N15" i="63"/>
  <c r="C15" i="57" s="1"/>
  <c r="N18" i="63"/>
  <c r="C18" i="57" s="1"/>
  <c r="E32" i="66"/>
  <c r="F12" i="57"/>
  <c r="D32" i="74"/>
  <c r="D51" i="57"/>
  <c r="G54" i="74"/>
  <c r="D54" i="69"/>
  <c r="E54" i="69" s="1"/>
  <c r="R54" i="70"/>
  <c r="R54" i="71" s="1"/>
  <c r="N29" i="63"/>
  <c r="C29" i="57" s="1"/>
  <c r="N27" i="63"/>
  <c r="C27" i="57" s="1"/>
  <c r="N32" i="63"/>
  <c r="C32" i="57" s="1"/>
  <c r="N33" i="63"/>
  <c r="C33" i="57" s="1"/>
  <c r="N31" i="63"/>
  <c r="C31" i="57" s="1"/>
  <c r="N25" i="63"/>
  <c r="C25" i="57" s="1"/>
  <c r="N44" i="63"/>
  <c r="C44" i="57" s="1"/>
  <c r="N24" i="63"/>
  <c r="C24" i="57" s="1"/>
  <c r="N16" i="63"/>
  <c r="C16" i="57" s="1"/>
  <c r="N21" i="63"/>
  <c r="C21" i="57" s="1"/>
  <c r="N22" i="63"/>
  <c r="C22" i="57" s="1"/>
  <c r="N14" i="63"/>
  <c r="C14" i="57" s="1"/>
  <c r="O2" i="63"/>
  <c r="N39" i="63"/>
  <c r="C39" i="57" s="1"/>
  <c r="N20" i="63"/>
  <c r="C20" i="57" s="1"/>
  <c r="N11" i="63"/>
  <c r="N40" i="63"/>
  <c r="C40" i="57" s="1"/>
  <c r="N34" i="63"/>
  <c r="C34" i="57" s="1"/>
  <c r="F54" i="66"/>
  <c r="G54" i="66"/>
  <c r="E31" i="69"/>
  <c r="N12" i="63"/>
  <c r="C12" i="57" s="1"/>
  <c r="R60" i="70"/>
  <c r="R60" i="71" s="1"/>
  <c r="D60" i="69"/>
  <c r="E60" i="69" s="1"/>
  <c r="C11" i="57" l="1"/>
  <c r="C51" i="57" s="1"/>
  <c r="N51" i="63"/>
  <c r="F32" i="74"/>
  <c r="G32" i="74" s="1"/>
  <c r="G71" i="74" s="1"/>
  <c r="D71" i="74"/>
  <c r="K27" i="74"/>
  <c r="G12" i="57"/>
  <c r="F51" i="57"/>
  <c r="F32" i="66"/>
  <c r="G32" i="66"/>
  <c r="G71" i="66" s="1"/>
  <c r="E71" i="66"/>
  <c r="H66" i="66" l="1"/>
  <c r="H55" i="66"/>
  <c r="J55" i="66" s="1"/>
  <c r="H56" i="66"/>
  <c r="H62" i="66"/>
  <c r="J62" i="66" s="1"/>
  <c r="H35" i="66"/>
  <c r="H39" i="66"/>
  <c r="H50" i="66"/>
  <c r="H38" i="66"/>
  <c r="D32" i="69"/>
  <c r="R32" i="70"/>
  <c r="R32" i="71" s="1"/>
  <c r="R71" i="71" s="1"/>
  <c r="L27" i="74"/>
  <c r="M69" i="74" s="1"/>
  <c r="H69" i="74" s="1"/>
  <c r="D69" i="76" s="1"/>
  <c r="F71" i="74"/>
  <c r="H32" i="66"/>
  <c r="H41" i="66"/>
  <c r="H52" i="66"/>
  <c r="H31" i="66"/>
  <c r="H45" i="66"/>
  <c r="H49" i="66"/>
  <c r="H47" i="66"/>
  <c r="H53" i="66"/>
  <c r="H59" i="66"/>
  <c r="H64" i="66"/>
  <c r="H51" i="66"/>
  <c r="H42" i="66"/>
  <c r="H36" i="66"/>
  <c r="H44" i="66"/>
  <c r="H34" i="66"/>
  <c r="H40" i="66"/>
  <c r="H60" i="66"/>
  <c r="H54" i="66"/>
  <c r="J66" i="66" l="1"/>
  <c r="I66" i="66"/>
  <c r="F69" i="76"/>
  <c r="M66" i="74"/>
  <c r="H66" i="74" s="1"/>
  <c r="D66" i="76" s="1"/>
  <c r="F66" i="76" s="1"/>
  <c r="M67" i="74"/>
  <c r="H67" i="74" s="1"/>
  <c r="D67" i="76" s="1"/>
  <c r="R71" i="70"/>
  <c r="I55" i="66"/>
  <c r="J56" i="66"/>
  <c r="I56" i="66"/>
  <c r="M55" i="74"/>
  <c r="H55" i="74" s="1"/>
  <c r="D55" i="76" s="1"/>
  <c r="F55" i="76" s="1"/>
  <c r="M56" i="74"/>
  <c r="H56" i="74" s="1"/>
  <c r="D56" i="76" s="1"/>
  <c r="M57" i="74"/>
  <c r="H57" i="74" s="1"/>
  <c r="D57" i="76" s="1"/>
  <c r="I62" i="66"/>
  <c r="I38" i="66"/>
  <c r="J38" i="66"/>
  <c r="I50" i="66"/>
  <c r="J50" i="66"/>
  <c r="J39" i="66"/>
  <c r="I39" i="66"/>
  <c r="I35" i="66"/>
  <c r="J35" i="66"/>
  <c r="M39" i="74"/>
  <c r="H39" i="74" s="1"/>
  <c r="D39" i="76" s="1"/>
  <c r="F39" i="76" s="1"/>
  <c r="M50" i="74"/>
  <c r="H50" i="74" s="1"/>
  <c r="D50" i="76" s="1"/>
  <c r="M62" i="74"/>
  <c r="H62" i="74" s="1"/>
  <c r="D62" i="76" s="1"/>
  <c r="F62" i="76" s="1"/>
  <c r="M35" i="74"/>
  <c r="H35" i="74" s="1"/>
  <c r="D35" i="76" s="1"/>
  <c r="M38" i="74"/>
  <c r="H38" i="74" s="1"/>
  <c r="D38" i="76" s="1"/>
  <c r="J53" i="66"/>
  <c r="I53" i="66"/>
  <c r="I47" i="66"/>
  <c r="J47" i="66"/>
  <c r="J54" i="66"/>
  <c r="I54" i="66"/>
  <c r="I49" i="66"/>
  <c r="J49" i="66"/>
  <c r="I60" i="66"/>
  <c r="J60" i="66"/>
  <c r="J45" i="66"/>
  <c r="I45" i="66"/>
  <c r="I40" i="66"/>
  <c r="J40" i="66"/>
  <c r="H71" i="66"/>
  <c r="J31" i="66"/>
  <c r="I31" i="66"/>
  <c r="I34" i="66"/>
  <c r="J34" i="66"/>
  <c r="I52" i="66"/>
  <c r="J52" i="66"/>
  <c r="I44" i="66"/>
  <c r="J44" i="66"/>
  <c r="I41" i="66"/>
  <c r="J41" i="66"/>
  <c r="I36" i="66"/>
  <c r="J36" i="66"/>
  <c r="I32" i="66"/>
  <c r="J32" i="66"/>
  <c r="I42" i="66"/>
  <c r="J42" i="66"/>
  <c r="J51" i="66"/>
  <c r="I51" i="66"/>
  <c r="M64" i="74"/>
  <c r="H64" i="74" s="1"/>
  <c r="D64" i="76" s="1"/>
  <c r="F64" i="76" s="1"/>
  <c r="M47" i="74"/>
  <c r="H47" i="74" s="1"/>
  <c r="D47" i="76" s="1"/>
  <c r="M34" i="74"/>
  <c r="H34" i="74" s="1"/>
  <c r="D34" i="76" s="1"/>
  <c r="M31" i="74"/>
  <c r="H31" i="74" s="1"/>
  <c r="M52" i="74"/>
  <c r="H52" i="74" s="1"/>
  <c r="D52" i="76" s="1"/>
  <c r="M36" i="74"/>
  <c r="H36" i="74" s="1"/>
  <c r="D36" i="76" s="1"/>
  <c r="M51" i="74"/>
  <c r="H51" i="74" s="1"/>
  <c r="D51" i="76" s="1"/>
  <c r="M54" i="74"/>
  <c r="H54" i="74" s="1"/>
  <c r="D54" i="76" s="1"/>
  <c r="M49" i="74"/>
  <c r="H49" i="74" s="1"/>
  <c r="D49" i="76" s="1"/>
  <c r="M32" i="74"/>
  <c r="H32" i="74" s="1"/>
  <c r="D32" i="76" s="1"/>
  <c r="M44" i="74"/>
  <c r="H44" i="74" s="1"/>
  <c r="D44" i="76" s="1"/>
  <c r="M60" i="74"/>
  <c r="H60" i="74" s="1"/>
  <c r="D60" i="76" s="1"/>
  <c r="M59" i="74"/>
  <c r="H59" i="74" s="1"/>
  <c r="D59" i="76" s="1"/>
  <c r="M45" i="74"/>
  <c r="H45" i="74" s="1"/>
  <c r="D45" i="76" s="1"/>
  <c r="M53" i="74"/>
  <c r="H53" i="74" s="1"/>
  <c r="D53" i="76" s="1"/>
  <c r="M40" i="74"/>
  <c r="H40" i="74" s="1"/>
  <c r="D40" i="76" s="1"/>
  <c r="M42" i="74"/>
  <c r="H42" i="74" s="1"/>
  <c r="D42" i="76" s="1"/>
  <c r="M41" i="74"/>
  <c r="H41" i="74" s="1"/>
  <c r="D41" i="76" s="1"/>
  <c r="J64" i="66"/>
  <c r="I64" i="66"/>
  <c r="N71" i="71"/>
  <c r="I59" i="66"/>
  <c r="J59" i="66"/>
  <c r="E32" i="69"/>
  <c r="D71" i="69"/>
  <c r="K66" i="66" l="1"/>
  <c r="F67" i="76"/>
  <c r="K55" i="66"/>
  <c r="M55" i="66" s="1"/>
  <c r="K56" i="66"/>
  <c r="F57" i="76"/>
  <c r="F56" i="76"/>
  <c r="E71" i="69"/>
  <c r="K62" i="66"/>
  <c r="M62" i="66" s="1"/>
  <c r="K35" i="66"/>
  <c r="K39" i="66"/>
  <c r="K50" i="66"/>
  <c r="K38" i="66"/>
  <c r="F50" i="76"/>
  <c r="F38" i="76"/>
  <c r="F35" i="76"/>
  <c r="F34" i="76"/>
  <c r="K41" i="66"/>
  <c r="K45" i="66"/>
  <c r="F45" i="76"/>
  <c r="F47" i="76"/>
  <c r="F59" i="76"/>
  <c r="K44" i="66"/>
  <c r="F60" i="76"/>
  <c r="K51" i="66"/>
  <c r="K60" i="66"/>
  <c r="K59" i="66"/>
  <c r="F44" i="76"/>
  <c r="K52" i="66"/>
  <c r="F32" i="76"/>
  <c r="K49" i="66"/>
  <c r="F49" i="76"/>
  <c r="K42" i="66"/>
  <c r="K34" i="66"/>
  <c r="K54" i="66"/>
  <c r="K64" i="66"/>
  <c r="F54" i="76"/>
  <c r="I71" i="66"/>
  <c r="K31" i="66"/>
  <c r="F51" i="76"/>
  <c r="K32" i="66"/>
  <c r="J71" i="66"/>
  <c r="F53" i="76"/>
  <c r="F41" i="76"/>
  <c r="F36" i="76"/>
  <c r="K47" i="66"/>
  <c r="F42" i="76"/>
  <c r="F52" i="76"/>
  <c r="K36" i="66"/>
  <c r="K53" i="66"/>
  <c r="F40" i="76"/>
  <c r="H71" i="74"/>
  <c r="D1" i="74" s="1"/>
  <c r="D31" i="76"/>
  <c r="K40" i="66"/>
  <c r="M66" i="66" l="1"/>
  <c r="L66" i="66"/>
  <c r="L55" i="66"/>
  <c r="L56" i="66"/>
  <c r="M56" i="66"/>
  <c r="L62" i="66"/>
  <c r="M38" i="66"/>
  <c r="L38" i="66"/>
  <c r="M50" i="66"/>
  <c r="L50" i="66"/>
  <c r="M39" i="66"/>
  <c r="L39" i="66"/>
  <c r="M35" i="66"/>
  <c r="L35" i="66"/>
  <c r="L36" i="66"/>
  <c r="M36" i="66"/>
  <c r="M32" i="66"/>
  <c r="L32" i="66"/>
  <c r="L44" i="66"/>
  <c r="M44" i="66"/>
  <c r="M49" i="66"/>
  <c r="L49" i="66"/>
  <c r="K71" i="66"/>
  <c r="L31" i="66"/>
  <c r="M31" i="66"/>
  <c r="M52" i="66"/>
  <c r="L52" i="66"/>
  <c r="L40" i="66"/>
  <c r="M40" i="66"/>
  <c r="M47" i="66"/>
  <c r="L47" i="66"/>
  <c r="D71" i="76"/>
  <c r="J27" i="76"/>
  <c r="L69" i="76" s="1"/>
  <c r="G69" i="76" s="1"/>
  <c r="F69" i="69" s="1"/>
  <c r="G69" i="69" s="1"/>
  <c r="I69" i="69" s="1"/>
  <c r="F31" i="76"/>
  <c r="F71" i="76" s="1"/>
  <c r="M64" i="66"/>
  <c r="L64" i="66"/>
  <c r="M59" i="66"/>
  <c r="L59" i="66"/>
  <c r="L45" i="66"/>
  <c r="M45" i="66"/>
  <c r="M54" i="66"/>
  <c r="L54" i="66"/>
  <c r="L60" i="66"/>
  <c r="M60" i="66"/>
  <c r="M41" i="66"/>
  <c r="L41" i="66"/>
  <c r="L34" i="66"/>
  <c r="M34" i="66"/>
  <c r="L51" i="66"/>
  <c r="M51" i="66"/>
  <c r="L53" i="66"/>
  <c r="M53" i="66"/>
  <c r="M42" i="66"/>
  <c r="L42" i="66"/>
  <c r="N66" i="66" l="1"/>
  <c r="K69" i="69"/>
  <c r="J69" i="69"/>
  <c r="L66" i="76"/>
  <c r="G66" i="76" s="1"/>
  <c r="F66" i="69" s="1"/>
  <c r="L67" i="76"/>
  <c r="G67" i="76" s="1"/>
  <c r="F67" i="69" s="1"/>
  <c r="G67" i="69" s="1"/>
  <c r="I67" i="69" s="1"/>
  <c r="N55" i="66"/>
  <c r="O55" i="66" s="1"/>
  <c r="N56" i="66"/>
  <c r="L55" i="76"/>
  <c r="G55" i="76" s="1"/>
  <c r="F55" i="69" s="1"/>
  <c r="L57" i="76"/>
  <c r="G57" i="76" s="1"/>
  <c r="L56" i="76"/>
  <c r="G56" i="76" s="1"/>
  <c r="N62" i="66"/>
  <c r="P62" i="66" s="1"/>
  <c r="N35" i="66"/>
  <c r="N39" i="66"/>
  <c r="N50" i="66"/>
  <c r="N38" i="66"/>
  <c r="L39" i="76"/>
  <c r="G39" i="76" s="1"/>
  <c r="F39" i="69" s="1"/>
  <c r="L50" i="76"/>
  <c r="G50" i="76" s="1"/>
  <c r="L38" i="76"/>
  <c r="G38" i="76" s="1"/>
  <c r="L35" i="76"/>
  <c r="G35" i="76" s="1"/>
  <c r="L31" i="76"/>
  <c r="G31" i="76" s="1"/>
  <c r="F31" i="69" s="1"/>
  <c r="L62" i="76"/>
  <c r="G62" i="76" s="1"/>
  <c r="N51" i="66"/>
  <c r="O51" i="66" s="1"/>
  <c r="N64" i="66"/>
  <c r="M71" i="66"/>
  <c r="N34" i="66"/>
  <c r="L71" i="66"/>
  <c r="N31" i="66"/>
  <c r="N41" i="66"/>
  <c r="N49" i="66"/>
  <c r="L64" i="76"/>
  <c r="G64" i="76" s="1"/>
  <c r="L60" i="76"/>
  <c r="G60" i="76" s="1"/>
  <c r="L34" i="76"/>
  <c r="G34" i="76" s="1"/>
  <c r="L53" i="76"/>
  <c r="G53" i="76" s="1"/>
  <c r="L41" i="76"/>
  <c r="G41" i="76" s="1"/>
  <c r="L40" i="76"/>
  <c r="G40" i="76" s="1"/>
  <c r="L45" i="76"/>
  <c r="G45" i="76" s="1"/>
  <c r="L44" i="76"/>
  <c r="G44" i="76" s="1"/>
  <c r="L54" i="76"/>
  <c r="G54" i="76" s="1"/>
  <c r="L36" i="76"/>
  <c r="G36" i="76" s="1"/>
  <c r="L47" i="76"/>
  <c r="G47" i="76" s="1"/>
  <c r="L52" i="76"/>
  <c r="G52" i="76" s="1"/>
  <c r="L32" i="76"/>
  <c r="G32" i="76" s="1"/>
  <c r="L42" i="76"/>
  <c r="G42" i="76" s="1"/>
  <c r="L51" i="76"/>
  <c r="G51" i="76" s="1"/>
  <c r="L59" i="76"/>
  <c r="G59" i="76" s="1"/>
  <c r="L49" i="76"/>
  <c r="G49" i="76" s="1"/>
  <c r="N60" i="66"/>
  <c r="N54" i="66"/>
  <c r="N47" i="66"/>
  <c r="N44" i="66"/>
  <c r="N42" i="66"/>
  <c r="N32" i="66"/>
  <c r="N53" i="66"/>
  <c r="N45" i="66"/>
  <c r="N40" i="66"/>
  <c r="N59" i="66"/>
  <c r="N52" i="66"/>
  <c r="N36" i="66"/>
  <c r="G66" i="69" l="1"/>
  <c r="H66" i="69"/>
  <c r="P66" i="66"/>
  <c r="O66" i="66"/>
  <c r="L69" i="69"/>
  <c r="N69" i="69" s="1"/>
  <c r="K67" i="69"/>
  <c r="J67" i="69"/>
  <c r="P55" i="66"/>
  <c r="G55" i="69"/>
  <c r="H55" i="69"/>
  <c r="O56" i="66"/>
  <c r="P56" i="66"/>
  <c r="F56" i="69"/>
  <c r="F57" i="69"/>
  <c r="G57" i="69" s="1"/>
  <c r="I57" i="69" s="1"/>
  <c r="O62" i="66"/>
  <c r="G39" i="69"/>
  <c r="H39" i="69"/>
  <c r="O38" i="66"/>
  <c r="P38" i="66"/>
  <c r="P50" i="66"/>
  <c r="O50" i="66"/>
  <c r="O39" i="66"/>
  <c r="P39" i="66"/>
  <c r="P35" i="66"/>
  <c r="O35" i="66"/>
  <c r="F50" i="69"/>
  <c r="F35" i="69"/>
  <c r="F38" i="69"/>
  <c r="F62" i="69"/>
  <c r="P51" i="66"/>
  <c r="G71" i="76"/>
  <c r="D1" i="76" s="1"/>
  <c r="O53" i="66"/>
  <c r="P53" i="66"/>
  <c r="F52" i="69"/>
  <c r="O49" i="66"/>
  <c r="P49" i="66"/>
  <c r="P32" i="66"/>
  <c r="O32" i="66"/>
  <c r="F47" i="69"/>
  <c r="O41" i="66"/>
  <c r="P41" i="66"/>
  <c r="P42" i="66"/>
  <c r="O42" i="66"/>
  <c r="F36" i="69"/>
  <c r="P31" i="66"/>
  <c r="N71" i="66"/>
  <c r="O31" i="66"/>
  <c r="O44" i="66"/>
  <c r="P44" i="66"/>
  <c r="F54" i="69"/>
  <c r="P47" i="66"/>
  <c r="O47" i="66"/>
  <c r="F44" i="69"/>
  <c r="P34" i="66"/>
  <c r="O34" i="66"/>
  <c r="P54" i="66"/>
  <c r="O54" i="66"/>
  <c r="F45" i="69"/>
  <c r="O60" i="66"/>
  <c r="P60" i="66"/>
  <c r="F40" i="69"/>
  <c r="P64" i="66"/>
  <c r="O64" i="66"/>
  <c r="P36" i="66"/>
  <c r="O36" i="66"/>
  <c r="F49" i="69"/>
  <c r="F41" i="69"/>
  <c r="P52" i="66"/>
  <c r="O52" i="66"/>
  <c r="F59" i="69"/>
  <c r="F53" i="69"/>
  <c r="P59" i="66"/>
  <c r="O59" i="66"/>
  <c r="F51" i="69"/>
  <c r="F34" i="69"/>
  <c r="O40" i="66"/>
  <c r="P40" i="66"/>
  <c r="F42" i="69"/>
  <c r="F60" i="69"/>
  <c r="P45" i="66"/>
  <c r="O45" i="66"/>
  <c r="F32" i="69"/>
  <c r="F64" i="69"/>
  <c r="G31" i="69"/>
  <c r="H31" i="69"/>
  <c r="Q66" i="66" l="1"/>
  <c r="M69" i="69"/>
  <c r="O69" i="69" s="1"/>
  <c r="L67" i="69"/>
  <c r="N67" i="69" s="1"/>
  <c r="Q55" i="66"/>
  <c r="R55" i="66" s="1"/>
  <c r="G56" i="69"/>
  <c r="H56" i="69"/>
  <c r="Q56" i="66"/>
  <c r="J57" i="69"/>
  <c r="L57" i="69" s="1"/>
  <c r="K57" i="69"/>
  <c r="Q62" i="66"/>
  <c r="S62" i="66" s="1"/>
  <c r="G62" i="69"/>
  <c r="H62" i="69"/>
  <c r="G38" i="69"/>
  <c r="H38" i="69"/>
  <c r="Q50" i="66"/>
  <c r="G35" i="69"/>
  <c r="H35" i="69"/>
  <c r="Q38" i="66"/>
  <c r="Q35" i="66"/>
  <c r="Q39" i="66"/>
  <c r="G50" i="69"/>
  <c r="H50" i="69"/>
  <c r="Q40" i="66"/>
  <c r="R40" i="66" s="1"/>
  <c r="G64" i="69"/>
  <c r="H64" i="69"/>
  <c r="G59" i="69"/>
  <c r="H59" i="69"/>
  <c r="G40" i="69"/>
  <c r="H40" i="69"/>
  <c r="Q52" i="66"/>
  <c r="Q41" i="66"/>
  <c r="H34" i="69"/>
  <c r="G34" i="69"/>
  <c r="Q60" i="66"/>
  <c r="G54" i="69"/>
  <c r="H54" i="69"/>
  <c r="G47" i="69"/>
  <c r="H47" i="69"/>
  <c r="G32" i="69"/>
  <c r="H32" i="69"/>
  <c r="H41" i="69"/>
  <c r="G41" i="69"/>
  <c r="G45" i="69"/>
  <c r="H45" i="69"/>
  <c r="Q45" i="66"/>
  <c r="G51" i="69"/>
  <c r="H51" i="69"/>
  <c r="Q44" i="66"/>
  <c r="Q32" i="66"/>
  <c r="G49" i="69"/>
  <c r="H49" i="69"/>
  <c r="Q54" i="66"/>
  <c r="Q31" i="66"/>
  <c r="O71" i="66"/>
  <c r="Q59" i="66"/>
  <c r="Q36" i="66"/>
  <c r="Q34" i="66"/>
  <c r="P71" i="66"/>
  <c r="Q49" i="66"/>
  <c r="G60" i="69"/>
  <c r="H60" i="69"/>
  <c r="Q51" i="66"/>
  <c r="G36" i="69"/>
  <c r="H36" i="69"/>
  <c r="G52" i="69"/>
  <c r="H52" i="69"/>
  <c r="Q64" i="66"/>
  <c r="F71" i="69"/>
  <c r="G53" i="69"/>
  <c r="H53" i="69"/>
  <c r="G44" i="69"/>
  <c r="H44" i="69"/>
  <c r="Q42" i="66"/>
  <c r="G42" i="69"/>
  <c r="H42" i="69"/>
  <c r="Q47" i="66"/>
  <c r="Q53" i="66"/>
  <c r="I66" i="69" l="1"/>
  <c r="K66" i="69" s="1"/>
  <c r="S66" i="66"/>
  <c r="R66" i="66"/>
  <c r="Q69" i="69"/>
  <c r="P69" i="69"/>
  <c r="M67" i="69"/>
  <c r="S55" i="66"/>
  <c r="I55" i="69"/>
  <c r="J55" i="69" s="1"/>
  <c r="I56" i="69"/>
  <c r="R56" i="66"/>
  <c r="S56" i="66"/>
  <c r="N57" i="69"/>
  <c r="M57" i="69"/>
  <c r="O57" i="69" s="1"/>
  <c r="I39" i="69"/>
  <c r="J39" i="69" s="1"/>
  <c r="R62" i="66"/>
  <c r="I50" i="69"/>
  <c r="K50" i="69" s="1"/>
  <c r="I38" i="69"/>
  <c r="J38" i="69" s="1"/>
  <c r="I62" i="69"/>
  <c r="I35" i="69"/>
  <c r="K35" i="69" s="1"/>
  <c r="S39" i="66"/>
  <c r="R39" i="66"/>
  <c r="R35" i="66"/>
  <c r="S35" i="66"/>
  <c r="R38" i="66"/>
  <c r="S38" i="66"/>
  <c r="S50" i="66"/>
  <c r="R50" i="66"/>
  <c r="S40" i="66"/>
  <c r="I52" i="69"/>
  <c r="J52" i="69" s="1"/>
  <c r="H71" i="69"/>
  <c r="I42" i="69"/>
  <c r="J42" i="69" s="1"/>
  <c r="R45" i="66"/>
  <c r="S45" i="66"/>
  <c r="I34" i="69"/>
  <c r="R59" i="66"/>
  <c r="S59" i="66"/>
  <c r="I45" i="69"/>
  <c r="S41" i="66"/>
  <c r="R41" i="66"/>
  <c r="R47" i="66"/>
  <c r="S47" i="66"/>
  <c r="G71" i="69"/>
  <c r="I41" i="69"/>
  <c r="S52" i="66"/>
  <c r="R52" i="66"/>
  <c r="I31" i="69"/>
  <c r="I36" i="69"/>
  <c r="S31" i="66"/>
  <c r="Q71" i="66"/>
  <c r="R31" i="66"/>
  <c r="S54" i="66"/>
  <c r="R54" i="66"/>
  <c r="R51" i="66"/>
  <c r="S51" i="66"/>
  <c r="I32" i="69"/>
  <c r="R64" i="66"/>
  <c r="S64" i="66"/>
  <c r="S42" i="66"/>
  <c r="R42" i="66"/>
  <c r="I44" i="69"/>
  <c r="I60" i="69"/>
  <c r="I49" i="69"/>
  <c r="I40" i="69"/>
  <c r="R49" i="66"/>
  <c r="S49" i="66"/>
  <c r="S32" i="66"/>
  <c r="R32" i="66"/>
  <c r="I47" i="69"/>
  <c r="I53" i="69"/>
  <c r="S44" i="66"/>
  <c r="R44" i="66"/>
  <c r="I59" i="69"/>
  <c r="R34" i="66"/>
  <c r="S34" i="66"/>
  <c r="I54" i="69"/>
  <c r="S53" i="66"/>
  <c r="R53" i="66"/>
  <c r="R36" i="66"/>
  <c r="S36" i="66"/>
  <c r="I51" i="69"/>
  <c r="R60" i="66"/>
  <c r="S60" i="66"/>
  <c r="I64" i="69"/>
  <c r="J66" i="69" l="1"/>
  <c r="T66" i="66"/>
  <c r="U66" i="66" s="1"/>
  <c r="R69" i="69"/>
  <c r="T69" i="69" s="1"/>
  <c r="O67" i="69"/>
  <c r="Q67" i="69" s="1"/>
  <c r="K55" i="69"/>
  <c r="T55" i="66"/>
  <c r="U55" i="66" s="1"/>
  <c r="T56" i="66"/>
  <c r="U56" i="66" s="1"/>
  <c r="K56" i="69"/>
  <c r="J56" i="69"/>
  <c r="P57" i="69"/>
  <c r="R57" i="69" s="1"/>
  <c r="Q57" i="69"/>
  <c r="K38" i="69"/>
  <c r="T62" i="66"/>
  <c r="U62" i="66" s="1"/>
  <c r="K39" i="69"/>
  <c r="J50" i="69"/>
  <c r="J35" i="69"/>
  <c r="J62" i="69"/>
  <c r="K62" i="69"/>
  <c r="T50" i="66"/>
  <c r="U50" i="66" s="1"/>
  <c r="T38" i="66"/>
  <c r="U38" i="66" s="1"/>
  <c r="T35" i="66"/>
  <c r="U35" i="66" s="1"/>
  <c r="T39" i="66"/>
  <c r="U39" i="66" s="1"/>
  <c r="K52" i="69"/>
  <c r="K42" i="69"/>
  <c r="T34" i="66"/>
  <c r="U34" i="66" s="1"/>
  <c r="T49" i="66"/>
  <c r="U49" i="66" s="1"/>
  <c r="T54" i="66"/>
  <c r="U54" i="66" s="1"/>
  <c r="K40" i="69"/>
  <c r="J40" i="69"/>
  <c r="T47" i="66"/>
  <c r="U47" i="66" s="1"/>
  <c r="J49" i="69"/>
  <c r="K49" i="69"/>
  <c r="T40" i="66"/>
  <c r="U40" i="66" s="1"/>
  <c r="T41" i="66"/>
  <c r="U41" i="66" s="1"/>
  <c r="T44" i="66"/>
  <c r="U44" i="66" s="1"/>
  <c r="J60" i="69"/>
  <c r="K60" i="69"/>
  <c r="R71" i="66"/>
  <c r="T31" i="66"/>
  <c r="J44" i="69"/>
  <c r="K44" i="69"/>
  <c r="J45" i="69"/>
  <c r="K45" i="69"/>
  <c r="J53" i="69"/>
  <c r="K53" i="69"/>
  <c r="T42" i="66"/>
  <c r="U42" i="66" s="1"/>
  <c r="S71" i="66"/>
  <c r="J51" i="69"/>
  <c r="K51" i="69"/>
  <c r="K36" i="69"/>
  <c r="J36" i="69"/>
  <c r="T36" i="66"/>
  <c r="U36" i="66" s="1"/>
  <c r="I71" i="69"/>
  <c r="J31" i="69"/>
  <c r="K31" i="69"/>
  <c r="K59" i="69"/>
  <c r="J59" i="69"/>
  <c r="J47" i="69"/>
  <c r="K47" i="69"/>
  <c r="T64" i="66"/>
  <c r="U64" i="66" s="1"/>
  <c r="T52" i="66"/>
  <c r="U52" i="66" s="1"/>
  <c r="T59" i="66"/>
  <c r="U59" i="66" s="1"/>
  <c r="T60" i="66"/>
  <c r="U60" i="66" s="1"/>
  <c r="K32" i="69"/>
  <c r="J32" i="69"/>
  <c r="K34" i="69"/>
  <c r="J34" i="69"/>
  <c r="K64" i="69"/>
  <c r="J64" i="69"/>
  <c r="T32" i="66"/>
  <c r="U32" i="66" s="1"/>
  <c r="J41" i="69"/>
  <c r="K41" i="69"/>
  <c r="T53" i="66"/>
  <c r="U53" i="66" s="1"/>
  <c r="J54" i="69"/>
  <c r="K54" i="69"/>
  <c r="T51" i="66"/>
  <c r="U51" i="66" s="1"/>
  <c r="T45" i="66"/>
  <c r="U45" i="66" s="1"/>
  <c r="L66" i="69" l="1"/>
  <c r="N66" i="69" s="1"/>
  <c r="S69" i="69"/>
  <c r="U69" i="69" s="1"/>
  <c r="V69" i="69" s="1"/>
  <c r="P69" i="70" s="1"/>
  <c r="P67" i="69"/>
  <c r="L55" i="69"/>
  <c r="N55" i="69" s="1"/>
  <c r="L56" i="69"/>
  <c r="S57" i="69"/>
  <c r="U57" i="69" s="1"/>
  <c r="V57" i="69" s="1"/>
  <c r="P57" i="70" s="1"/>
  <c r="P57" i="71" s="1"/>
  <c r="T57" i="69"/>
  <c r="L38" i="69"/>
  <c r="N38" i="69" s="1"/>
  <c r="L62" i="69"/>
  <c r="L35" i="69"/>
  <c r="L39" i="69"/>
  <c r="L50" i="69"/>
  <c r="L64" i="69"/>
  <c r="N64" i="69" s="1"/>
  <c r="L34" i="69"/>
  <c r="M34" i="69" s="1"/>
  <c r="L54" i="69"/>
  <c r="M54" i="69" s="1"/>
  <c r="L41" i="69"/>
  <c r="L47" i="69"/>
  <c r="L51" i="69"/>
  <c r="L60" i="69"/>
  <c r="L59" i="69"/>
  <c r="K71" i="69"/>
  <c r="J71" i="69"/>
  <c r="L31" i="69"/>
  <c r="L53" i="69"/>
  <c r="L32" i="69"/>
  <c r="L49" i="69"/>
  <c r="L42" i="69"/>
  <c r="L45" i="69"/>
  <c r="L40" i="69"/>
  <c r="L52" i="69"/>
  <c r="L44" i="69"/>
  <c r="L36" i="69"/>
  <c r="U31" i="66"/>
  <c r="V69" i="66" s="1"/>
  <c r="T71" i="66"/>
  <c r="M66" i="69" l="1"/>
  <c r="Q69" i="70"/>
  <c r="Q69" i="71" s="1"/>
  <c r="P69" i="71"/>
  <c r="V66" i="66"/>
  <c r="V67" i="66"/>
  <c r="R67" i="69"/>
  <c r="T67" i="69" s="1"/>
  <c r="Q57" i="70"/>
  <c r="Q57" i="71" s="1"/>
  <c r="M55" i="69"/>
  <c r="N56" i="69"/>
  <c r="M56" i="69"/>
  <c r="V55" i="66"/>
  <c r="V56" i="66"/>
  <c r="V57" i="66"/>
  <c r="M38" i="69"/>
  <c r="N35" i="69"/>
  <c r="M35" i="69"/>
  <c r="M62" i="69"/>
  <c r="N62" i="69"/>
  <c r="M50" i="69"/>
  <c r="N50" i="69"/>
  <c r="N39" i="69"/>
  <c r="M39" i="69"/>
  <c r="M64" i="69"/>
  <c r="V39" i="66"/>
  <c r="V50" i="66"/>
  <c r="V38" i="66"/>
  <c r="V35" i="66"/>
  <c r="V44" i="66"/>
  <c r="V62" i="66"/>
  <c r="N34" i="69"/>
  <c r="N54" i="69"/>
  <c r="M49" i="69"/>
  <c r="N49" i="69"/>
  <c r="V42" i="66"/>
  <c r="N32" i="69"/>
  <c r="M32" i="69"/>
  <c r="M44" i="69"/>
  <c r="N44" i="69"/>
  <c r="M59" i="69"/>
  <c r="N59" i="69"/>
  <c r="V64" i="66"/>
  <c r="U71" i="66"/>
  <c r="V31" i="66"/>
  <c r="V34" i="66"/>
  <c r="N53" i="69"/>
  <c r="M53" i="69"/>
  <c r="N31" i="69"/>
  <c r="M31" i="69"/>
  <c r="L71" i="69"/>
  <c r="N52" i="69"/>
  <c r="M52" i="69"/>
  <c r="M60" i="69"/>
  <c r="N60" i="69"/>
  <c r="V45" i="66"/>
  <c r="M51" i="69"/>
  <c r="N51" i="69"/>
  <c r="N36" i="69"/>
  <c r="M36" i="69"/>
  <c r="V53" i="66"/>
  <c r="N47" i="69"/>
  <c r="M47" i="69"/>
  <c r="M40" i="69"/>
  <c r="N40" i="69"/>
  <c r="V36" i="66"/>
  <c r="V40" i="66"/>
  <c r="V49" i="66"/>
  <c r="V60" i="66"/>
  <c r="V32" i="66"/>
  <c r="V52" i="66"/>
  <c r="V47" i="66"/>
  <c r="N41" i="69"/>
  <c r="M41" i="69"/>
  <c r="V59" i="66"/>
  <c r="V54" i="66"/>
  <c r="M45" i="69"/>
  <c r="N45" i="69"/>
  <c r="V51" i="66"/>
  <c r="M42" i="69"/>
  <c r="N42" i="69"/>
  <c r="V41" i="66"/>
  <c r="O66" i="69" l="1"/>
  <c r="Q66" i="69" s="1"/>
  <c r="S67" i="69"/>
  <c r="U67" i="69" s="1"/>
  <c r="V67" i="69" s="1"/>
  <c r="P67" i="70" s="1"/>
  <c r="O55" i="69"/>
  <c r="Q55" i="69" s="1"/>
  <c r="O56" i="69"/>
  <c r="O34" i="69"/>
  <c r="Q34" i="69" s="1"/>
  <c r="O38" i="69"/>
  <c r="P38" i="69" s="1"/>
  <c r="O54" i="69"/>
  <c r="P54" i="69" s="1"/>
  <c r="O62" i="69"/>
  <c r="O35" i="69"/>
  <c r="O39" i="69"/>
  <c r="O50" i="69"/>
  <c r="O60" i="69"/>
  <c r="Q60" i="69" s="1"/>
  <c r="O64" i="69"/>
  <c r="Q64" i="69" s="1"/>
  <c r="V71" i="66"/>
  <c r="O45" i="69"/>
  <c r="O52" i="69"/>
  <c r="O40" i="69"/>
  <c r="O59" i="69"/>
  <c r="O47" i="69"/>
  <c r="O41" i="69"/>
  <c r="O44" i="69"/>
  <c r="O31" i="69"/>
  <c r="M71" i="69"/>
  <c r="O32" i="69"/>
  <c r="O36" i="69"/>
  <c r="N71" i="69"/>
  <c r="O53" i="69"/>
  <c r="O42" i="69"/>
  <c r="O51" i="69"/>
  <c r="O49" i="69"/>
  <c r="P66" i="69" l="1"/>
  <c r="Q67" i="70"/>
  <c r="Q67" i="71" s="1"/>
  <c r="P67" i="71"/>
  <c r="P34" i="69"/>
  <c r="P55" i="69"/>
  <c r="P56" i="69"/>
  <c r="Q56" i="69"/>
  <c r="Q54" i="69"/>
  <c r="Q38" i="69"/>
  <c r="P62" i="69"/>
  <c r="Q62" i="69"/>
  <c r="P50" i="69"/>
  <c r="Q50" i="69"/>
  <c r="P39" i="69"/>
  <c r="Q39" i="69"/>
  <c r="P35" i="69"/>
  <c r="Q35" i="69"/>
  <c r="P60" i="69"/>
  <c r="P64" i="69"/>
  <c r="Q51" i="69"/>
  <c r="P51" i="69"/>
  <c r="P40" i="69"/>
  <c r="Q40" i="69"/>
  <c r="Q52" i="69"/>
  <c r="P52" i="69"/>
  <c r="P45" i="69"/>
  <c r="Q45" i="69"/>
  <c r="Q59" i="69"/>
  <c r="P59" i="69"/>
  <c r="Q53" i="69"/>
  <c r="P53" i="69"/>
  <c r="P32" i="69"/>
  <c r="Q32" i="69"/>
  <c r="Q36" i="69"/>
  <c r="P36" i="69"/>
  <c r="Q42" i="69"/>
  <c r="P42" i="69"/>
  <c r="Q31" i="69"/>
  <c r="O71" i="69"/>
  <c r="P31" i="69"/>
  <c r="Q47" i="69"/>
  <c r="P47" i="69"/>
  <c r="P44" i="69"/>
  <c r="Q44" i="69"/>
  <c r="Q49" i="69"/>
  <c r="P49" i="69"/>
  <c r="Q41" i="69"/>
  <c r="P41" i="69"/>
  <c r="R66" i="69" l="1"/>
  <c r="T66" i="69" s="1"/>
  <c r="R55" i="69"/>
  <c r="S55" i="69" s="1"/>
  <c r="R56" i="69"/>
  <c r="R38" i="69"/>
  <c r="T38" i="69" s="1"/>
  <c r="R35" i="69"/>
  <c r="R50" i="69"/>
  <c r="R39" i="69"/>
  <c r="R62" i="69"/>
  <c r="Q71" i="69"/>
  <c r="R53" i="69"/>
  <c r="S53" i="69" s="1"/>
  <c r="R31" i="69"/>
  <c r="P71" i="69"/>
  <c r="R59" i="69"/>
  <c r="R54" i="69"/>
  <c r="R45" i="69"/>
  <c r="R41" i="69"/>
  <c r="R52" i="69"/>
  <c r="R36" i="69"/>
  <c r="R42" i="69"/>
  <c r="R44" i="69"/>
  <c r="R32" i="69"/>
  <c r="R40" i="69"/>
  <c r="R64" i="69"/>
  <c r="R47" i="69"/>
  <c r="R60" i="69"/>
  <c r="R51" i="69"/>
  <c r="R49" i="69"/>
  <c r="R34" i="69"/>
  <c r="S66" i="69" l="1"/>
  <c r="T55" i="69"/>
  <c r="T56" i="69"/>
  <c r="S56" i="69"/>
  <c r="S38" i="69"/>
  <c r="S50" i="69"/>
  <c r="T50" i="69"/>
  <c r="T35" i="69"/>
  <c r="S35" i="69"/>
  <c r="T62" i="69"/>
  <c r="S62" i="69"/>
  <c r="T39" i="69"/>
  <c r="S39" i="69"/>
  <c r="T53" i="69"/>
  <c r="T44" i="69"/>
  <c r="S44" i="69"/>
  <c r="T42" i="69"/>
  <c r="S42" i="69"/>
  <c r="T36" i="69"/>
  <c r="S36" i="69"/>
  <c r="S52" i="69"/>
  <c r="T52" i="69"/>
  <c r="S41" i="69"/>
  <c r="T41" i="69"/>
  <c r="S45" i="69"/>
  <c r="T45" i="69"/>
  <c r="T54" i="69"/>
  <c r="S54" i="69"/>
  <c r="T34" i="69"/>
  <c r="S34" i="69"/>
  <c r="T60" i="69"/>
  <c r="S60" i="69"/>
  <c r="S49" i="69"/>
  <c r="T49" i="69"/>
  <c r="S47" i="69"/>
  <c r="T47" i="69"/>
  <c r="T64" i="69"/>
  <c r="S64" i="69"/>
  <c r="T59" i="69"/>
  <c r="S59" i="69"/>
  <c r="S51" i="69"/>
  <c r="T51" i="69"/>
  <c r="T40" i="69"/>
  <c r="S40" i="69"/>
  <c r="T32" i="69"/>
  <c r="S32" i="69"/>
  <c r="S31" i="69"/>
  <c r="T31" i="69"/>
  <c r="R71" i="69"/>
  <c r="U66" i="69" l="1"/>
  <c r="V66" i="69" s="1"/>
  <c r="P66" i="70" s="1"/>
  <c r="U55" i="69"/>
  <c r="V55" i="69" s="1"/>
  <c r="P55" i="70" s="1"/>
  <c r="P55" i="71" s="1"/>
  <c r="U56" i="69"/>
  <c r="V56" i="69" s="1"/>
  <c r="P56" i="70" s="1"/>
  <c r="U53" i="69"/>
  <c r="V53" i="69" s="1"/>
  <c r="P53" i="70" s="1"/>
  <c r="P53" i="71" s="1"/>
  <c r="U38" i="69"/>
  <c r="V38" i="69" s="1"/>
  <c r="P38" i="70" s="1"/>
  <c r="P38" i="71" s="1"/>
  <c r="U35" i="69"/>
  <c r="V35" i="69" s="1"/>
  <c r="P35" i="70" s="1"/>
  <c r="P35" i="71" s="1"/>
  <c r="U62" i="69"/>
  <c r="V62" i="69" s="1"/>
  <c r="P62" i="70" s="1"/>
  <c r="P62" i="71" s="1"/>
  <c r="U45" i="69"/>
  <c r="V45" i="69" s="1"/>
  <c r="P45" i="70" s="1"/>
  <c r="P45" i="71" s="1"/>
  <c r="U39" i="69"/>
  <c r="V39" i="69" s="1"/>
  <c r="P39" i="70" s="1"/>
  <c r="P39" i="71" s="1"/>
  <c r="U50" i="69"/>
  <c r="V50" i="69" s="1"/>
  <c r="P50" i="70" s="1"/>
  <c r="P50" i="71" s="1"/>
  <c r="U32" i="69"/>
  <c r="V32" i="69" s="1"/>
  <c r="P32" i="70" s="1"/>
  <c r="P32" i="71" s="1"/>
  <c r="T71" i="69"/>
  <c r="U31" i="69"/>
  <c r="S71" i="69"/>
  <c r="U52" i="69"/>
  <c r="V52" i="69" s="1"/>
  <c r="P52" i="70" s="1"/>
  <c r="P52" i="71" s="1"/>
  <c r="U36" i="69"/>
  <c r="V36" i="69" s="1"/>
  <c r="P36" i="70" s="1"/>
  <c r="P36" i="71" s="1"/>
  <c r="U41" i="69"/>
  <c r="V41" i="69" s="1"/>
  <c r="P41" i="70" s="1"/>
  <c r="P41" i="71" s="1"/>
  <c r="U34" i="69"/>
  <c r="V34" i="69" s="1"/>
  <c r="P34" i="70" s="1"/>
  <c r="P34" i="71" s="1"/>
  <c r="U42" i="69"/>
  <c r="V42" i="69" s="1"/>
  <c r="P42" i="70" s="1"/>
  <c r="P42" i="71" s="1"/>
  <c r="U49" i="69"/>
  <c r="V49" i="69" s="1"/>
  <c r="P49" i="70" s="1"/>
  <c r="P49" i="71" s="1"/>
  <c r="U59" i="69"/>
  <c r="V59" i="69" s="1"/>
  <c r="P59" i="70" s="1"/>
  <c r="P59" i="71" s="1"/>
  <c r="U47" i="69"/>
  <c r="V47" i="69" s="1"/>
  <c r="P47" i="70" s="1"/>
  <c r="P47" i="71" s="1"/>
  <c r="U60" i="69"/>
  <c r="V60" i="69" s="1"/>
  <c r="P60" i="70" s="1"/>
  <c r="P60" i="71" s="1"/>
  <c r="U54" i="69"/>
  <c r="V54" i="69" s="1"/>
  <c r="P54" i="70" s="1"/>
  <c r="P54" i="71" s="1"/>
  <c r="U44" i="69"/>
  <c r="V44" i="69" s="1"/>
  <c r="P44" i="70" s="1"/>
  <c r="P44" i="71" s="1"/>
  <c r="U40" i="69"/>
  <c r="V40" i="69" s="1"/>
  <c r="P40" i="70" s="1"/>
  <c r="P40" i="71" s="1"/>
  <c r="U51" i="69"/>
  <c r="V51" i="69" s="1"/>
  <c r="P51" i="70" s="1"/>
  <c r="P51" i="71" s="1"/>
  <c r="U64" i="69"/>
  <c r="V64" i="69" s="1"/>
  <c r="P64" i="70" s="1"/>
  <c r="P64" i="71" s="1"/>
  <c r="Q66" i="70" l="1"/>
  <c r="Q66" i="71" s="1"/>
  <c r="P66" i="71"/>
  <c r="Q56" i="70"/>
  <c r="Q56" i="71" s="1"/>
  <c r="P56" i="71"/>
  <c r="Q44" i="70"/>
  <c r="Q44" i="71" s="1"/>
  <c r="Q59" i="70"/>
  <c r="Q59" i="71" s="1"/>
  <c r="Q41" i="70"/>
  <c r="Q41" i="71" s="1"/>
  <c r="Q39" i="70"/>
  <c r="Q39" i="71" s="1"/>
  <c r="Q38" i="70"/>
  <c r="Q38" i="71" s="1"/>
  <c r="Q54" i="70"/>
  <c r="Q54" i="71" s="1"/>
  <c r="Q49" i="70"/>
  <c r="Q49" i="71" s="1"/>
  <c r="Q36" i="70"/>
  <c r="Q36" i="71" s="1"/>
  <c r="Q45" i="70"/>
  <c r="Q45" i="71" s="1"/>
  <c r="Q53" i="70"/>
  <c r="Q53" i="71" s="1"/>
  <c r="Q51" i="70"/>
  <c r="Q51" i="71" s="1"/>
  <c r="Q42" i="70"/>
  <c r="Q42" i="71" s="1"/>
  <c r="Q52" i="70"/>
  <c r="Q52" i="71" s="1"/>
  <c r="Q32" i="70"/>
  <c r="Q32" i="71" s="1"/>
  <c r="Q62" i="70"/>
  <c r="Q62" i="71" s="1"/>
  <c r="Q64" i="70"/>
  <c r="Q64" i="71" s="1"/>
  <c r="Q60" i="70"/>
  <c r="Q60" i="71" s="1"/>
  <c r="Q40" i="70"/>
  <c r="Q40" i="71" s="1"/>
  <c r="Q47" i="70"/>
  <c r="Q47" i="71" s="1"/>
  <c r="Q34" i="70"/>
  <c r="Q34" i="71" s="1"/>
  <c r="Q50" i="70"/>
  <c r="Q50" i="71" s="1"/>
  <c r="Q35" i="70"/>
  <c r="Q35" i="71" s="1"/>
  <c r="Q55" i="70"/>
  <c r="Q55" i="71" s="1"/>
  <c r="U71" i="69"/>
  <c r="V31" i="69"/>
  <c r="P31" i="70" l="1"/>
  <c r="P31" i="71" s="1"/>
  <c r="P71" i="71" s="1"/>
  <c r="W66" i="69"/>
  <c r="W54" i="69"/>
  <c r="W55" i="69"/>
  <c r="W56" i="69"/>
  <c r="W45" i="69"/>
  <c r="W64" i="69"/>
  <c r="W44" i="69"/>
  <c r="W47" i="69"/>
  <c r="W59" i="69"/>
  <c r="W52" i="69"/>
  <c r="W41" i="69"/>
  <c r="W35" i="69"/>
  <c r="W40" i="69"/>
  <c r="W62" i="69"/>
  <c r="W42" i="69"/>
  <c r="W53" i="69"/>
  <c r="W36" i="69"/>
  <c r="W38" i="69"/>
  <c r="W50" i="69"/>
  <c r="W51" i="69"/>
  <c r="W32" i="69"/>
  <c r="W60" i="69"/>
  <c r="W49" i="69"/>
  <c r="W34" i="69"/>
  <c r="W39" i="69"/>
  <c r="W31" i="69"/>
  <c r="V71" i="69"/>
  <c r="P71" i="70" l="1"/>
  <c r="Q31" i="70"/>
  <c r="Q31" i="71" s="1"/>
  <c r="W71" i="6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9" authorId="0" shapeId="0" xr:uid="{00000000-0006-0000-1900-000001000000}">
      <text>
        <r>
          <rPr>
            <b/>
            <sz val="9"/>
            <color indexed="81"/>
            <rFont val="Tahoma"/>
            <family val="2"/>
          </rPr>
          <t>מספר שורות למוסדות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1A00-000001000000}">
      <text>
        <r>
          <rPr>
            <b/>
            <sz val="9"/>
            <color indexed="81"/>
            <rFont val="Tahoma"/>
            <family val="2"/>
          </rPr>
          <t>מספר שורות למוסדות</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1B00-000001000000}">
      <text>
        <r>
          <rPr>
            <b/>
            <sz val="9"/>
            <color indexed="81"/>
            <rFont val="Tahoma"/>
            <family val="2"/>
          </rPr>
          <t>מספר שורות למוסדות</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1C00-000001000000}">
      <text>
        <r>
          <rPr>
            <b/>
            <sz val="9"/>
            <color indexed="81"/>
            <rFont val="Tahoma"/>
            <family val="2"/>
          </rPr>
          <t>מספר שורות למוסדות</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1D00-000001000000}">
      <text>
        <r>
          <rPr>
            <b/>
            <sz val="9"/>
            <color indexed="81"/>
            <rFont val="Tahoma"/>
            <family val="2"/>
          </rPr>
          <t>מספר שורות למוסדות</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1E00-000001000000}">
      <text>
        <r>
          <rPr>
            <b/>
            <sz val="9"/>
            <color indexed="81"/>
            <rFont val="Tahoma"/>
            <family val="2"/>
          </rPr>
          <t>מספר שורות למוסדות</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1F00-000001000000}">
      <text>
        <r>
          <rPr>
            <b/>
            <sz val="9"/>
            <color indexed="81"/>
            <rFont val="Tahoma"/>
            <family val="2"/>
          </rPr>
          <t>מספר שורות למוסדות</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000-000001000000}">
      <text>
        <r>
          <rPr>
            <b/>
            <sz val="9"/>
            <color indexed="81"/>
            <rFont val="Tahoma"/>
            <family val="2"/>
          </rPr>
          <t>מספר שורות למוסדות</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100-000001000000}">
      <text>
        <r>
          <rPr>
            <b/>
            <sz val="9"/>
            <color indexed="81"/>
            <rFont val="Tahoma"/>
            <family val="2"/>
          </rPr>
          <t>מספר שורות למוסדות</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200-000001000000}">
      <text>
        <r>
          <rPr>
            <b/>
            <sz val="9"/>
            <color indexed="81"/>
            <rFont val="Tahoma"/>
            <family val="2"/>
          </rPr>
          <t>מספר שורות למוסדות</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300-000001000000}">
      <text>
        <r>
          <rPr>
            <b/>
            <sz val="9"/>
            <color indexed="81"/>
            <rFont val="Tahoma"/>
            <family val="2"/>
          </rPr>
          <t>מספר שורות למוסדות</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400-000001000000}">
      <text>
        <r>
          <rPr>
            <b/>
            <sz val="9"/>
            <color indexed="81"/>
            <rFont val="Tahoma"/>
            <family val="2"/>
          </rPr>
          <t>מספר שורות למוסדות</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500-000001000000}">
      <text>
        <r>
          <rPr>
            <b/>
            <sz val="9"/>
            <color indexed="81"/>
            <rFont val="Tahoma"/>
            <family val="2"/>
          </rPr>
          <t>מספר שורות למוסדות</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600-000001000000}">
      <text>
        <r>
          <rPr>
            <b/>
            <sz val="9"/>
            <color indexed="81"/>
            <rFont val="Tahoma"/>
            <family val="2"/>
          </rPr>
          <t>מספר שורות למוסדות</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700-000001000000}">
      <text>
        <r>
          <rPr>
            <b/>
            <sz val="9"/>
            <color indexed="81"/>
            <rFont val="Tahoma"/>
            <family val="2"/>
          </rPr>
          <t>מספר שורות למוסדות</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800-000001000000}">
      <text>
        <r>
          <rPr>
            <b/>
            <sz val="9"/>
            <color indexed="81"/>
            <rFont val="Tahoma"/>
            <family val="2"/>
          </rPr>
          <t>מספר שורות למוסדות</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900-000001000000}">
      <text>
        <r>
          <rPr>
            <b/>
            <sz val="9"/>
            <color indexed="81"/>
            <rFont val="Tahoma"/>
            <family val="2"/>
          </rPr>
          <t>מספר שורות למוסדות</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A00-000001000000}">
      <text>
        <r>
          <rPr>
            <b/>
            <sz val="9"/>
            <color indexed="81"/>
            <rFont val="Tahoma"/>
            <family val="2"/>
          </rPr>
          <t>מספר שורות למוסדות</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B00-000001000000}">
      <text>
        <r>
          <rPr>
            <b/>
            <sz val="9"/>
            <color indexed="81"/>
            <rFont val="Tahoma"/>
            <family val="2"/>
          </rPr>
          <t>מספר שורות למוסדות</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C00-000001000000}">
      <text>
        <r>
          <rPr>
            <b/>
            <sz val="9"/>
            <color indexed="81"/>
            <rFont val="Tahoma"/>
            <family val="2"/>
          </rPr>
          <t>מספר שורות למוסדות</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D00-000001000000}">
      <text>
        <r>
          <rPr>
            <b/>
            <sz val="9"/>
            <color indexed="81"/>
            <rFont val="Tahoma"/>
            <family val="2"/>
          </rPr>
          <t>מספר שורות למוסדות</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E00-000001000000}">
      <text>
        <r>
          <rPr>
            <b/>
            <sz val="9"/>
            <color indexed="81"/>
            <rFont val="Tahoma"/>
            <family val="2"/>
          </rPr>
          <t>מספר שורות למוסדות</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2F00-000001000000}">
      <text>
        <r>
          <rPr>
            <b/>
            <sz val="9"/>
            <color indexed="81"/>
            <rFont val="Tahoma"/>
            <family val="2"/>
          </rPr>
          <t>מספר שורות למוסדות</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000-000001000000}">
      <text>
        <r>
          <rPr>
            <b/>
            <sz val="9"/>
            <color indexed="81"/>
            <rFont val="Tahoma"/>
            <family val="2"/>
          </rPr>
          <t>מספר שורות למוסדות</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100-000001000000}">
      <text>
        <r>
          <rPr>
            <b/>
            <sz val="9"/>
            <color indexed="81"/>
            <rFont val="Tahoma"/>
            <family val="2"/>
          </rPr>
          <t>מספר שורות למוסדות</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200-000001000000}">
      <text>
        <r>
          <rPr>
            <b/>
            <sz val="9"/>
            <color indexed="81"/>
            <rFont val="Tahoma"/>
            <family val="2"/>
          </rPr>
          <t>מספר שורות למוסדות</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300-000001000000}">
      <text>
        <r>
          <rPr>
            <b/>
            <sz val="9"/>
            <color indexed="81"/>
            <rFont val="Tahoma"/>
            <family val="2"/>
          </rPr>
          <t>מספר שורות למוסדות</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400-000001000000}">
      <text>
        <r>
          <rPr>
            <b/>
            <sz val="9"/>
            <color indexed="81"/>
            <rFont val="Tahoma"/>
            <family val="2"/>
          </rPr>
          <t>מספר שורות למוסדות</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500-000001000000}">
      <text>
        <r>
          <rPr>
            <b/>
            <sz val="9"/>
            <color indexed="81"/>
            <rFont val="Tahoma"/>
            <family val="2"/>
          </rPr>
          <t>מספר שורות למוסדות</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600-000001000000}">
      <text>
        <r>
          <rPr>
            <b/>
            <sz val="9"/>
            <color indexed="81"/>
            <rFont val="Tahoma"/>
            <family val="2"/>
          </rPr>
          <t>מספר שורות למוסדות</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700-000001000000}">
      <text>
        <r>
          <rPr>
            <b/>
            <sz val="9"/>
            <color indexed="81"/>
            <rFont val="Tahoma"/>
            <family val="2"/>
          </rPr>
          <t>מספר שורות למוסדות</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800-000001000000}">
      <text>
        <r>
          <rPr>
            <b/>
            <sz val="9"/>
            <color indexed="81"/>
            <rFont val="Tahoma"/>
            <family val="2"/>
          </rPr>
          <t>מספר שורות למוסדות</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900-000001000000}">
      <text>
        <r>
          <rPr>
            <b/>
            <sz val="9"/>
            <color indexed="81"/>
            <rFont val="Tahoma"/>
            <family val="2"/>
          </rPr>
          <t>מספר שורות למוסדות</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A00-000001000000}">
      <text>
        <r>
          <rPr>
            <b/>
            <sz val="9"/>
            <color indexed="81"/>
            <rFont val="Tahoma"/>
            <family val="2"/>
          </rPr>
          <t>מספר שורות למוסדות</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B00-000001000000}">
      <text>
        <r>
          <rPr>
            <b/>
            <sz val="9"/>
            <color indexed="81"/>
            <rFont val="Tahoma"/>
            <family val="2"/>
          </rPr>
          <t>מספר שורות למוסדות</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C00-000001000000}">
      <text>
        <r>
          <rPr>
            <b/>
            <sz val="9"/>
            <color indexed="81"/>
            <rFont val="Tahoma"/>
            <family val="2"/>
          </rPr>
          <t>מספר שורות למוסדות</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D00-000001000000}">
      <text>
        <r>
          <rPr>
            <b/>
            <sz val="9"/>
            <color indexed="81"/>
            <rFont val="Tahoma"/>
            <family val="2"/>
          </rPr>
          <t>מספר שורות למוסדות</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3F00-000001000000}">
      <text>
        <r>
          <rPr>
            <b/>
            <sz val="9"/>
            <color indexed="81"/>
            <rFont val="Tahoma"/>
            <family val="2"/>
          </rPr>
          <t>מספר שורות למוסדות</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4000-000001000000}">
      <text>
        <r>
          <rPr>
            <b/>
            <sz val="9"/>
            <color indexed="81"/>
            <rFont val="Tahoma"/>
            <family val="2"/>
          </rPr>
          <t>מספר שורות למוסדות</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4100-000001000000}">
      <text>
        <r>
          <rPr>
            <b/>
            <sz val="9"/>
            <color indexed="81"/>
            <rFont val="Tahoma"/>
            <family val="2"/>
          </rPr>
          <t>מספר שורות למוסדות</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13" authorId="0" shapeId="0" xr:uid="{00000000-0006-0000-4200-000001000000}">
      <text>
        <r>
          <rPr>
            <b/>
            <sz val="9"/>
            <color indexed="81"/>
            <rFont val="Tahoma"/>
            <family val="2"/>
          </rPr>
          <t>מספר שורות למוסדות</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<sst xmlns="http://schemas.openxmlformats.org/spreadsheetml/2006/main" count="5253" uniqueCount="646">
  <si>
    <t>AllowFilterCheckBox</t>
  </si>
  <si>
    <t>AllowFormattingCheckBox</t>
  </si>
  <si>
    <t>AllowColumnFormattingCheckBox</t>
  </si>
  <si>
    <t>AllowRowFormattingCheckBox</t>
  </si>
  <si>
    <t>הדרכה למשתמש</t>
  </si>
  <si>
    <t>תאריך בניית המודל</t>
  </si>
  <si>
    <t>תאריך עדכון מודל</t>
  </si>
  <si>
    <r>
      <rPr>
        <b/>
        <sz val="20"/>
        <color theme="1"/>
        <rFont val="Calibri"/>
        <family val="2"/>
        <scheme val="minor"/>
      </rPr>
      <t>הערה חשובה:</t>
    </r>
    <r>
      <rPr>
        <b/>
        <sz val="16"/>
        <color theme="1"/>
        <rFont val="Calibri"/>
        <family val="2"/>
        <scheme val="minor"/>
      </rPr>
      <t xml:space="preserve"> בעת עריכת המודל - חל </t>
    </r>
    <r>
      <rPr>
        <b/>
        <u/>
        <sz val="16"/>
        <color theme="1"/>
        <rFont val="Calibri"/>
        <family val="2"/>
        <scheme val="minor"/>
      </rPr>
      <t>איסור מוחלט</t>
    </r>
    <r>
      <rPr>
        <b/>
        <sz val="16"/>
        <color theme="1"/>
        <rFont val="Calibri"/>
        <family val="2"/>
        <scheme val="minor"/>
      </rPr>
      <t xml:space="preserve"> לבצע </t>
    </r>
    <r>
      <rPr>
        <i/>
        <u/>
        <sz val="16"/>
        <color theme="1"/>
        <rFont val="Calibri"/>
        <family val="2"/>
        <scheme val="minor"/>
      </rPr>
      <t>גזירה</t>
    </r>
    <r>
      <rPr>
        <i/>
        <sz val="16"/>
        <color theme="1"/>
        <rFont val="Calibri"/>
        <family val="2"/>
        <scheme val="minor"/>
      </rPr>
      <t xml:space="preserve"> והדבקה</t>
    </r>
    <r>
      <rPr>
        <b/>
        <sz val="16"/>
        <color theme="1"/>
        <rFont val="Calibri"/>
        <family val="2"/>
        <scheme val="minor"/>
      </rPr>
      <t xml:space="preserve"> או </t>
    </r>
    <r>
      <rPr>
        <i/>
        <sz val="16"/>
        <color theme="1"/>
        <rFont val="Calibri"/>
        <family val="2"/>
        <scheme val="minor"/>
      </rPr>
      <t>העברה של תא ממקום למקום על ידי גרירה</t>
    </r>
    <r>
      <rPr>
        <b/>
        <sz val="16"/>
        <color theme="1"/>
        <rFont val="Calibri"/>
        <family val="2"/>
        <scheme val="minor"/>
      </rPr>
      <t>.
אסור לבצע "הוספה" או "מחיקה" של שורות או עמודות</t>
    </r>
  </si>
  <si>
    <t>הוראת שעה/מעבר:</t>
  </si>
  <si>
    <t>הדרכה להזנת נתונים</t>
  </si>
  <si>
    <t>צבע התא</t>
  </si>
  <si>
    <t>מטרת התא</t>
  </si>
  <si>
    <t>דגש</t>
  </si>
  <si>
    <t>צהוב</t>
  </si>
  <si>
    <t>הזנת נתונים</t>
  </si>
  <si>
    <t>נדרש להזין מידע בהתאם להנחיות מבחן התמיכה, אי הזנה של תא יכולה להביא לידי שגיאה בתוצאות במודל. במקומות שבהם מזינים 0/1, אז המשמעות של 0 הוא "לא" ו-1 "כן"</t>
  </si>
  <si>
    <t>חום</t>
  </si>
  <si>
    <t>הצגת מידע</t>
  </si>
  <si>
    <t>תא שאיננו מיועד להזנה. תא זה מציג מידע עפ"י נוסחה קבועה ואין לשנות אותה.</t>
  </si>
  <si>
    <t>אדום</t>
  </si>
  <si>
    <t>התראת שגיאה</t>
  </si>
  <si>
    <t>קיימת שגיאה בהזנת נתונים באחד מהתאים המיועדים להזנה, נדרש להזין את הנתונים הנדרשים לפני קביעת גובה תמיכה סופי.</t>
  </si>
  <si>
    <t>יש לעדכן את שנת התמיכה והתקציב בגיליון פרמטרים לקריטריונים.
את רשימת כל ההוצאות לאור של חוברות כתב העת יש להזין בגיליונות העזר.
את רשימת המוסדות יש להזין בגיליונות השמאליים של הקובץ הממוספרים מ-1 עד 40 במקום שם הגיליון.
במידה והוחלט לא להשתמש בגיליון לאחר כתיבת השם, נדרש לשנות חזרה את שם הגיליון למספרו הסידורי.
יש למלא בכל גיליון של משתנה את הנתונים הרלוונטיים. במידה ויש נתון אשר הוזן בגיליון קודם, נתון זה יועבר באופן אוטומטי לגיליונות הרלוונטיים ללא צורך בהזנה חוזרת.</t>
  </si>
  <si>
    <t>שנת התקציב</t>
  </si>
  <si>
    <t>תקציב</t>
  </si>
  <si>
    <t>פרמטרים לחישוב ניקוד מספר החוברות</t>
  </si>
  <si>
    <t>הגדרות</t>
  </si>
  <si>
    <t>הגדרת שנה</t>
  </si>
  <si>
    <t>תאריך התחלה</t>
  </si>
  <si>
    <t>תאריך סיום</t>
  </si>
  <si>
    <t>סימול</t>
  </si>
  <si>
    <t>מספר העמודים</t>
  </si>
  <si>
    <t>ניקוד</t>
  </si>
  <si>
    <t>שנת התמיכה</t>
  </si>
  <si>
    <t>מ-</t>
  </si>
  <si>
    <t xml:space="preserve">עד - </t>
  </si>
  <si>
    <t>שנת ההערכה</t>
  </si>
  <si>
    <t>א'</t>
  </si>
  <si>
    <t>שנת התקציב המבוקר</t>
  </si>
  <si>
    <t>ב'</t>
  </si>
  <si>
    <t>שנת כספים קודמת</t>
  </si>
  <si>
    <t>ג'</t>
  </si>
  <si>
    <t>ד'</t>
  </si>
  <si>
    <t>ה'</t>
  </si>
  <si>
    <t>מחיר מינימום לחוברת</t>
  </si>
  <si>
    <t>פרמטרים לחישוב ניקוד הפצה באינטרנט</t>
  </si>
  <si>
    <t>משקל המשתנים בתחשיב הבסיסי</t>
  </si>
  <si>
    <t>מפתח ניקוד הפצה באינטרנט</t>
  </si>
  <si>
    <t>משתנה</t>
  </si>
  <si>
    <t>משקל</t>
  </si>
  <si>
    <t>סעיף</t>
  </si>
  <si>
    <t>ניקוד לחוברת שלפחות 60% מתוכנה הוצג באינטרנט בחינם לכלל הציבור</t>
  </si>
  <si>
    <t>מקסימום ניקוד לחוברת שחלק משמעותי מתוכנה הוצג באינטרנט</t>
  </si>
  <si>
    <t>מכפיל ניקוד להיקף יוצא דופן או רמה מקצועית גבוהה במיוחד</t>
  </si>
  <si>
    <t>סה"כ</t>
  </si>
  <si>
    <t>מכפיל סיווג כתב העת</t>
  </si>
  <si>
    <t>קבוצה</t>
  </si>
  <si>
    <t>מכפיל ניקוד</t>
  </si>
  <si>
    <t>פרמטרים לחישוב מנגנון ההגנה</t>
  </si>
  <si>
    <t>רמה אמנותית נאותה</t>
  </si>
  <si>
    <t>מנגנון ההגנה</t>
  </si>
  <si>
    <t>רמה אמנותית גבוהה</t>
  </si>
  <si>
    <t>ערך</t>
  </si>
  <si>
    <t>רמה אמנותית גבוהה ובעלת תרומה משמעותית</t>
  </si>
  <si>
    <t>שיעור פיחות מירבי בתמיכה</t>
  </si>
  <si>
    <t>בונוס עבור עמידה במגבלות חריגה תקציבית</t>
  </si>
  <si>
    <t>שיעור תמיכה מינימלי משנה קודמת</t>
  </si>
  <si>
    <t>שיעור</t>
  </si>
  <si>
    <t>הערות</t>
  </si>
  <si>
    <t>גרעון שוטף</t>
  </si>
  <si>
    <t>תנאים מצטברים</t>
  </si>
  <si>
    <t>פרמטרים לחישוב הפחתות בגין חריגות שכר</t>
  </si>
  <si>
    <t>גרעון מצטבר</t>
  </si>
  <si>
    <t>חריגות שכר</t>
  </si>
  <si>
    <t>שיעור הבונוס</t>
  </si>
  <si>
    <t>מכפלת חריגה</t>
  </si>
  <si>
    <t>פרמטרים לחישוב הרכב חברי הוועדה</t>
  </si>
  <si>
    <t>30% מכלל חברי הוועדה נשים</t>
  </si>
  <si>
    <t>פרמטרים להגדרת כתב עת</t>
  </si>
  <si>
    <t>התנאי</t>
  </si>
  <si>
    <t>מס' חוברות שיצאו לאור הינו לפחות:</t>
  </si>
  <si>
    <t>מס' עמודים בכל חוברת הינו לפחות:</t>
  </si>
  <si>
    <t>מס' עותקים של כל אחת מהחוברות לגביהן מבוקשת תמיכה אשר נמכרה לציבור, או הופצה לחנויות ולמנויים הינו לפחות:</t>
  </si>
  <si>
    <t>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t>
  </si>
  <si>
    <t>מרבית התכנים בכל חוברת עוסקים בעשייה האמנותית והמקצועית באחד או יותר מהתחומים הנתמכים על ידי מינהל התרבות, בהתאם למחלקות השונות, ולרבות בתחום מחקר ומורשת</t>
  </si>
  <si>
    <t>החוברות הינן בעלות רמה אמנותית נאותה ורמה הפקתית נאותה</t>
  </si>
  <si>
    <t>בדוק נתוני הזנה</t>
  </si>
  <si>
    <t>4(1)</t>
  </si>
  <si>
    <t>4(2)</t>
  </si>
  <si>
    <t>4(3)</t>
  </si>
  <si>
    <t>4(4)</t>
  </si>
  <si>
    <t>4(4ב)</t>
  </si>
  <si>
    <t>4(5)</t>
  </si>
  <si>
    <t>4(6)</t>
  </si>
  <si>
    <t>4(7)</t>
  </si>
  <si>
    <t>4(8)</t>
  </si>
  <si>
    <t>5(א)(1)</t>
  </si>
  <si>
    <t>5(ב)</t>
  </si>
  <si>
    <t>5(א)(2)</t>
  </si>
  <si>
    <t>5(א)(3)</t>
  </si>
  <si>
    <t>5(א)(4)</t>
  </si>
  <si>
    <t>5(א)(5)</t>
  </si>
  <si>
    <t>מספר סידורי</t>
  </si>
  <si>
    <t>שם כתב העת</t>
  </si>
  <si>
    <t>מועד התחלת הוצאה לאור</t>
  </si>
  <si>
    <t>מספר שנות ותק</t>
  </si>
  <si>
    <t>המוסד עומד בדרישות הנוהל ומסר את כל המידע והמסמכים שנתבקש  
(0/1)</t>
  </si>
  <si>
    <t>המוסד הגיש דוחות ביצוע שוטפים, רבעוניים ושנתיים  (0/1)</t>
  </si>
  <si>
    <t>כתב העת יוצא לאור במסגרת של תאגיד העוסק במגוון תחומים   
(0/1)</t>
  </si>
  <si>
    <t>תקציב כתב העת הינו סגור ומובחן מתקציבו הכולל של התאגיד ויש לו הנהלה אמנותית נפרדת  
(0/1)</t>
  </si>
  <si>
    <t>עומד בתנאי לעניין מסגרת הוצאת כתב העת  
(0/1)</t>
  </si>
  <si>
    <t>שנה ראשונה לקבלת תמיכה  (0/1)</t>
  </si>
  <si>
    <t xml:space="preserve">עומד בתנאי לעניין הגשה </t>
  </si>
  <si>
    <t>אישור מיוחד  (0/1)</t>
  </si>
  <si>
    <t>עומד בתנאי הוציא לאור מס' חוברות בהיקף מתאים</t>
  </si>
  <si>
    <t xml:space="preserve">מספר החוברות בהן מרבית התכנים בכל חוברת עוסקים בעשייה אומנותית ומקצועית לרבות בתחום מחקר ומורשת, בתחומים הנתמכים על ידי מנהל תרבות 
</t>
  </si>
  <si>
    <t xml:space="preserve">מספר החוברות בעלות רמה אומנותית והפקתית נאותה </t>
  </si>
  <si>
    <t>מספר החוברות בהן מרבית התכנים עוסקים בעשייה אומנותית ומקצועית לרבות בתחום מחקר ומורשת, בתחומים הנתמכים על ידי מנהל תרבות</t>
  </si>
  <si>
    <t>עומד בתנאי כי כל אחת מהחוברות לגביהן מבוקשת תמיכה, נמכרה לציבור, או הופצה לחנויות ולמנויים, ב-200 עותקים לפחות</t>
  </si>
  <si>
    <t>שעור משוקלל של יצירה מקורית מהתכנים הנכללים בכל החוברות לגביהן מבוקשת תמיכה</t>
  </si>
  <si>
    <t>עומד בתנאי כי לפחות 70% מהתכנים הנכללים בחוברות הם יצירה מקורית שלא פורסמה קודם לכן במסגרת אחרת</t>
  </si>
  <si>
    <t>עומד בתנאי הסף</t>
  </si>
  <si>
    <t>שיעור יחסי</t>
  </si>
  <si>
    <t>ה</t>
  </si>
  <si>
    <t>ד</t>
  </si>
  <si>
    <t>ג</t>
  </si>
  <si>
    <t>ב</t>
  </si>
  <si>
    <t>א</t>
  </si>
  <si>
    <t xml:space="preserve"> </t>
  </si>
  <si>
    <t>גבוהה</t>
  </si>
  <si>
    <t>נאותה</t>
  </si>
  <si>
    <t>תרומה משמעותית</t>
  </si>
  <si>
    <t>קבוצה (נאותה/גבוהה/תרומה משמעותית)</t>
  </si>
  <si>
    <t>מכפיל סיווג</t>
  </si>
  <si>
    <t>רמה הפקתית 1/2/3</t>
  </si>
  <si>
    <t>שיעור התשלום ליוצרים או לחוקרים מסך התקציב</t>
  </si>
  <si>
    <t xml:space="preserve">ניקוד תמורה ליוצרים </t>
  </si>
  <si>
    <t>ניקוד תמורה ליוצרים לאחר מקדם סיווג</t>
  </si>
  <si>
    <t>מספר החוברות שהופצו באינטרנט שאושרו לניקוד</t>
  </si>
  <si>
    <t>קיום תכנים יוצאי דופן או שרמתו המקצועית של האתר היא גבוהה במיוחד
0/1</t>
  </si>
  <si>
    <r>
      <t xml:space="preserve">מספר חוברות של כתב העת שאושרו לניקוד
</t>
    </r>
    <r>
      <rPr>
        <b/>
        <sz val="9"/>
        <color indexed="16"/>
        <rFont val="Arial"/>
        <family val="2"/>
      </rPr>
      <t>(200 עותקים במחיר שלא יפחת מ- 15 ₪ וחולקו לחברים המשלמים דמי חבר שנתיים)</t>
    </r>
  </si>
  <si>
    <t>מספר העותקים שהופצו לספריות ציבוריות באמצעות מרכז ההדרכה</t>
  </si>
  <si>
    <t>מספר העותקים שנמכרו לספריות ציבוריות במחיר שאינו נמוך ממחצית המחיר לציבור</t>
  </si>
  <si>
    <t>וותק</t>
  </si>
  <si>
    <t>התחשיב הבסיסי</t>
  </si>
  <si>
    <t>שיעור התמיכה</t>
  </si>
  <si>
    <t>סכום בסיסי</t>
  </si>
  <si>
    <t>מספר שאינו שלילי</t>
  </si>
  <si>
    <t>מגנון הייצוב</t>
  </si>
  <si>
    <t>שעור יחסי לפני ייצוב</t>
  </si>
  <si>
    <t>הפעילות נתמכת לראשונה בתחום מקצועי זה (ברירת מחדל - לא)</t>
  </si>
  <si>
    <t>שיעור תמיכה לאחר ייצוב</t>
  </si>
  <si>
    <t>שיעור יחסי לאחר ייצוב</t>
  </si>
  <si>
    <t>סכום לאחר ייצוב</t>
  </si>
  <si>
    <t>שם המוסד</t>
  </si>
  <si>
    <t>שיעור תמיכה לפני הגנה</t>
  </si>
  <si>
    <t>שיעור תמיכה יחסי בשנה קודמת</t>
  </si>
  <si>
    <t>זכאי להגנה בשנה זו (מוסד לא יהיה זכאי להגנה בגין כתב עת מסוים יותר מפעם אחת בארבע שנים רצופות)</t>
  </si>
  <si>
    <t>זקוק להגנה</t>
  </si>
  <si>
    <t>אינדיקציית הגנה 1</t>
  </si>
  <si>
    <t>הגנה 1</t>
  </si>
  <si>
    <t>שיעור יחסי לאחר הגנה 1</t>
  </si>
  <si>
    <t>זקוק להגנה 2</t>
  </si>
  <si>
    <t>אינדיקציית הגנה 2</t>
  </si>
  <si>
    <t>הגנה 2</t>
  </si>
  <si>
    <t>שיעור יחסי לאחר הגנה 2</t>
  </si>
  <si>
    <t>זקוק להגנה 3</t>
  </si>
  <si>
    <t>אינדיקציית הגנה 3</t>
  </si>
  <si>
    <t>הגנה 3</t>
  </si>
  <si>
    <t>שיעור יחסי לאחר הגנה 3</t>
  </si>
  <si>
    <t>זקוק להגנה 4</t>
  </si>
  <si>
    <t>אינדיקציית הגנה 4</t>
  </si>
  <si>
    <t>הגנה 4</t>
  </si>
  <si>
    <t>שיעור יחסי לאחר הגנה 4</t>
  </si>
  <si>
    <t>זקוק להגנה 5</t>
  </si>
  <si>
    <t>אינדיקציית הגנה 5</t>
  </si>
  <si>
    <t>הגנה 5</t>
  </si>
  <si>
    <t>שיעור יחסי לאחר הגנה 5</t>
  </si>
  <si>
    <t>זקוק להגנה 6</t>
  </si>
  <si>
    <t>אינדיקציית הגנה 6</t>
  </si>
  <si>
    <t>הגנה 6</t>
  </si>
  <si>
    <t>שיעור יחסי לאחר הגנה 6</t>
  </si>
  <si>
    <t>זקוק להגנה 7</t>
  </si>
  <si>
    <t>אינדיקציית הגנה 7</t>
  </si>
  <si>
    <t>הגנה 7</t>
  </si>
  <si>
    <t>שיעור יחסי לאחר הגנה 7</t>
  </si>
  <si>
    <t>זקוק להגנה 8</t>
  </si>
  <si>
    <t>אינדיקציית הגנה 8</t>
  </si>
  <si>
    <t>הגנה 8</t>
  </si>
  <si>
    <t>שיעור יחסי לאחר הגנה 8</t>
  </si>
  <si>
    <t>זקוק להגנה 9</t>
  </si>
  <si>
    <t>אינדיקציית הגנה 9</t>
  </si>
  <si>
    <t>הגנה 9</t>
  </si>
  <si>
    <t>שיעור יחסי לאחר הגנה 9</t>
  </si>
  <si>
    <t>זקוק להגנה 10</t>
  </si>
  <si>
    <t>אינדיקציית הגנה 10</t>
  </si>
  <si>
    <t>הגנה 10</t>
  </si>
  <si>
    <t>שיעור יחסי לאחר הגנה</t>
  </si>
  <si>
    <t>שיעור תמיכה לאחר הגנה</t>
  </si>
  <si>
    <t>סכום תמיכה לאחר הגנה</t>
  </si>
  <si>
    <t>0/1</t>
  </si>
  <si>
    <t>בקרת נתון זכאי להגנה</t>
  </si>
  <si>
    <t>תמיכה לאחר הפחתות בגין חריגות שכר</t>
  </si>
  <si>
    <t>סכום לאחר הגנה</t>
  </si>
  <si>
    <t>סה"כ חריגה</t>
  </si>
  <si>
    <t>סכום לאחר קיזוז חריגות</t>
  </si>
  <si>
    <t>סכום לאחר חריגות שכר</t>
  </si>
  <si>
    <t>הרכב חברי וועדה</t>
  </si>
  <si>
    <t>שיעור תמיכה לפני הרכב חברי הוועדה</t>
  </si>
  <si>
    <t>מספר חברים בוועדה</t>
  </si>
  <si>
    <t>מספר נשים בוועדה</t>
  </si>
  <si>
    <t>אחוז נשים בוועדה</t>
  </si>
  <si>
    <t>שיעור תמיכה לאחר הרכב חברי וועדה</t>
  </si>
  <si>
    <t>גובה התמיכה</t>
  </si>
  <si>
    <t>תמיכה לאחר בונוס תקציב</t>
  </si>
  <si>
    <t>קיצוץ תקציבי לנטרול</t>
  </si>
  <si>
    <t>עודף / גרעון לאחר נטרול קיצוץ תקציבי</t>
  </si>
  <si>
    <t>אחוז הגירעון / העודף מהתקציב</t>
  </si>
  <si>
    <t>עודף / גרעון מצטבר לשימוש במודל</t>
  </si>
  <si>
    <t>אחוז הגירעון / העודף המצטבר מהתקציב</t>
  </si>
  <si>
    <t>זכאות לבונוס
(0/1)</t>
  </si>
  <si>
    <t>שיעור
(לאחר בונוס גרעון)</t>
  </si>
  <si>
    <t>סכום זמני לאחר בונוס</t>
  </si>
  <si>
    <t>שיעור יחסי
(שיעור התמיכה)</t>
  </si>
  <si>
    <t>תמיכה</t>
  </si>
  <si>
    <t>סכום שלא חולק:</t>
  </si>
  <si>
    <t>סכום מבוקש</t>
  </si>
  <si>
    <t>שיעור תמיכה לאחר הרכב חברי הוועדה</t>
  </si>
  <si>
    <t>סכום תמיכה לאחר הרכב חברי הוועדה</t>
  </si>
  <si>
    <t>סכום תמיכה מבוקש</t>
  </si>
  <si>
    <t>נתון עזר</t>
  </si>
  <si>
    <t>שיעור תמיכה לאחר הגבלה לפי סכום מבוקש</t>
  </si>
  <si>
    <t>סכום תמיכה לאחר הגבלה לפי סכום מבוקש</t>
  </si>
  <si>
    <t>גובה ההפרש שחולק בין יתר כתבי העת</t>
  </si>
  <si>
    <t>שיעור התמיכה וסכום התמיכה לפי המודל</t>
  </si>
  <si>
    <t>שיעור תמיכה</t>
  </si>
  <si>
    <t>תמיכה ע"פ המודל</t>
  </si>
  <si>
    <t>סכום תמיכה בשנה קודמת</t>
  </si>
  <si>
    <t>שינוי לעומת שנה קודמת (בש"ח)</t>
  </si>
  <si>
    <t xml:space="preserve">שיעור השינוי לעומת שנה קודמת </t>
  </si>
  <si>
    <t>סך הוצאות כתב העת</t>
  </si>
  <si>
    <t>שעור תמיכה על פי המודל מהוצאות כתב העת</t>
  </si>
  <si>
    <t>הערה</t>
  </si>
  <si>
    <t>חסר נתון</t>
  </si>
  <si>
    <t>גובה סכום התמיכה המבוקש</t>
  </si>
  <si>
    <t>גובה תמיכה מומלצת</t>
  </si>
  <si>
    <t>האם קיימת הגבלה ראשונית?</t>
  </si>
  <si>
    <t xml:space="preserve">תמיכה מקסימאלית </t>
  </si>
  <si>
    <t>גובה תמיכה לאחר הגבלה לסכום מבוקש</t>
  </si>
  <si>
    <t>תמיכה יחסית לאחר הגבלה לסכום מבוקש</t>
  </si>
  <si>
    <t>שיעור תמיכה יחסי</t>
  </si>
  <si>
    <t>בקרץ מספר נשים בוועד</t>
  </si>
  <si>
    <t>נתון עזר 2</t>
  </si>
  <si>
    <t>תמיכה מקסימאלית 2</t>
  </si>
  <si>
    <t>תמיכה 2</t>
  </si>
  <si>
    <t>נתון עזר 3</t>
  </si>
  <si>
    <t>תמיכה מקסימאלית 3</t>
  </si>
  <si>
    <t>תמיכה 3</t>
  </si>
  <si>
    <t>נתון עזר 4</t>
  </si>
  <si>
    <t>תמיכה מקסימאלית 4</t>
  </si>
  <si>
    <t>תמיכה 4</t>
  </si>
  <si>
    <t>נתון עזר 5</t>
  </si>
  <si>
    <t>תמיכה מקסימאלית 5</t>
  </si>
  <si>
    <t>תמיכה 5</t>
  </si>
  <si>
    <t>סכום תמיכה לגופים חוץ מהגוף המקוזז</t>
  </si>
  <si>
    <t>סה"כ קיזוזים בגין איחורים</t>
  </si>
  <si>
    <t>גובה התמיכה המומלצת</t>
  </si>
  <si>
    <t>ימי איחור</t>
  </si>
  <si>
    <t>גובה סכום מקוזז</t>
  </si>
  <si>
    <t>סכום תמיכה ראשוני לאחר קיזוז</t>
  </si>
  <si>
    <t>גובה תמיכה לאחר קיזוזים</t>
  </si>
  <si>
    <t>הגוף מקוזז בוועדה</t>
  </si>
  <si>
    <t>הגוף מקוזז באיחורים</t>
  </si>
  <si>
    <t>הגוף מקוזז</t>
  </si>
  <si>
    <t>סכום תוספת</t>
  </si>
  <si>
    <t>מספר שלם שאינו שלילי</t>
  </si>
  <si>
    <t>גובה התמיכה המומלץ</t>
  </si>
  <si>
    <t>סה"כ קיזוזים</t>
  </si>
  <si>
    <t>גובה סכום התמיכה המבוקש לאחר הפחתת קיזוזים</t>
  </si>
  <si>
    <t>תמיכה ראשונית</t>
  </si>
  <si>
    <t>תמיכה לאחר הגבלה לסכום מבוקש (2)</t>
  </si>
  <si>
    <t>מגיש בקשה</t>
  </si>
  <si>
    <t>מספר העמותה</t>
  </si>
  <si>
    <t>שם הגוף</t>
  </si>
  <si>
    <t>מהות הבקשה</t>
  </si>
  <si>
    <t>קיזוזים בגין ימי איחור</t>
  </si>
  <si>
    <t>קיזוזים בגין החלטות ועדה</t>
  </si>
  <si>
    <t>סיבות לשינויים ביחס לשנה קודמת</t>
  </si>
  <si>
    <t>נימוקים</t>
  </si>
  <si>
    <t>תמיכה בכתב העת "דעות"</t>
  </si>
  <si>
    <t>הליקון</t>
  </si>
  <si>
    <t>כתב עת ננופואטיקה</t>
  </si>
  <si>
    <t>אגודת הסופרים העבריים במדינת ישראל</t>
  </si>
  <si>
    <t>מאזניים</t>
  </si>
  <si>
    <t>אגודת סופרים ואמנים לקידום הספרות ו</t>
  </si>
  <si>
    <t>תמיכה שוטפת בעיתון 77</t>
  </si>
  <si>
    <t>כתב העת הכיוון מזרח</t>
  </si>
  <si>
    <t>תיאטרון תנועה "תמו-נע"</t>
  </si>
  <si>
    <t>מוסד ביאליק מיסודה של ההסתרות הציונ</t>
  </si>
  <si>
    <t>מכון מש"ה - לחקר משנת הרמב"ם מייסוד</t>
  </si>
  <si>
    <t>סוגי בקרות</t>
  </si>
  <si>
    <t>מספר</t>
  </si>
  <si>
    <t>מספר שלם</t>
  </si>
  <si>
    <t>מספר חיובי</t>
  </si>
  <si>
    <t>מספר שלם חיובי</t>
  </si>
  <si>
    <t>טקסט</t>
  </si>
  <si>
    <t>טקסט מרשימה סגורה</t>
  </si>
  <si>
    <t>מספר בקרה</t>
  </si>
  <si>
    <t>רשימה סגורה</t>
  </si>
  <si>
    <t>עבור תנאי סף</t>
  </si>
  <si>
    <t>מס"ד</t>
  </si>
  <si>
    <t>חוברת א</t>
  </si>
  <si>
    <t>חוברת ב</t>
  </si>
  <si>
    <t>חוברת ג</t>
  </si>
  <si>
    <t>חוברת ד</t>
  </si>
  <si>
    <t>חוברת ה</t>
  </si>
  <si>
    <t>חוברת ל</t>
  </si>
  <si>
    <t>מס' חוברות שהופצו באינטרנט יעודי</t>
  </si>
  <si>
    <t>עומד בתנאי הגדרת כתב עת</t>
  </si>
  <si>
    <t>סה"כ ניקוד</t>
  </si>
  <si>
    <t>בקרה ראשית</t>
  </si>
  <si>
    <t>שעור משוקלל של יצירה מקורית</t>
  </si>
  <si>
    <t>חוברות העונות על הגדרת כתב עת</t>
  </si>
  <si>
    <t>מספר סידורי של המוסד</t>
  </si>
  <si>
    <t>תאריך</t>
  </si>
  <si>
    <t>עומד בהגדרות כתב עת</t>
  </si>
  <si>
    <t>משתנה היקף החוברות</t>
  </si>
  <si>
    <t>משתנה הפצה של כתב עת</t>
  </si>
  <si>
    <t>לא נאותה</t>
  </si>
  <si>
    <t>חוברות שאינן עונות על הגדרת כתב עת</t>
  </si>
  <si>
    <t>כל אחת מהחוברות לגביהן מבוקשת תמיכה, נמכרה לציבור, או הופצה לחנויות ולמנויים, ב-200 עותקים לפחות</t>
  </si>
  <si>
    <t>הרמה האמנותית וההפקתית של החוברת היא נאותה</t>
  </si>
  <si>
    <t>מרבית התכנים בחוברת עוסקים בעשייה אומנותית ומקצועית לרבות בתחום מחקר ומורשת, בתחומים הנתמכים על ידי מנהל תרבות</t>
  </si>
  <si>
    <t>החוברת עונה על הגדרת כתב עת</t>
  </si>
  <si>
    <t>H</t>
  </si>
  <si>
    <t>I</t>
  </si>
  <si>
    <t>J</t>
  </si>
  <si>
    <t>K</t>
  </si>
  <si>
    <t>L</t>
  </si>
  <si>
    <t>M</t>
  </si>
  <si>
    <t>N</t>
  </si>
  <si>
    <t>O</t>
  </si>
  <si>
    <t>P</t>
  </si>
  <si>
    <t>Q</t>
  </si>
  <si>
    <t>R</t>
  </si>
  <si>
    <t>S</t>
  </si>
  <si>
    <t>T</t>
  </si>
  <si>
    <t>U</t>
  </si>
  <si>
    <t>V</t>
  </si>
  <si>
    <t>W</t>
  </si>
  <si>
    <t>X</t>
  </si>
  <si>
    <t>Y</t>
  </si>
  <si>
    <t>תנאי סף</t>
  </si>
  <si>
    <t>מועד הוצאה לאור של החוברת</t>
  </si>
  <si>
    <t>שם החוברת</t>
  </si>
  <si>
    <t>מס' עמודי תוכן בחוברת</t>
  </si>
  <si>
    <t>מס' פרסומים</t>
  </si>
  <si>
    <t>פרסום ראשון</t>
  </si>
  <si>
    <t>שעור יצירה מקורית</t>
  </si>
  <si>
    <t>מס' עותקים שנמכרו למנויים</t>
  </si>
  <si>
    <t>מס' עותקים שנמכרו במכירה חופשית</t>
  </si>
  <si>
    <t>מס' עותקים שהופצו בלא תשלום</t>
  </si>
  <si>
    <t>סה"כ מספר עותקים</t>
  </si>
  <si>
    <t>מחיר חוברת</t>
  </si>
  <si>
    <t>האם לפחות 60% מהתכנים הנכללים בחוברת הוצגו באינטרנט ייעודי לכתב העת שהינו בחינם לכלל הציבור</t>
  </si>
  <si>
    <t>1280 כתב עת לתרבות חומרית</t>
  </si>
  <si>
    <t>יהי</t>
  </si>
  <si>
    <t>דעות</t>
  </si>
  <si>
    <t>ננופואטיקה</t>
  </si>
  <si>
    <t>מאזנים</t>
  </si>
  <si>
    <t>משיב הרוח</t>
  </si>
  <si>
    <t>עתון 77</t>
  </si>
  <si>
    <t>הו! כתב עת לספרות עברית</t>
  </si>
  <si>
    <t>הבה להבא</t>
  </si>
  <si>
    <t>מגזין מחול עכשיו</t>
  </si>
  <si>
    <t>מדעי היהדות</t>
  </si>
  <si>
    <t>גופא</t>
  </si>
  <si>
    <t>ערב רב</t>
  </si>
  <si>
    <t>מעלה</t>
  </si>
  <si>
    <t>כתב עת ירושלמי</t>
  </si>
  <si>
    <t>אמנים יוצרים כתב עת לתרבות חמרית 2024</t>
  </si>
  <si>
    <t>כתב עת יהי 2024</t>
  </si>
  <si>
    <t>כתב העת הליקון 2024</t>
  </si>
  <si>
    <t>כתב עת</t>
  </si>
  <si>
    <t>הוצאת 5 גיליונות של כתב העת משיב הרוח</t>
  </si>
  <si>
    <t>תמיכה בהוצאת 2 חוברות "עמדה"</t>
  </si>
  <si>
    <t>בקשה לתמיכה לשנת 2024</t>
  </si>
  <si>
    <t>,תמיכה בכתב עת קתרסיס</t>
  </si>
  <si>
    <t>כתה עת הבה להבא</t>
  </si>
  <si>
    <t>כתבי עת 2024</t>
  </si>
  <si>
    <t>תמיכה בכתב העת מדעי היהדות</t>
  </si>
  <si>
    <t>קידום נתיב האמן (ע"ר)</t>
  </si>
  <si>
    <t>כתב עת גופא</t>
  </si>
  <si>
    <t>כתב עת מעלה</t>
  </si>
  <si>
    <t>כתב עת ירושלמי 2024</t>
  </si>
  <si>
    <t>תמיכה בכתב העת הו! 2024</t>
  </si>
  <si>
    <t>בקשה לתמיכה בכתב העת בית מקרא</t>
  </si>
  <si>
    <t>בקשת תמיכה 2024 כתב העת היסטוריה</t>
  </si>
  <si>
    <t>תמיכה בהוצאה לאור של כתבי עת לשנת 2024</t>
  </si>
  <si>
    <t>בר-קיימא לתרבות, אמנות, מוסיקה ושלו</t>
  </si>
  <si>
    <t>ערב-רב: כתב-עת לאמנות</t>
  </si>
  <si>
    <t>במוסד בו מועסקים עובדים ביחסי עבודה, המוסד קבע תקנון למניעת הטרדה מינית ועומד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t>
  </si>
  <si>
    <t>מומלץ לתמיכה</t>
  </si>
  <si>
    <t>סה"כ ניקוד חוברות לפני מקדם</t>
  </si>
  <si>
    <t>סה"כ חוברות העונות להגדרת כתב עת</t>
  </si>
  <si>
    <t>מספר חוברות שלא עונות להגדרת כתב עת</t>
  </si>
  <si>
    <t>סה"כ ניקוד לפני מקדם</t>
  </si>
  <si>
    <t>מספר בקשה</t>
  </si>
  <si>
    <t>תיאור בקשה קצר</t>
  </si>
  <si>
    <t>סטאטוס</t>
  </si>
  <si>
    <t>מזהה מגיש הבקשה</t>
  </si>
  <si>
    <t>מס' מגיש (ספק)</t>
  </si>
  <si>
    <t>שם מגיש הבקשה</t>
  </si>
  <si>
    <t>שנת בקשה</t>
  </si>
  <si>
    <t>סכום מעודכן</t>
  </si>
  <si>
    <t>מס' תקנה</t>
  </si>
  <si>
    <t>תיאור תקנה תקציבית</t>
  </si>
  <si>
    <t>חויב</t>
  </si>
  <si>
    <t>אשכולות יואב (ע"ר)</t>
  </si>
  <si>
    <t>המרכז לתיאטרון של עכו (ע"ר)</t>
  </si>
  <si>
    <t>בוטל</t>
  </si>
  <si>
    <t>מ. א. הגליל העליון</t>
  </si>
  <si>
    <t>נעסף</t>
  </si>
  <si>
    <t>"רגעים"- עמותה לחינוך בלתי פורמלי ב</t>
  </si>
  <si>
    <t>עירית ראשון לציון</t>
  </si>
  <si>
    <t>עירית רחובות</t>
  </si>
  <si>
    <t>תיאטרון הפרינג' באר שבע (ע"ר)</t>
  </si>
  <si>
    <t>עירית תל-אביב-יפו</t>
  </si>
  <si>
    <t>תאטרון "פסיק" ירושלים )ע"ר(</t>
  </si>
  <si>
    <t>מועד</t>
  </si>
  <si>
    <t>מ. א. אשכול</t>
  </si>
  <si>
    <t>עירית רעננה</t>
  </si>
  <si>
    <t>מרכז קהילתי ביבנה עש גרמנוב וסימון</t>
  </si>
  <si>
    <t>טיוט</t>
  </si>
  <si>
    <t>בקשה לתמיכה לשנת 2025</t>
  </si>
  <si>
    <t>.</t>
  </si>
  <si>
    <t>חברותא 2024</t>
  </si>
  <si>
    <t>2024</t>
  </si>
  <si>
    <t>19-42-02-22</t>
  </si>
  <si>
    <t>ספרות</t>
  </si>
  <si>
    <t>אירועים ספרותיים</t>
  </si>
  <si>
    <t>התזמורת הקאמרית הישראלית</t>
  </si>
  <si>
    <t>מצרף (ע"ר)</t>
  </si>
  <si>
    <t>אירועים ספרותיים 2024</t>
  </si>
  <si>
    <t>חצר היישוב הישן ע"ש יצחק קפלן (ע"ר)</t>
  </si>
  <si>
    <t>תמיכה באירועי ספרות</t>
  </si>
  <si>
    <t>כביש אחד (ע"ר)</t>
  </si>
  <si>
    <t>אירועי ספרות ושירה</t>
  </si>
  <si>
    <t>תמיכה מופעי תיאטרון ספרות</t>
  </si>
  <si>
    <t>התיאטרון הקאמרי של תל אביב</t>
  </si>
  <si>
    <t>תמיכה באירועים ספרותיים</t>
  </si>
  <si>
    <t>עירית כפר סבא</t>
  </si>
  <si>
    <t>אמנים יוצרים בישראל (ע"ר)</t>
  </si>
  <si>
    <t>תרגום והפצת ספרות ושירה ישראליים בעולם</t>
  </si>
  <si>
    <t>המכון הישראלי לספרות עברית (ע"ר)</t>
  </si>
  <si>
    <t>הו! עמותה לספרות עברית (ע"ר)</t>
  </si>
  <si>
    <t>הו! ערבי תרבות רב תחומיים 2024</t>
  </si>
  <si>
    <t>אורתו דה אירועי ספרות 2024</t>
  </si>
  <si>
    <t>אורתו-דה (ע"ר)</t>
  </si>
  <si>
    <t>מופעי שירה ופסטיבלים</t>
  </si>
  <si>
    <t>מקום לשירה (ע"ר)</t>
  </si>
  <si>
    <t>תיאטרון ניקו ניתאי ערבי ספרות 2024</t>
  </si>
  <si>
    <t>תיאטרון ניקו ניתאי (ע"ר)</t>
  </si>
  <si>
    <t>ערבי ספרות עברית -ערבית</t>
  </si>
  <si>
    <t>תיאטרון יפו (ע"ר)</t>
  </si>
  <si>
    <t>סופרים 2024</t>
  </si>
  <si>
    <t>מרכז קהילתי מתנ"ס בנימינה- גבעת עדה</t>
  </si>
  <si>
    <t>מגזין ספרותי- סדרת מפגשים ספרותיים בחיפה</t>
  </si>
  <si>
    <t>אתו"ס - החברה לאומנות תרבות וספורט</t>
  </si>
  <si>
    <t>תן למילים שוטף 2024</t>
  </si>
  <si>
    <t>החברה לפיתוח תיאטרון, מוסיקה, אמנות</t>
  </si>
  <si>
    <t>פסטיבל המשוררים הישראלי במטולה</t>
  </si>
  <si>
    <t>הקם (חל"צ)</t>
  </si>
  <si>
    <t>מפגשי שירה וספרות</t>
  </si>
  <si>
    <t>16750ספריות</t>
  </si>
  <si>
    <t>אירועי ספרות ברחבי הארץ</t>
  </si>
  <si>
    <t>עמותת אלול - אלו ואלו</t>
  </si>
  <si>
    <t>ארועי ספרות 2024</t>
  </si>
  <si>
    <t>בית מורשת אורי צבי גרינברג (ע"ר)</t>
  </si>
  <si>
    <t>בית עגנון בירושלים</t>
  </si>
  <si>
    <t>אירועי ספרות גליל עליון</t>
  </si>
  <si>
    <t>ארוח סופרים ומשוררים</t>
  </si>
  <si>
    <t>נאמני תורה ועבודה -קולך (ע"ר)</t>
  </si>
  <si>
    <t>משיב הרוח- לתרבות יהודית ישראלית (ע</t>
  </si>
  <si>
    <t>מגוון גדול של אירועי ספרות</t>
  </si>
  <si>
    <t>מפגשי ספרות 2024</t>
  </si>
  <si>
    <t>המוזיאון הארכיאולוגי בקיבוץ עין-דור</t>
  </si>
  <si>
    <t>תמיכה בארועי ספרות</t>
  </si>
  <si>
    <t>מרכז החאן</t>
  </si>
  <si>
    <t>המכון לקידום תיאטרון יהודי (ע''ר)</t>
  </si>
  <si>
    <t>פסיפס - עיתון למידע על שירה - ספרי</t>
  </si>
  <si>
    <t>הסמטה אירועי ספרות 2024</t>
  </si>
  <si>
    <t>האיגוד העולמי למדעי היהדות (ע"ר)</t>
  </si>
  <si>
    <t>סלון ספרות ושירה</t>
  </si>
  <si>
    <t>כורש - עמותה לקידום אמנות ותרבות (ע</t>
  </si>
  <si>
    <t>ערבי ספרות 2024</t>
  </si>
  <si>
    <t>כל ישראל חברים (ע"ר)</t>
  </si>
  <si>
    <t>חוג ספרות חוג העמקים</t>
  </si>
  <si>
    <t>חוג העמקים (ע"ר)</t>
  </si>
  <si>
    <t>קבוצת התיאטרון הירושלמי ע"ש בצלאל</t>
  </si>
  <si>
    <t>אירועים ספרותיים בית אריאלה 2024</t>
  </si>
  <si>
    <t>אירועי ספרות ברשת הספריות העירוניות</t>
  </si>
  <si>
    <t>ספקטרום- ספרות 2024</t>
  </si>
  <si>
    <t>ספקטרום - בית לתרבות ואמנות בירושלי</t>
  </si>
  <si>
    <t>מפגשי ואירועי ספרות</t>
  </si>
  <si>
    <t>מדרשת שכטר (ע"ר)</t>
  </si>
  <si>
    <t>פרויקט לעידוד השירה ומשוררים צעירים</t>
  </si>
  <si>
    <t>תיאטרון האינקובטור (ע"ר)</t>
  </si>
  <si>
    <t>הבית קורא - ערבי ספרות בתיאטרון הבית</t>
  </si>
  <si>
    <t>צוותא לתרבות מתקדמת בע"מ (חל"צ)</t>
  </si>
  <si>
    <t>קריאה מזרחית - ארועי ספרות</t>
  </si>
  <si>
    <t>אחותי - למען נשים בישראל (ע"ר)</t>
  </si>
  <si>
    <t>אירועי ספרות אוטופיה</t>
  </si>
  <si>
    <t>העמותה ליצירה פנטסטית וספקולטיבית ב</t>
  </si>
  <si>
    <t>אירועי ספרות פרינג 2024</t>
  </si>
  <si>
    <t>אירועי ספרות - פסטיבל הספרים</t>
  </si>
  <si>
    <t>אירועי ספרות במרכז הנצחה בטבעון 2024</t>
  </si>
  <si>
    <t>ספריה ומרכז הנצחה בקרית טבעון בע"מ</t>
  </si>
  <si>
    <t>תמיכה באירועים ספרותיים ואירועים רב תחומ</t>
  </si>
  <si>
    <t>בית לייוויק - אגודת סופרי ועתונאי י</t>
  </si>
  <si>
    <t>אירועי ספרות 2024</t>
  </si>
  <si>
    <t>משכנות שאננים בירושלים בע"מ (חל"צ)</t>
  </si>
  <si>
    <t>אירועיים ספרותיים 2024</t>
  </si>
  <si>
    <t>מ. א. חוף אשקלון</t>
  </si>
  <si>
    <t>החברה ההיסטורית הישראלית (ע"ר)</t>
  </si>
  <si>
    <t>אירועי ספרות - אשדודשירה</t>
  </si>
  <si>
    <t>המרכז לתרבות האנדלוסית ולפיוט בישרא</t>
  </si>
  <si>
    <t>אירועי ספרות בשנת 2024</t>
  </si>
  <si>
    <t>עלמא מכללה עברית (ע"ר)</t>
  </si>
  <si>
    <t>אירועי ספרות</t>
  </si>
  <si>
    <t>מכון ליאו בק ירושלים לתולדות יהודי</t>
  </si>
  <si>
    <t>ארועי ספרות</t>
  </si>
  <si>
    <t>פנאי העיר חדרה (ע''ר)</t>
  </si>
  <si>
    <t>מונטן (ע"ר)</t>
  </si>
  <si>
    <t>המרכז לאמנות יהודית רוסית (ע"ר)</t>
  </si>
  <si>
    <t>בית ביאליק אירועים ספרותיים 2024</t>
  </si>
  <si>
    <t>מרכז ענב אירועים ספרותיים 2024</t>
  </si>
  <si>
    <t>תואר (ע"ר)</t>
  </si>
  <si>
    <t>אירועי תרבות</t>
  </si>
  <si>
    <t>ארועי ספרות 2024 גזר</t>
  </si>
  <si>
    <t>מ. א. גזר</t>
  </si>
  <si>
    <t>הליקון (ע"ר)</t>
  </si>
  <si>
    <t>בקשת תמיכה למוסדות ציבור ספרות</t>
  </si>
  <si>
    <t>בית עגנון שוטף</t>
  </si>
  <si>
    <t>2025</t>
  </si>
  <si>
    <t>פסטיבל שירה מטולה בירושלים</t>
  </si>
  <si>
    <t>תמיכה בהפקת חוברת קתרסיס</t>
  </si>
  <si>
    <t>מפגש עם סופרים ומשוררים</t>
  </si>
  <si>
    <t>המכון לספרות תמיכה שוטפת לשנת 2025</t>
  </si>
  <si>
    <t>אירועים ספרותיים - 2025</t>
  </si>
  <si>
    <t>תמיכה בכתב העת הו! 2025</t>
  </si>
  <si>
    <t>הו! ערבי תרבות רב תחומיים 2025</t>
  </si>
  <si>
    <t>אמנים יוצרים כתב עת לתרבות חמרית 2025</t>
  </si>
  <si>
    <t>אורתו דה אירועי ספרות 2025</t>
  </si>
  <si>
    <t>תיאטרון ניקו ניתאי ערבי ספרות 2025</t>
  </si>
  <si>
    <t>חוג ספרות של חוג העמקים</t>
  </si>
  <si>
    <t>חברותא 2025</t>
  </si>
  <si>
    <t>תקנת ספרות 2025</t>
  </si>
  <si>
    <t>תמיכה בכתב העת 'דעות'</t>
  </si>
  <si>
    <t>סופרים 2025</t>
  </si>
  <si>
    <t>יצירת אירועים ספרותיים</t>
  </si>
  <si>
    <t>מופעי תיאטרון ספרות</t>
  </si>
  <si>
    <t>אירועי ספרות סלון ושירה</t>
  </si>
  <si>
    <t>17574- אירועים ספרותיים</t>
  </si>
  <si>
    <t>תמיכה בהוצאת ספרים לאור</t>
  </si>
  <si>
    <t>תיאטרון למען השלום (ע"ר)</t>
  </si>
  <si>
    <t>תחומין</t>
  </si>
  <si>
    <t>צומת-צוותי מדע ותורה</t>
  </si>
  <si>
    <t>תמיכה שוטפת בהוצאה לאור של "עיתון 77"</t>
  </si>
  <si>
    <t>בקשת תמיכה 2025 כתב העת היסטוריה</t>
  </si>
  <si>
    <t>אירוע ספרות - בית מיכל</t>
  </si>
  <si>
    <t>הבית קורא - אירועי ספרות בתיאטרון הבית</t>
  </si>
  <si>
    <t>גופא - כתב עת</t>
  </si>
  <si>
    <t>מגזין מחול</t>
  </si>
  <si>
    <t>תאטרון הסמטה אירועים ספרותיים 2025</t>
  </si>
  <si>
    <t>מקדמ</t>
  </si>
  <si>
    <t>בקשה לתמיכת הרשות באירועים ספרותיים</t>
  </si>
  <si>
    <t>מרכז ענב אירועים ספרותיים 2025</t>
  </si>
  <si>
    <t>בית אריאלה אירועים ספרותיים 2025</t>
  </si>
  <si>
    <t>פעילות ספרותית</t>
  </si>
  <si>
    <t>תמיכה באירועים סיפרותיים 2025</t>
  </si>
  <si>
    <t>17574 ספריות עירוניות</t>
  </si>
  <si>
    <t>אירועי ספרות בנווה שכטר</t>
  </si>
  <si>
    <t>מפגשי שירה וספקות</t>
  </si>
  <si>
    <t>תן למילים שוטף 2025</t>
  </si>
  <si>
    <t>אירועי ספרות 2025</t>
  </si>
  <si>
    <t>בית ביאליק אירועים ספרותיים 2025</t>
  </si>
  <si>
    <t>כתב העת חי בהם 2025</t>
  </si>
  <si>
    <t>חי בהם תורה לאנשים עובדים (ע"ר)</t>
  </si>
  <si>
    <t>מגזין ספרותי בחיפה</t>
  </si>
  <si>
    <t>ערב-רב: כתב עת לאמנות 2025</t>
  </si>
  <si>
    <t>אירועי ספרות רב תחומיים</t>
  </si>
  <si>
    <t>פ. לעידוד השירה ומשוררים צעירים-ספרות</t>
  </si>
  <si>
    <t>אוטופיה כתבי עת</t>
  </si>
  <si>
    <t>תמיכה באירועי ספרות המתקיימים במכון שוקן</t>
  </si>
  <si>
    <t>מכון שוקן למחקר היהדות ליד בית המדר</t>
  </si>
  <si>
    <t>תמיכה בכתב העת "מעלה"</t>
  </si>
  <si>
    <t>הפקת חמישה גיליונות של כתב העת משיב הרוח</t>
  </si>
  <si>
    <t>תמיכה בכתב העת "ננופואטיקה"</t>
  </si>
  <si>
    <t>תמיכה בכתב עת "הבה להבא"</t>
  </si>
  <si>
    <t>תמיכה במופעי הספרות של מקום לשירה</t>
  </si>
  <si>
    <t>אירועי ספרות - קריאה מזרחית</t>
  </si>
  <si>
    <t>זיגוטה- ספרות 2025</t>
  </si>
  <si>
    <t>זיגוטה - תיאטרון תנועה (ע"ר)</t>
  </si>
  <si>
    <t>ערבי ספרות</t>
  </si>
  <si>
    <t>אירועי ספרות גליל עליון - 2025</t>
  </si>
  <si>
    <t>כתב עת הליקון 2025</t>
  </si>
  <si>
    <t>אירועי ספרות ושירה הליקון 2025</t>
  </si>
  <si>
    <t>כתב עת 2025</t>
  </si>
  <si>
    <t>ערבי ספרות 2025</t>
  </si>
  <si>
    <t>כתב עת יהי 2025</t>
  </si>
  <si>
    <t>כתב עת ירושלמי 2025</t>
  </si>
  <si>
    <t>אנסמבל עתים (ע"ר)</t>
  </si>
  <si>
    <t>הפקת שתי חוברות "עמדה"</t>
  </si>
  <si>
    <t>ארועי ספרות 2025</t>
  </si>
  <si>
    <t>ארועים ספרותיים 2025</t>
  </si>
  <si>
    <t>תמיכה לארועי ספרות</t>
  </si>
  <si>
    <t>משכן לאמנות עין חרוד, ע"ש חיים אתר</t>
  </si>
  <si>
    <t>מס' בקשה שנת תמיכה</t>
  </si>
  <si>
    <t>מס' בקשה שנה קודמת</t>
  </si>
  <si>
    <t>השנה האחרונה בה ניתנה הגנה לצורך 80% (מנגנון הגנה ביחס לשנה קודמת)</t>
  </si>
  <si>
    <t>זכאות להגנה של 80% (מנגנון הגנה ביחס לשנה קודמת)</t>
  </si>
  <si>
    <t>זיהוי מספר הבקשה לאותו גוף</t>
  </si>
  <si>
    <t>סכום תמיכה מומלץ</t>
  </si>
  <si>
    <t>שיעור שינוי ביחס לשנה קודמת</t>
  </si>
  <si>
    <t>כתב עת לתרבות חומרית ?1280</t>
  </si>
  <si>
    <t>עמדה</t>
  </si>
  <si>
    <t>פסיפס עיתון למידע על שירה</t>
  </si>
  <si>
    <t>קתרזיס</t>
  </si>
  <si>
    <t>הכיוון מזרח</t>
  </si>
  <si>
    <t>הו!</t>
  </si>
  <si>
    <t>היסטוריה</t>
  </si>
  <si>
    <t>מחול עכשיו</t>
  </si>
  <si>
    <t>קול.שירה</t>
  </si>
  <si>
    <t>אוטופיה</t>
  </si>
  <si>
    <t>ירידה במשתנה הפצת כתב העת ובתמורה ליוצרים</t>
  </si>
  <si>
    <t>עליה בהיקף החוברות והמשתנה ההפצה</t>
  </si>
  <si>
    <t xml:space="preserve">ירידות במשתנים הפצת כתב עת, תמורה ליוצרים </t>
  </si>
  <si>
    <t>ירידה במשתנה הפצת כתב העת ובהיקף הגליונות</t>
  </si>
  <si>
    <t>עליה במשתנה תמורה ליוצרים</t>
  </si>
  <si>
    <t>עליה במשתנה איכות הפקתית</t>
  </si>
  <si>
    <t>עליה קלה במשתנה היקף החוברות והפצת כתב העת</t>
  </si>
  <si>
    <t>גוף חדש - מומלץ לתמיכה</t>
  </si>
  <si>
    <t>שנה קודמת נתמך לראשונה והיה מוגבל בסום מבוקש</t>
  </si>
  <si>
    <t>סך תמורה ליוצרים או לחוקרים בשנת התקציב המבוקר</t>
  </si>
  <si>
    <t>תקציב בשנת בשנת התקציב המבוקר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</si>
</sst>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_ &quot;₪&quot;\ * #,##0_ ;_ &quot;₪&quot;\ * \-#,##0_ ;_ &quot;₪&quot;\ * &quot;-&quot;_ ;_ @_ "/>
    <numFmt numFmtId="165" formatCode="_ &quot;₪&quot;\ * #,##0.00_ ;_ &quot;₪&quot;\ * \-#,##0.00_ ;_ &quot;₪&quot;\ * &quot;-&quot;??_ ;_ @_ "/>
    <numFmt numFmtId="166" formatCode="_ * #,##0.00_ ;_ * \-#,##0.00_ ;_ * &quot;-&quot;??_ ;_ @_ "/>
    <numFmt numFmtId="167" formatCode="0.0%"/>
    <numFmt numFmtId="168" formatCode="&quot;₪&quot;\ #,##0"/>
    <numFmt numFmtId="169" formatCode="0.0000000%"/>
    <numFmt numFmtId="170" formatCode="\8"/>
    <numFmt numFmtId="171" formatCode="\מ\פ\ת\ח\ \נ\י\ק\ו\ד\ \מ\ס\פ\ר\ \ה\ח\ו\ב\ר\ו\ת\ \(\מ\ס\פ\ר\ \ח\ו\ב\ר\ו\ת\ \מ\י\ר\ב\י\ \ל\נ\י\ק\ו\ד\ \-\ \ #\)"/>
    <numFmt numFmtId="172" formatCode="#,##0.0"/>
    <numFmt numFmtId="173" formatCode="0.0"/>
    <numFmt numFmtId="174" formatCode="[$-1010000]d/m/yy;@"/>
    <numFmt numFmtId="175" formatCode="0.000"/>
    <numFmt numFmtId="176" formatCode="&quot;עודף / גרעון &quot;0"/>
    <numFmt numFmtId="177" formatCode="&quot;עודף / גרעון מצטבר &quot;0"/>
    <numFmt numFmtId="178" formatCode="0.0000%"/>
    <numFmt numFmtId="179" formatCode="&quot;₪&quot;\ &quot;ממוצע - &quot;\ \ #,##0\ "/>
    <numFmt numFmtId="180" formatCode="&quot;ממוצע - &quot;\ 0.00%"/>
    <numFmt numFmtId="181" formatCode="#,##0_ ;\-#,##0\ "/>
    <numFmt numFmtId="182" formatCode="[$₪-40D]\ #,##0"/>
    <numFmt numFmtId="183" formatCode="\ #,##0"/>
    <numFmt numFmtId="184" formatCode="[$-101040D]d\ mmm\ yy;@"/>
    <numFmt numFmtId="185" formatCode="#,##0.000"/>
    <numFmt numFmtId="186" formatCode="_ &quot;₪&quot;\ * #,##0_ ;_ &quot;₪&quot;\ * \-#,##0_ ;_ &quot;₪&quot;\ * &quot;-&quot;??_ ;_ @_ "/>
    <numFmt numFmtId="187" formatCode="_ * #,##0_ ;_ * \-#,##0_ ;_ * &quot;-&quot;??_ ;_ @_ "/>
  </numFmts>
  <fonts count="98" x14ac:knownFonts="1">
    <font>
      <sz val="10"/>
      <name val="Arial"/>
      <charset val="177"/>
    </font>
    <font>
      <sz val="11"/>
      <color theme="1"/>
      <name val="Calibri"/>
      <family val="2"/>
      <charset val="177"/>
      <scheme val="minor"/>
    </font>
    <font>
      <sz val="11"/>
      <color theme="1"/>
      <name val="Calibri"/>
      <family val="2"/>
      <charset val="177"/>
      <scheme val="minor"/>
    </font>
    <font>
      <sz val="11"/>
      <color theme="1"/>
      <name val="Calibri"/>
      <family val="2"/>
      <scheme val="minor"/>
    </font>
    <font>
      <sz val="11"/>
      <color theme="1"/>
      <name val="Calibri"/>
      <family val="2"/>
      <scheme val="minor"/>
    </font>
    <font>
      <sz val="11"/>
      <color theme="1"/>
      <name val="Calibri"/>
      <family val="2"/>
      <charset val="177"/>
      <scheme val="minor"/>
    </font>
    <font>
      <sz val="10"/>
      <name val="Arial"/>
      <family val="2"/>
    </font>
    <font>
      <b/>
      <sz val="12"/>
      <name val="Arial"/>
      <family val="2"/>
    </font>
    <font>
      <b/>
      <sz val="10"/>
      <name val="Arial"/>
      <family val="2"/>
    </font>
    <font>
      <b/>
      <sz val="12"/>
      <color indexed="16"/>
      <name val="Arial"/>
      <family val="2"/>
    </font>
    <font>
      <b/>
      <sz val="10"/>
      <color indexed="18"/>
      <name val="Arial"/>
      <family val="2"/>
    </font>
    <font>
      <b/>
      <sz val="10"/>
      <color indexed="32"/>
      <name val="Arial"/>
      <family val="2"/>
    </font>
    <font>
      <b/>
      <sz val="12"/>
      <name val="Narkisim"/>
      <family val="2"/>
      <charset val="177"/>
    </font>
    <font>
      <b/>
      <sz val="14"/>
      <name val="Arial"/>
      <family val="2"/>
    </font>
    <font>
      <sz val="14"/>
      <name val="Arial"/>
      <family val="2"/>
    </font>
    <font>
      <b/>
      <sz val="14"/>
      <color indexed="18"/>
      <name val="Arial"/>
      <family val="2"/>
    </font>
    <font>
      <b/>
      <sz val="14"/>
      <color indexed="16"/>
      <name val="Arial"/>
      <family val="2"/>
    </font>
    <font>
      <b/>
      <sz val="14"/>
      <color indexed="32"/>
      <name val="Arial"/>
      <family val="2"/>
    </font>
    <font>
      <b/>
      <sz val="12"/>
      <color indexed="18"/>
      <name val="Arial"/>
      <family val="2"/>
    </font>
    <font>
      <sz val="10"/>
      <name val="David"/>
      <family val="2"/>
      <charset val="177"/>
    </font>
    <font>
      <b/>
      <sz val="12"/>
      <color indexed="16"/>
      <name val="David"/>
      <family val="2"/>
      <charset val="177"/>
    </font>
    <font>
      <b/>
      <sz val="12"/>
      <name val="David"/>
      <family val="2"/>
      <charset val="177"/>
    </font>
    <font>
      <b/>
      <sz val="14"/>
      <name val="David"/>
      <family val="2"/>
      <charset val="177"/>
    </font>
    <font>
      <b/>
      <sz val="10"/>
      <name val="David"/>
      <family val="2"/>
      <charset val="177"/>
    </font>
    <font>
      <sz val="8"/>
      <name val="Arial"/>
      <family val="2"/>
    </font>
    <font>
      <b/>
      <sz val="14"/>
      <color indexed="18"/>
      <name val="David"/>
      <family val="2"/>
      <charset val="177"/>
    </font>
    <font>
      <b/>
      <sz val="14"/>
      <color indexed="16"/>
      <name val="David"/>
      <family val="2"/>
      <charset val="177"/>
    </font>
    <font>
      <b/>
      <sz val="16"/>
      <color indexed="16"/>
      <name val="Arial"/>
      <family val="2"/>
    </font>
    <font>
      <b/>
      <sz val="16"/>
      <name val="Arial"/>
      <family val="2"/>
    </font>
    <font>
      <b/>
      <sz val="16"/>
      <color indexed="18"/>
      <name val="Arial"/>
      <family val="2"/>
    </font>
    <font>
      <b/>
      <sz val="14"/>
      <color indexed="18"/>
      <name val="Calibri"/>
      <family val="2"/>
      <scheme val="minor"/>
    </font>
    <font>
      <sz val="14"/>
      <name val="Calibri"/>
      <family val="2"/>
      <scheme val="minor"/>
    </font>
    <font>
      <b/>
      <sz val="14"/>
      <name val="Calibri"/>
      <family val="2"/>
      <scheme val="minor"/>
    </font>
    <font>
      <sz val="16"/>
      <name val="Arial"/>
      <family val="2"/>
    </font>
    <font>
      <b/>
      <sz val="9"/>
      <color indexed="16"/>
      <name val="Arial"/>
      <family val="2"/>
    </font>
    <font>
      <b/>
      <sz val="9"/>
      <color indexed="18"/>
      <name val="Arial"/>
      <family val="2"/>
    </font>
    <font>
      <b/>
      <sz val="14"/>
      <color theme="1"/>
      <name val="David"/>
      <family val="2"/>
    </font>
    <font>
      <b/>
      <sz val="12"/>
      <name val="David"/>
      <family val="2"/>
    </font>
    <font>
      <sz val="12"/>
      <color theme="1"/>
      <name val="David"/>
      <family val="2"/>
      <charset val="177"/>
    </font>
    <font>
      <sz val="12"/>
      <color theme="1"/>
      <name val="David"/>
      <family val="2"/>
    </font>
    <font>
      <b/>
      <sz val="14"/>
      <color theme="0"/>
      <name val="David"/>
      <family val="2"/>
    </font>
    <font>
      <b/>
      <sz val="12"/>
      <color theme="1"/>
      <name val="David"/>
      <family val="2"/>
    </font>
    <font>
      <b/>
      <sz val="10"/>
      <name val="David"/>
      <family val="2"/>
    </font>
    <font>
      <sz val="12"/>
      <name val="David"/>
      <family val="2"/>
    </font>
    <font>
      <b/>
      <sz val="14"/>
      <name val="David"/>
      <family val="2"/>
    </font>
    <font>
      <b/>
      <sz val="14"/>
      <color theme="0"/>
      <name val="David"/>
      <family val="2"/>
      <charset val="177"/>
    </font>
    <font>
      <b/>
      <sz val="12"/>
      <color theme="1"/>
      <name val="David"/>
      <family val="2"/>
      <charset val="177"/>
    </font>
    <font>
      <sz val="12"/>
      <name val="David"/>
      <family val="2"/>
      <charset val="177"/>
    </font>
    <font>
      <sz val="12"/>
      <color theme="0"/>
      <name val="David"/>
      <family val="2"/>
    </font>
    <font>
      <sz val="11"/>
      <color indexed="8"/>
      <name val="Arial"/>
      <family val="2"/>
      <charset val="177"/>
    </font>
    <font>
      <sz val="11"/>
      <color indexed="9"/>
      <name val="Arial"/>
      <family val="2"/>
      <charset val="177"/>
    </font>
    <font>
      <sz val="11"/>
      <color indexed="20"/>
      <name val="Arial"/>
      <family val="2"/>
      <charset val="177"/>
    </font>
    <font>
      <b/>
      <sz val="11"/>
      <color indexed="52"/>
      <name val="Arial"/>
      <family val="2"/>
      <charset val="177"/>
    </font>
    <font>
      <b/>
      <sz val="11"/>
      <color indexed="9"/>
      <name val="Arial"/>
      <family val="2"/>
      <charset val="177"/>
    </font>
    <font>
      <i/>
      <sz val="11"/>
      <color indexed="23"/>
      <name val="Arial"/>
      <family val="2"/>
      <charset val="177"/>
    </font>
    <font>
      <sz val="11"/>
      <color indexed="17"/>
      <name val="Arial"/>
      <family val="2"/>
      <charset val="177"/>
    </font>
    <font>
      <b/>
      <sz val="15"/>
      <color indexed="56"/>
      <name val="Arial"/>
      <family val="2"/>
      <charset val="177"/>
    </font>
    <font>
      <b/>
      <sz val="13"/>
      <color indexed="56"/>
      <name val="Arial"/>
      <family val="2"/>
      <charset val="177"/>
    </font>
    <font>
      <b/>
      <sz val="11"/>
      <color indexed="56"/>
      <name val="Arial"/>
      <family val="2"/>
      <charset val="177"/>
    </font>
    <font>
      <sz val="11"/>
      <color indexed="62"/>
      <name val="Arial"/>
      <family val="2"/>
      <charset val="177"/>
    </font>
    <font>
      <sz val="11"/>
      <color indexed="52"/>
      <name val="Arial"/>
      <family val="2"/>
      <charset val="177"/>
    </font>
    <font>
      <sz val="11"/>
      <color indexed="60"/>
      <name val="Arial"/>
      <family val="2"/>
      <charset val="177"/>
    </font>
    <font>
      <sz val="11"/>
      <color theme="1"/>
      <name val="Calibri"/>
      <family val="2"/>
      <scheme val="minor"/>
    </font>
    <font>
      <b/>
      <sz val="11"/>
      <color indexed="63"/>
      <name val="Arial"/>
      <family val="2"/>
      <charset val="177"/>
    </font>
    <font>
      <b/>
      <sz val="18"/>
      <color indexed="56"/>
      <name val="Times New Roman"/>
      <family val="2"/>
      <charset val="177"/>
    </font>
    <font>
      <b/>
      <sz val="11"/>
      <color indexed="8"/>
      <name val="Arial"/>
      <family val="2"/>
      <charset val="177"/>
    </font>
    <font>
      <sz val="11"/>
      <color indexed="10"/>
      <name val="Arial"/>
      <family val="2"/>
      <charset val="177"/>
    </font>
    <font>
      <b/>
      <sz val="12"/>
      <name val="Calibri"/>
      <family val="2"/>
      <scheme val="minor"/>
    </font>
    <font>
      <b/>
      <sz val="16"/>
      <color rgb="FFFF0000"/>
      <name val="Calibri"/>
      <family val="2"/>
      <scheme val="minor"/>
    </font>
    <font>
      <sz val="12"/>
      <color theme="1"/>
      <name val="Calibri"/>
      <family val="2"/>
      <scheme val="minor"/>
    </font>
    <font>
      <b/>
      <sz val="11"/>
      <color theme="1"/>
      <name val="Calibri"/>
      <family val="2"/>
      <scheme val="minor"/>
    </font>
    <font>
      <sz val="16"/>
      <color theme="1"/>
      <name val="David"/>
      <family val="2"/>
      <charset val="177"/>
    </font>
    <font>
      <b/>
      <sz val="12"/>
      <color theme="0"/>
      <name val="Calibri"/>
      <family val="2"/>
      <scheme val="minor"/>
    </font>
    <font>
      <b/>
      <sz val="12"/>
      <color theme="1"/>
      <name val="Calibri"/>
      <family val="2"/>
      <scheme val="minor"/>
    </font>
    <font>
      <sz val="12"/>
      <name val="Calibri"/>
      <family val="2"/>
      <scheme val="minor"/>
    </font>
    <font>
      <b/>
      <sz val="16"/>
      <color theme="1"/>
      <name val="David"/>
      <family val="2"/>
      <charset val="177"/>
    </font>
    <font>
      <b/>
      <sz val="14"/>
      <color theme="0"/>
      <name val="Calibri"/>
      <family val="2"/>
      <scheme val="minor"/>
    </font>
    <font>
      <sz val="16"/>
      <color theme="1"/>
      <name val="Calibri"/>
      <family val="2"/>
      <scheme val="minor"/>
    </font>
    <font>
      <sz val="10"/>
      <name val="Calibri"/>
      <family val="2"/>
      <scheme val="minor"/>
    </font>
    <font>
      <sz val="10"/>
      <name val="Arial"/>
      <family val="2"/>
      <charset val="177"/>
    </font>
    <font>
      <sz val="12"/>
      <color indexed="8"/>
      <name val="David"/>
      <family val="2"/>
      <charset val="177"/>
    </font>
    <font>
      <sz val="11"/>
      <color rgb="FFFF0000"/>
      <name val="Calibri"/>
      <family val="2"/>
      <charset val="177"/>
      <scheme val="minor"/>
    </font>
    <font>
      <b/>
      <sz val="14"/>
      <color theme="1"/>
      <name val="Calibri"/>
      <family val="2"/>
      <scheme val="minor"/>
    </font>
    <font>
      <b/>
      <sz val="10"/>
      <color theme="1"/>
      <name val="Calibri"/>
      <family val="2"/>
      <scheme val="minor"/>
    </font>
    <font>
      <b/>
      <sz val="9"/>
      <color indexed="81"/>
      <name val="Tahoma"/>
      <family val="2"/>
    </font>
    <font>
      <sz val="10"/>
      <name val="David"/>
      <family val="2"/>
    </font>
    <font>
      <b/>
      <sz val="12"/>
      <color rgb="FFFF0000"/>
      <name val="Calibri"/>
      <family val="2"/>
      <scheme val="minor"/>
    </font>
    <font>
      <b/>
      <sz val="24"/>
      <color theme="1"/>
      <name val="Calibri"/>
      <family val="2"/>
      <scheme val="minor"/>
    </font>
    <font>
      <b/>
      <sz val="16"/>
      <color theme="1"/>
      <name val="Calibri"/>
      <family val="2"/>
      <scheme val="minor"/>
    </font>
    <font>
      <b/>
      <sz val="20"/>
      <color theme="1"/>
      <name val="Calibri"/>
      <family val="2"/>
      <scheme val="minor"/>
    </font>
    <font>
      <b/>
      <u/>
      <sz val="16"/>
      <color theme="1"/>
      <name val="Calibri"/>
      <family val="2"/>
      <scheme val="minor"/>
    </font>
    <font>
      <i/>
      <u/>
      <sz val="16"/>
      <color theme="1"/>
      <name val="Calibri"/>
      <family val="2"/>
      <scheme val="minor"/>
    </font>
    <font>
      <i/>
      <sz val="16"/>
      <color theme="1"/>
      <name val="Calibri"/>
      <family val="2"/>
      <scheme val="minor"/>
    </font>
    <font>
      <b/>
      <sz val="18"/>
      <name val="Calibri"/>
      <family val="2"/>
      <scheme val="minor"/>
    </font>
    <font>
      <b/>
      <sz val="18"/>
      <color theme="1"/>
      <name val="Calibri"/>
      <family val="2"/>
      <scheme val="minor"/>
    </font>
    <font>
      <b/>
      <sz val="11"/>
      <name val="Calibri"/>
      <family val="2"/>
      <scheme val="minor"/>
    </font>
    <font>
      <sz val="10"/>
      <name val="Arial"/>
      <family val="2"/>
    </font>
    <font>
      <sz val="11"/>
      <color rgb="FF000000"/>
      <name val="Calibri"/>
      <family val="2"/>
      <scheme val="minor"/>
    </font>
  </fonts>
  <fills count="52">
    <fill>
      <patternFill patternType="none"/>
    </fill>
    <fill>
      <patternFill patternType="gray125"/>
    </fill>
    <fill>
      <patternFill patternType="solid">
        <fgColor indexed="44"/>
        <bgColor indexed="64"/>
      </patternFill>
    </fill>
    <fill>
      <patternFill patternType="solid">
        <fgColor indexed="42"/>
        <bgColor indexed="64"/>
      </patternFill>
    </fill>
    <fill>
      <patternFill patternType="solid">
        <fgColor indexed="11"/>
        <bgColor indexed="64"/>
      </patternFill>
    </fill>
    <fill>
      <patternFill patternType="solid">
        <fgColor indexed="47"/>
        <bgColor indexed="64"/>
      </patternFill>
    </fill>
    <fill>
      <patternFill patternType="solid">
        <fgColor indexed="52"/>
        <bgColor indexed="64"/>
      </patternFill>
    </fill>
    <fill>
      <patternFill patternType="solid">
        <fgColor indexed="46"/>
        <bgColor indexed="64"/>
      </patternFill>
    </fill>
    <fill>
      <patternFill patternType="solid">
        <fgColor indexed="51"/>
        <bgColor indexed="64"/>
      </patternFill>
    </fill>
    <fill>
      <patternFill patternType="solid">
        <fgColor indexed="43"/>
        <bgColor indexed="64"/>
      </patternFill>
    </fill>
    <fill>
      <patternFill patternType="solid">
        <fgColor indexed="41"/>
        <bgColor indexed="64"/>
      </patternFill>
    </fill>
    <fill>
      <patternFill patternType="solid">
        <fgColor rgb="FFFFCC66"/>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indexed="4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64"/>
      </patternFill>
    </fill>
    <fill>
      <patternFill patternType="solid">
        <fgColor rgb="FFFFFFCC"/>
        <bgColor indexed="64"/>
      </patternFill>
    </fill>
    <fill>
      <patternFill patternType="solid">
        <fgColor theme="4" tint="0.59999389629810485"/>
        <bgColor indexed="64"/>
      </patternFill>
    </fill>
    <fill>
      <patternFill patternType="solid">
        <fgColor theme="9" tint="0.59996337778862885"/>
        <bgColor indexed="64"/>
      </patternFill>
    </fill>
    <fill>
      <patternFill patternType="solid">
        <fgColor rgb="FFFFCC99"/>
        <bgColor indexed="64"/>
      </patternFill>
    </fill>
    <fill>
      <patternFill patternType="solid">
        <fgColor theme="9"/>
        <bgColor indexed="64"/>
      </patternFill>
    </fill>
    <fill>
      <patternFill patternType="solid">
        <fgColor theme="3" tint="0.79998168889431442"/>
        <bgColor indexed="64"/>
      </patternFill>
    </fill>
    <fill>
      <patternFill patternType="solid">
        <fgColor rgb="FFFF0000"/>
        <bgColor indexed="64"/>
      </patternFill>
    </fill>
    <fill>
      <patternFill patternType="solid">
        <fgColor theme="6" tint="0.59999389629810485"/>
        <bgColor indexed="64"/>
      </patternFill>
    </fill>
    <fill>
      <patternFill patternType="solid">
        <fgColor theme="0" tint="-0.499984740745262"/>
        <bgColor indexed="64"/>
      </patternFill>
    </fill>
  </fills>
  <borders count="136">
    <border>
      <left/>
      <right/>
      <top/>
      <bottom/>
      <diagonal/>
    </border>
    <border>
      <left style="thin">
        <color indexed="64"/>
      </left>
      <right style="thin">
        <color indexed="64"/>
      </right>
      <top style="thick">
        <color indexed="64"/>
      </top>
      <bottom style="medium">
        <color indexed="64"/>
      </bottom>
      <diagonal/>
    </border>
    <border>
      <left style="thick">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medium">
        <color indexed="64"/>
      </top>
      <bottom style="thick">
        <color indexed="64"/>
      </bottom>
      <diagonal/>
    </border>
    <border>
      <left style="thin">
        <color indexed="64"/>
      </left>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ck">
        <color indexed="64"/>
      </top>
      <bottom style="medium">
        <color indexed="64"/>
      </bottom>
      <diagonal/>
    </border>
    <border>
      <left style="thick">
        <color indexed="64"/>
      </left>
      <right/>
      <top style="medium">
        <color indexed="64"/>
      </top>
      <bottom style="thick">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n">
        <color indexed="64"/>
      </left>
      <right style="thin">
        <color indexed="64"/>
      </right>
      <top style="thin">
        <color indexed="64"/>
      </top>
      <bottom style="medium">
        <color indexed="64"/>
      </bottom>
      <diagonal/>
    </border>
    <border>
      <left style="thick">
        <color indexed="64"/>
      </left>
      <right style="thin">
        <color indexed="64"/>
      </right>
      <top/>
      <bottom style="thin">
        <color indexed="64"/>
      </bottom>
      <diagonal/>
    </border>
    <border>
      <left/>
      <right style="thick">
        <color indexed="64"/>
      </right>
      <top/>
      <bottom style="thin">
        <color indexed="64"/>
      </bottom>
      <diagonal/>
    </border>
    <border>
      <left style="thick">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thick">
        <color indexed="64"/>
      </top>
      <bottom style="thick">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style="thick">
        <color indexed="64"/>
      </left>
      <right style="medium">
        <color indexed="64"/>
      </right>
      <top/>
      <bottom style="thin">
        <color indexed="64"/>
      </bottom>
      <diagonal/>
    </border>
    <border>
      <left style="medium">
        <color indexed="64"/>
      </left>
      <right style="thick">
        <color indexed="64"/>
      </right>
      <top/>
      <bottom style="thin">
        <color indexed="64"/>
      </bottom>
      <diagonal/>
    </border>
    <border>
      <left style="thick">
        <color indexed="64"/>
      </left>
      <right style="medium">
        <color indexed="64"/>
      </right>
      <top style="thin">
        <color indexed="64"/>
      </top>
      <bottom style="thin">
        <color indexed="64"/>
      </bottom>
      <diagonal/>
    </border>
    <border>
      <left style="thick">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style="medium">
        <color indexed="64"/>
      </left>
      <right style="thin">
        <color indexed="64"/>
      </right>
      <top style="thick">
        <color indexed="64"/>
      </top>
      <bottom style="thin">
        <color indexed="64"/>
      </bottom>
      <diagonal/>
    </border>
    <border>
      <left style="thin">
        <color indexed="64"/>
      </left>
      <right style="thick">
        <color indexed="64"/>
      </right>
      <top style="thin">
        <color indexed="64"/>
      </top>
      <bottom style="medium">
        <color indexed="64"/>
      </bottom>
      <diagonal/>
    </border>
    <border>
      <left style="thin">
        <color indexed="64"/>
      </left>
      <right style="thin">
        <color indexed="64"/>
      </right>
      <top style="thin">
        <color indexed="64"/>
      </top>
      <bottom/>
      <diagonal/>
    </border>
    <border>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n">
        <color indexed="64"/>
      </right>
      <top style="thin">
        <color indexed="64"/>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thick">
        <color indexed="64"/>
      </top>
      <bottom style="thick">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top/>
      <bottom/>
      <diagonal/>
    </border>
    <border>
      <left style="medium">
        <color indexed="64"/>
      </left>
      <right style="thick">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n">
        <color indexed="64"/>
      </left>
      <right style="double">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top style="thick">
        <color indexed="64"/>
      </top>
      <bottom style="medium">
        <color indexed="64"/>
      </bottom>
      <diagonal/>
    </border>
    <border>
      <left style="thin">
        <color indexed="64"/>
      </left>
      <right style="medium">
        <color indexed="64"/>
      </right>
      <top style="thick">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thick">
        <color indexed="64"/>
      </top>
      <bottom style="medium">
        <color indexed="64"/>
      </bottom>
      <diagonal/>
    </border>
    <border>
      <left style="thick">
        <color indexed="64"/>
      </left>
      <right style="thin">
        <color indexed="64"/>
      </right>
      <top style="medium">
        <color indexed="64"/>
      </top>
      <bottom style="medium">
        <color indexed="64"/>
      </bottom>
      <diagonal/>
    </border>
    <border>
      <left style="medium">
        <color indexed="64"/>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thick">
        <color indexed="64"/>
      </top>
      <bottom/>
      <diagonal/>
    </border>
    <border>
      <left/>
      <right style="medium">
        <color indexed="64"/>
      </right>
      <top style="thick">
        <color indexed="64"/>
      </top>
      <bottom/>
      <diagonal/>
    </border>
    <border>
      <left style="medium">
        <color indexed="64"/>
      </left>
      <right style="thin">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medium">
        <color indexed="64"/>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thick">
        <color indexed="64"/>
      </right>
      <top style="thin">
        <color indexed="64"/>
      </top>
      <bottom style="thin">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ck">
        <color indexed="64"/>
      </right>
      <top/>
      <bottom style="medium">
        <color indexed="64"/>
      </bottom>
      <diagonal/>
    </border>
    <border>
      <left style="medium">
        <color indexed="64"/>
      </left>
      <right/>
      <top/>
      <bottom/>
      <diagonal/>
    </border>
    <border>
      <left/>
      <right/>
      <top/>
      <bottom style="thick">
        <color indexed="64"/>
      </bottom>
      <diagonal/>
    </border>
    <border>
      <left style="thin">
        <color indexed="64"/>
      </left>
      <right style="thick">
        <color indexed="64"/>
      </right>
      <top/>
      <bottom style="thick">
        <color indexed="64"/>
      </bottom>
      <diagonal/>
    </border>
  </borders>
  <cellStyleXfs count="604">
    <xf numFmtId="0" fontId="0"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0" fontId="38" fillId="0" borderId="0"/>
    <xf numFmtId="0" fontId="38" fillId="0" borderId="0"/>
    <xf numFmtId="166" fontId="38" fillId="0" borderId="0" applyFont="0" applyFill="0" applyBorder="0" applyAlignment="0" applyProtection="0"/>
    <xf numFmtId="9" fontId="6" fillId="0" borderId="0" applyFont="0" applyFill="0" applyBorder="0" applyAlignment="0" applyProtection="0"/>
    <xf numFmtId="9" fontId="38" fillId="0" borderId="0" applyFont="0" applyFill="0" applyBorder="0" applyAlignment="0" applyProtection="0"/>
    <xf numFmtId="9" fontId="5" fillId="0" borderId="0" applyFont="0" applyFill="0" applyBorder="0" applyAlignment="0" applyProtection="0"/>
    <xf numFmtId="166" fontId="6" fillId="0" borderId="0" applyFont="0" applyFill="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8"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9" borderId="0" applyNumberFormat="0" applyBorder="0" applyAlignment="0" applyProtection="0"/>
    <xf numFmtId="0" fontId="50" fillId="30"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50" fillId="31" borderId="0" applyNumberFormat="0" applyBorder="0" applyAlignment="0" applyProtection="0"/>
    <xf numFmtId="0" fontId="50"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50" fillId="36" borderId="0" applyNumberFormat="0" applyBorder="0" applyAlignment="0" applyProtection="0"/>
    <xf numFmtId="0" fontId="50" fillId="31"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51" fillId="21" borderId="0" applyNumberFormat="0" applyBorder="0" applyAlignment="0" applyProtection="0"/>
    <xf numFmtId="0" fontId="52" fillId="38" borderId="112" applyNumberFormat="0" applyAlignment="0" applyProtection="0"/>
    <xf numFmtId="0" fontId="53" fillId="39" borderId="113" applyNumberFormat="0" applyAlignment="0" applyProtection="0"/>
    <xf numFmtId="166" fontId="38" fillId="0" borderId="0" applyFont="0" applyFill="0" applyBorder="0" applyAlignment="0" applyProtection="0"/>
    <xf numFmtId="166" fontId="6" fillId="0" borderId="0" applyFont="0" applyFill="0" applyBorder="0" applyAlignment="0" applyProtection="0"/>
    <xf numFmtId="0" fontId="54" fillId="0" borderId="0" applyNumberFormat="0" applyFill="0" applyBorder="0" applyAlignment="0" applyProtection="0"/>
    <xf numFmtId="0" fontId="55" fillId="22" borderId="0" applyNumberFormat="0" applyBorder="0" applyAlignment="0" applyProtection="0"/>
    <xf numFmtId="0" fontId="56" fillId="0" borderId="114" applyNumberFormat="0" applyFill="0" applyAlignment="0" applyProtection="0"/>
    <xf numFmtId="0" fontId="57" fillId="0" borderId="115" applyNumberFormat="0" applyFill="0" applyAlignment="0" applyProtection="0"/>
    <xf numFmtId="0" fontId="58" fillId="0" borderId="116" applyNumberFormat="0" applyFill="0" applyAlignment="0" applyProtection="0"/>
    <xf numFmtId="0" fontId="58" fillId="0" borderId="0" applyNumberFormat="0" applyFill="0" applyBorder="0" applyAlignment="0" applyProtection="0"/>
    <xf numFmtId="0" fontId="59" fillId="25" borderId="112" applyNumberFormat="0" applyAlignment="0" applyProtection="0"/>
    <xf numFmtId="0" fontId="60" fillId="0" borderId="117" applyNumberFormat="0" applyFill="0" applyAlignment="0" applyProtection="0"/>
    <xf numFmtId="0" fontId="61" fillId="40" borderId="0" applyNumberFormat="0" applyBorder="0" applyAlignment="0" applyProtection="0"/>
    <xf numFmtId="0" fontId="5" fillId="0" borderId="0"/>
    <xf numFmtId="0" fontId="6" fillId="0" borderId="0"/>
    <xf numFmtId="0" fontId="38" fillId="0" borderId="0"/>
    <xf numFmtId="0" fontId="38" fillId="0" borderId="0"/>
    <xf numFmtId="0" fontId="5" fillId="0" borderId="0"/>
    <xf numFmtId="0" fontId="5" fillId="0" borderId="0"/>
    <xf numFmtId="0" fontId="5" fillId="0" borderId="0"/>
    <xf numFmtId="0" fontId="5" fillId="0" borderId="0"/>
    <xf numFmtId="0" fontId="5" fillId="0" borderId="0"/>
    <xf numFmtId="0" fontId="5" fillId="0" borderId="0"/>
    <xf numFmtId="0" fontId="38" fillId="0" borderId="0"/>
    <xf numFmtId="0" fontId="38" fillId="0" borderId="0"/>
    <xf numFmtId="0" fontId="5" fillId="0" borderId="0"/>
    <xf numFmtId="0" fontId="5" fillId="0" borderId="0"/>
    <xf numFmtId="0" fontId="5" fillId="0" borderId="0"/>
    <xf numFmtId="0" fontId="6" fillId="0" borderId="0"/>
    <xf numFmtId="0" fontId="38" fillId="0" borderId="0"/>
    <xf numFmtId="0" fontId="6" fillId="0" borderId="0"/>
    <xf numFmtId="0" fontId="38" fillId="0" borderId="0"/>
    <xf numFmtId="0" fontId="38" fillId="0" borderId="0"/>
    <xf numFmtId="0" fontId="38" fillId="0" borderId="0"/>
    <xf numFmtId="0" fontId="38" fillId="0" borderId="0"/>
    <xf numFmtId="0" fontId="38" fillId="0" borderId="0"/>
    <xf numFmtId="0" fontId="38" fillId="0" borderId="0"/>
    <xf numFmtId="0" fontId="6" fillId="0" borderId="0"/>
    <xf numFmtId="0" fontId="6" fillId="0" borderId="0"/>
    <xf numFmtId="0" fontId="5" fillId="0" borderId="0"/>
    <xf numFmtId="0" fontId="62" fillId="0" borderId="0"/>
    <xf numFmtId="0" fontId="6" fillId="41" borderId="118" applyNumberFormat="0" applyFont="0" applyAlignment="0" applyProtection="0"/>
    <xf numFmtId="0" fontId="63" fillId="38" borderId="119" applyNumberFormat="0" applyAlignment="0" applyProtection="0"/>
    <xf numFmtId="9" fontId="38" fillId="0" borderId="0" applyFont="0" applyFill="0" applyBorder="0" applyAlignment="0" applyProtection="0"/>
    <xf numFmtId="9" fontId="6"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64" fillId="0" borderId="0" applyNumberFormat="0" applyFill="0" applyBorder="0" applyAlignment="0" applyProtection="0"/>
    <xf numFmtId="0" fontId="65" fillId="0" borderId="120" applyNumberFormat="0" applyFill="0" applyAlignment="0" applyProtection="0"/>
    <xf numFmtId="0" fontId="66" fillId="0" borderId="0" applyNumberFormat="0" applyFill="0" applyBorder="0" applyAlignment="0" applyProtection="0"/>
    <xf numFmtId="0" fontId="6" fillId="0" borderId="0"/>
    <xf numFmtId="0" fontId="38" fillId="0" borderId="0"/>
    <xf numFmtId="182" fontId="49" fillId="20" borderId="0" applyNumberFormat="0" applyBorder="0" applyAlignment="0" applyProtection="0"/>
    <xf numFmtId="182" fontId="49" fillId="21" borderId="0" applyNumberFormat="0" applyBorder="0" applyAlignment="0" applyProtection="0"/>
    <xf numFmtId="182" fontId="49" fillId="22" borderId="0" applyNumberFormat="0" applyBorder="0" applyAlignment="0" applyProtection="0"/>
    <xf numFmtId="182" fontId="49" fillId="23" borderId="0" applyNumberFormat="0" applyBorder="0" applyAlignment="0" applyProtection="0"/>
    <xf numFmtId="182" fontId="49" fillId="24" borderId="0" applyNumberFormat="0" applyBorder="0" applyAlignment="0" applyProtection="0"/>
    <xf numFmtId="182" fontId="49" fillId="25" borderId="0" applyNumberFormat="0" applyBorder="0" applyAlignment="0" applyProtection="0"/>
    <xf numFmtId="182" fontId="49" fillId="26" borderId="0" applyNumberFormat="0" applyBorder="0" applyAlignment="0" applyProtection="0"/>
    <xf numFmtId="182" fontId="49" fillId="27" borderId="0" applyNumberFormat="0" applyBorder="0" applyAlignment="0" applyProtection="0"/>
    <xf numFmtId="182" fontId="49" fillId="28" borderId="0" applyNumberFormat="0" applyBorder="0" applyAlignment="0" applyProtection="0"/>
    <xf numFmtId="182" fontId="49" fillId="23" borderId="0" applyNumberFormat="0" applyBorder="0" applyAlignment="0" applyProtection="0"/>
    <xf numFmtId="182" fontId="49" fillId="26" borderId="0" applyNumberFormat="0" applyBorder="0" applyAlignment="0" applyProtection="0"/>
    <xf numFmtId="182" fontId="49" fillId="29" borderId="0" applyNumberFormat="0" applyBorder="0" applyAlignment="0" applyProtection="0"/>
    <xf numFmtId="182" fontId="50" fillId="30" borderId="0" applyNumberFormat="0" applyBorder="0" applyAlignment="0" applyProtection="0"/>
    <xf numFmtId="182" fontId="50" fillId="27" borderId="0" applyNumberFormat="0" applyBorder="0" applyAlignment="0" applyProtection="0"/>
    <xf numFmtId="182" fontId="50" fillId="28" borderId="0" applyNumberFormat="0" applyBorder="0" applyAlignment="0" applyProtection="0"/>
    <xf numFmtId="182" fontId="50" fillId="31" borderId="0" applyNumberFormat="0" applyBorder="0" applyAlignment="0" applyProtection="0"/>
    <xf numFmtId="182" fontId="50" fillId="32" borderId="0" applyNumberFormat="0" applyBorder="0" applyAlignment="0" applyProtection="0"/>
    <xf numFmtId="182" fontId="50" fillId="33" borderId="0" applyNumberFormat="0" applyBorder="0" applyAlignment="0" applyProtection="0"/>
    <xf numFmtId="182" fontId="50" fillId="34" borderId="0" applyNumberFormat="0" applyBorder="0" applyAlignment="0" applyProtection="0"/>
    <xf numFmtId="182" fontId="50" fillId="35" borderId="0" applyNumberFormat="0" applyBorder="0" applyAlignment="0" applyProtection="0"/>
    <xf numFmtId="182" fontId="50" fillId="36" borderId="0" applyNumberFormat="0" applyBorder="0" applyAlignment="0" applyProtection="0"/>
    <xf numFmtId="182" fontId="50" fillId="31" borderId="0" applyNumberFormat="0" applyBorder="0" applyAlignment="0" applyProtection="0"/>
    <xf numFmtId="182" fontId="50" fillId="32" borderId="0" applyNumberFormat="0" applyBorder="0" applyAlignment="0" applyProtection="0"/>
    <xf numFmtId="182" fontId="50" fillId="37" borderId="0" applyNumberFormat="0" applyBorder="0" applyAlignment="0" applyProtection="0"/>
    <xf numFmtId="182" fontId="51" fillId="21" borderId="0" applyNumberFormat="0" applyBorder="0" applyAlignment="0" applyProtection="0"/>
    <xf numFmtId="0" fontId="52" fillId="38" borderId="112" applyNumberFormat="0" applyAlignment="0" applyProtection="0"/>
    <xf numFmtId="0" fontId="52" fillId="38" borderId="112" applyNumberFormat="0" applyAlignment="0" applyProtection="0"/>
    <xf numFmtId="182" fontId="53" fillId="39" borderId="113" applyNumberFormat="0" applyAlignment="0" applyProtection="0"/>
    <xf numFmtId="166" fontId="43" fillId="0" borderId="0" applyFont="0" applyFill="0" applyBorder="0" applyAlignment="0" applyProtection="0"/>
    <xf numFmtId="166" fontId="6" fillId="0" borderId="0" applyFont="0" applyFill="0" applyBorder="0" applyAlignment="0" applyProtection="0"/>
    <xf numFmtId="165" fontId="5" fillId="0" borderId="0" applyFont="0" applyFill="0" applyBorder="0" applyAlignment="0" applyProtection="0"/>
    <xf numFmtId="165" fontId="6" fillId="0" borderId="0" applyFont="0" applyFill="0" applyBorder="0" applyAlignment="0" applyProtection="0"/>
    <xf numFmtId="182" fontId="54" fillId="0" borderId="0" applyNumberFormat="0" applyFill="0" applyBorder="0" applyAlignment="0" applyProtection="0"/>
    <xf numFmtId="182" fontId="55" fillId="22" borderId="0" applyNumberFormat="0" applyBorder="0" applyAlignment="0" applyProtection="0"/>
    <xf numFmtId="182" fontId="56" fillId="0" borderId="114" applyNumberFormat="0" applyFill="0" applyAlignment="0" applyProtection="0"/>
    <xf numFmtId="182" fontId="57" fillId="0" borderId="115" applyNumberFormat="0" applyFill="0" applyAlignment="0" applyProtection="0"/>
    <xf numFmtId="182" fontId="58" fillId="0" borderId="116" applyNumberFormat="0" applyFill="0" applyAlignment="0" applyProtection="0"/>
    <xf numFmtId="182" fontId="58" fillId="0" borderId="0" applyNumberFormat="0" applyFill="0" applyBorder="0" applyAlignment="0" applyProtection="0"/>
    <xf numFmtId="0" fontId="59" fillId="25" borderId="112" applyNumberFormat="0" applyAlignment="0" applyProtection="0"/>
    <xf numFmtId="0" fontId="59" fillId="25" borderId="112" applyNumberFormat="0" applyAlignment="0" applyProtection="0"/>
    <xf numFmtId="182" fontId="60" fillId="0" borderId="117" applyNumberFormat="0" applyFill="0" applyAlignment="0" applyProtection="0"/>
    <xf numFmtId="182" fontId="61" fillId="40" borderId="0" applyNumberFormat="0" applyBorder="0" applyAlignment="0" applyProtection="0"/>
    <xf numFmtId="0" fontId="6" fillId="0" borderId="0"/>
    <xf numFmtId="0" fontId="6" fillId="0" borderId="0"/>
    <xf numFmtId="182" fontId="38" fillId="0" borderId="0"/>
    <xf numFmtId="0" fontId="6" fillId="0" borderId="0"/>
    <xf numFmtId="0" fontId="6" fillId="0" borderId="0"/>
    <xf numFmtId="0" fontId="6" fillId="0" borderId="0"/>
    <xf numFmtId="0" fontId="5" fillId="0" borderId="0"/>
    <xf numFmtId="0" fontId="6" fillId="0" borderId="0"/>
    <xf numFmtId="182" fontId="6" fillId="0" borderId="0"/>
    <xf numFmtId="182" fontId="6" fillId="0" borderId="0"/>
    <xf numFmtId="0" fontId="78" fillId="0" borderId="0"/>
    <xf numFmtId="182" fontId="38" fillId="0" borderId="0"/>
    <xf numFmtId="0" fontId="6" fillId="0" borderId="0"/>
    <xf numFmtId="182" fontId="38" fillId="0" borderId="0"/>
    <xf numFmtId="182" fontId="6" fillId="0" borderId="0"/>
    <xf numFmtId="0" fontId="5" fillId="0" borderId="0"/>
    <xf numFmtId="0" fontId="5" fillId="0" borderId="0"/>
    <xf numFmtId="0" fontId="5" fillId="0" borderId="0"/>
    <xf numFmtId="182"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2" fontId="38" fillId="0" borderId="0"/>
    <xf numFmtId="182" fontId="3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2" fontId="38" fillId="0" borderId="0"/>
    <xf numFmtId="182" fontId="6" fillId="0" borderId="0"/>
    <xf numFmtId="182" fontId="6" fillId="0" borderId="0"/>
    <xf numFmtId="182" fontId="38" fillId="0" borderId="0"/>
    <xf numFmtId="182" fontId="6" fillId="0" borderId="0"/>
    <xf numFmtId="182" fontId="38" fillId="0" borderId="0"/>
    <xf numFmtId="182" fontId="38" fillId="0" borderId="0"/>
    <xf numFmtId="182" fontId="38" fillId="0" borderId="0"/>
    <xf numFmtId="182" fontId="38" fillId="0" borderId="0"/>
    <xf numFmtId="182" fontId="38" fillId="0" borderId="0"/>
    <xf numFmtId="182" fontId="38" fillId="0" borderId="0"/>
    <xf numFmtId="0" fontId="5" fillId="0" borderId="0"/>
    <xf numFmtId="0" fontId="5" fillId="0" borderId="0"/>
    <xf numFmtId="0" fontId="5" fillId="0" borderId="0"/>
    <xf numFmtId="182"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6" fillId="41" borderId="118" applyNumberFormat="0" applyFont="0" applyAlignment="0" applyProtection="0"/>
    <xf numFmtId="0" fontId="6" fillId="41" borderId="118" applyNumberFormat="0" applyFont="0" applyAlignment="0" applyProtection="0"/>
    <xf numFmtId="0" fontId="63" fillId="38" borderId="119" applyNumberFormat="0" applyAlignment="0" applyProtection="0"/>
    <xf numFmtId="0" fontId="63" fillId="38" borderId="119" applyNumberFormat="0" applyAlignment="0" applyProtection="0"/>
    <xf numFmtId="9" fontId="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82" fontId="64" fillId="0" borderId="0" applyNumberFormat="0" applyFill="0" applyBorder="0" applyAlignment="0" applyProtection="0"/>
    <xf numFmtId="0" fontId="65" fillId="0" borderId="120" applyNumberFormat="0" applyFill="0" applyAlignment="0" applyProtection="0"/>
    <xf numFmtId="0" fontId="65" fillId="0" borderId="120" applyNumberFormat="0" applyFill="0" applyAlignment="0" applyProtection="0"/>
    <xf numFmtId="182" fontId="66" fillId="0" borderId="0" applyNumberFormat="0" applyFill="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8"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9" borderId="0" applyNumberFormat="0" applyBorder="0" applyAlignment="0" applyProtection="0"/>
    <xf numFmtId="0" fontId="50" fillId="30"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50" fillId="31" borderId="0" applyNumberFormat="0" applyBorder="0" applyAlignment="0" applyProtection="0"/>
    <xf numFmtId="0" fontId="50"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50" fillId="36" borderId="0" applyNumberFormat="0" applyBorder="0" applyAlignment="0" applyProtection="0"/>
    <xf numFmtId="0" fontId="50" fillId="31"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51" fillId="21" borderId="0" applyNumberFormat="0" applyBorder="0" applyAlignment="0" applyProtection="0"/>
    <xf numFmtId="182" fontId="52" fillId="38" borderId="112" applyNumberFormat="0" applyAlignment="0" applyProtection="0"/>
    <xf numFmtId="0" fontId="52" fillId="38" borderId="112" applyNumberFormat="0" applyAlignment="0" applyProtection="0"/>
    <xf numFmtId="0" fontId="52" fillId="38" borderId="112" applyNumberFormat="0" applyAlignment="0" applyProtection="0"/>
    <xf numFmtId="182" fontId="52" fillId="38" borderId="112" applyNumberFormat="0" applyAlignment="0" applyProtection="0"/>
    <xf numFmtId="182" fontId="52" fillId="38" borderId="112" applyNumberFormat="0" applyAlignment="0" applyProtection="0"/>
    <xf numFmtId="0" fontId="52" fillId="38" borderId="112" applyNumberFormat="0" applyAlignment="0" applyProtection="0"/>
    <xf numFmtId="0" fontId="52" fillId="38" borderId="112" applyNumberFormat="0" applyAlignment="0" applyProtection="0"/>
    <xf numFmtId="182" fontId="52" fillId="38" borderId="112" applyNumberFormat="0" applyAlignment="0" applyProtection="0"/>
    <xf numFmtId="0" fontId="52" fillId="38" borderId="112" applyNumberFormat="0" applyAlignment="0" applyProtection="0"/>
    <xf numFmtId="182" fontId="52" fillId="38" borderId="112" applyNumberFormat="0" applyAlignment="0" applyProtection="0"/>
    <xf numFmtId="0" fontId="53" fillId="39" borderId="113" applyNumberFormat="0" applyAlignment="0" applyProtection="0"/>
    <xf numFmtId="0" fontId="54" fillId="0" borderId="0" applyNumberFormat="0" applyFill="0" applyBorder="0" applyAlignment="0" applyProtection="0"/>
    <xf numFmtId="0" fontId="55" fillId="22" borderId="0" applyNumberFormat="0" applyBorder="0" applyAlignment="0" applyProtection="0"/>
    <xf numFmtId="0" fontId="56" fillId="0" borderId="114" applyNumberFormat="0" applyFill="0" applyAlignment="0" applyProtection="0"/>
    <xf numFmtId="0" fontId="57" fillId="0" borderId="115" applyNumberFormat="0" applyFill="0" applyAlignment="0" applyProtection="0"/>
    <xf numFmtId="0" fontId="58" fillId="0" borderId="116" applyNumberFormat="0" applyFill="0" applyAlignment="0" applyProtection="0"/>
    <xf numFmtId="0" fontId="58" fillId="0" borderId="0" applyNumberFormat="0" applyFill="0" applyBorder="0" applyAlignment="0" applyProtection="0"/>
    <xf numFmtId="182" fontId="59" fillId="25" borderId="112" applyNumberFormat="0" applyAlignment="0" applyProtection="0"/>
    <xf numFmtId="0" fontId="59" fillId="25" borderId="112" applyNumberFormat="0" applyAlignment="0" applyProtection="0"/>
    <xf numFmtId="0" fontId="59" fillId="25" borderId="112" applyNumberFormat="0" applyAlignment="0" applyProtection="0"/>
    <xf numFmtId="182" fontId="59" fillId="25" borderId="112" applyNumberFormat="0" applyAlignment="0" applyProtection="0"/>
    <xf numFmtId="182" fontId="59" fillId="25" borderId="112" applyNumberFormat="0" applyAlignment="0" applyProtection="0"/>
    <xf numFmtId="0" fontId="59" fillId="25" borderId="112" applyNumberFormat="0" applyAlignment="0" applyProtection="0"/>
    <xf numFmtId="0" fontId="59" fillId="25" borderId="112" applyNumberFormat="0" applyAlignment="0" applyProtection="0"/>
    <xf numFmtId="182" fontId="59" fillId="25" borderId="112" applyNumberFormat="0" applyAlignment="0" applyProtection="0"/>
    <xf numFmtId="0" fontId="59" fillId="25" borderId="112" applyNumberFormat="0" applyAlignment="0" applyProtection="0"/>
    <xf numFmtId="182" fontId="59" fillId="25" borderId="112" applyNumberFormat="0" applyAlignment="0" applyProtection="0"/>
    <xf numFmtId="0" fontId="60" fillId="0" borderId="117" applyNumberFormat="0" applyFill="0" applyAlignment="0" applyProtection="0"/>
    <xf numFmtId="0" fontId="61" fillId="40" borderId="0" applyNumberFormat="0" applyBorder="0" applyAlignment="0" applyProtection="0"/>
    <xf numFmtId="0" fontId="6" fillId="0" borderId="0"/>
    <xf numFmtId="0" fontId="6" fillId="0" borderId="0"/>
    <xf numFmtId="182" fontId="79" fillId="0" borderId="0"/>
    <xf numFmtId="0" fontId="6" fillId="0" borderId="0"/>
    <xf numFmtId="0" fontId="6" fillId="0" borderId="0"/>
    <xf numFmtId="0" fontId="6" fillId="0" borderId="0"/>
    <xf numFmtId="0" fontId="5" fillId="0" borderId="0"/>
    <xf numFmtId="0" fontId="6" fillId="0" borderId="0"/>
    <xf numFmtId="0" fontId="38" fillId="0" borderId="0"/>
    <xf numFmtId="0" fontId="6" fillId="0" borderId="0"/>
    <xf numFmtId="182" fontId="79" fillId="0" borderId="0"/>
    <xf numFmtId="0" fontId="6" fillId="0" borderId="0"/>
    <xf numFmtId="0" fontId="78" fillId="0" borderId="0"/>
    <xf numFmtId="182" fontId="79" fillId="0" borderId="0"/>
    <xf numFmtId="0" fontId="38" fillId="0" borderId="0"/>
    <xf numFmtId="182" fontId="80" fillId="0" borderId="0"/>
    <xf numFmtId="0" fontId="6" fillId="0" borderId="0"/>
    <xf numFmtId="182" fontId="6" fillId="0" borderId="0"/>
    <xf numFmtId="0" fontId="6" fillId="0" borderId="0"/>
    <xf numFmtId="0" fontId="38" fillId="0" borderId="0"/>
    <xf numFmtId="182" fontId="80" fillId="0" borderId="0"/>
    <xf numFmtId="0" fontId="38" fillId="0" borderId="0"/>
    <xf numFmtId="182" fontId="80" fillId="0" borderId="0"/>
    <xf numFmtId="0" fontId="6" fillId="0" borderId="0"/>
    <xf numFmtId="182" fontId="79" fillId="0" borderId="0"/>
    <xf numFmtId="0" fontId="5" fillId="0" borderId="0"/>
    <xf numFmtId="0" fontId="5" fillId="0" borderId="0"/>
    <xf numFmtId="182" fontId="49" fillId="0" borderId="0"/>
    <xf numFmtId="0" fontId="5" fillId="0" borderId="0"/>
    <xf numFmtId="0" fontId="5" fillId="0" borderId="0"/>
    <xf numFmtId="182" fontId="49" fillId="0" borderId="0"/>
    <xf numFmtId="0" fontId="6" fillId="0" borderId="0"/>
    <xf numFmtId="182" fontId="79" fillId="0" borderId="0"/>
    <xf numFmtId="0" fontId="5" fillId="0" borderId="0"/>
    <xf numFmtId="0" fontId="5" fillId="0" borderId="0"/>
    <xf numFmtId="182" fontId="49" fillId="0" borderId="0"/>
    <xf numFmtId="0" fontId="5" fillId="0" borderId="0"/>
    <xf numFmtId="0" fontId="5" fillId="0" borderId="0"/>
    <xf numFmtId="182" fontId="49" fillId="0" borderId="0"/>
    <xf numFmtId="0" fontId="5" fillId="0" borderId="0"/>
    <xf numFmtId="0" fontId="5" fillId="0" borderId="0"/>
    <xf numFmtId="182" fontId="49" fillId="0" borderId="0"/>
    <xf numFmtId="0" fontId="5" fillId="0" borderId="0"/>
    <xf numFmtId="0" fontId="5" fillId="0" borderId="0"/>
    <xf numFmtId="182" fontId="49" fillId="0" borderId="0"/>
    <xf numFmtId="0" fontId="5" fillId="0" borderId="0"/>
    <xf numFmtId="0" fontId="5" fillId="0" borderId="0"/>
    <xf numFmtId="182" fontId="49" fillId="0" borderId="0"/>
    <xf numFmtId="0" fontId="5" fillId="0" borderId="0"/>
    <xf numFmtId="0" fontId="5" fillId="0" borderId="0"/>
    <xf numFmtId="182" fontId="49" fillId="0" borderId="0"/>
    <xf numFmtId="0" fontId="5" fillId="0" borderId="0"/>
    <xf numFmtId="0" fontId="5" fillId="0" borderId="0"/>
    <xf numFmtId="182" fontId="49" fillId="0" borderId="0"/>
    <xf numFmtId="0" fontId="5" fillId="0" borderId="0"/>
    <xf numFmtId="0" fontId="5" fillId="0" borderId="0"/>
    <xf numFmtId="182" fontId="49" fillId="0" borderId="0"/>
    <xf numFmtId="0" fontId="38" fillId="0" borderId="0"/>
    <xf numFmtId="182" fontId="80" fillId="0" borderId="0"/>
    <xf numFmtId="0" fontId="38" fillId="0" borderId="0"/>
    <xf numFmtId="182" fontId="80" fillId="0" borderId="0"/>
    <xf numFmtId="0" fontId="5" fillId="0" borderId="0"/>
    <xf numFmtId="0" fontId="5" fillId="0" borderId="0"/>
    <xf numFmtId="182" fontId="49" fillId="0" borderId="0"/>
    <xf numFmtId="0" fontId="5" fillId="0" borderId="0"/>
    <xf numFmtId="0" fontId="5" fillId="0" borderId="0"/>
    <xf numFmtId="182" fontId="49" fillId="0" borderId="0"/>
    <xf numFmtId="0" fontId="5" fillId="0" borderId="0"/>
    <xf numFmtId="0" fontId="5" fillId="0" borderId="0"/>
    <xf numFmtId="182" fontId="49" fillId="0" borderId="0"/>
    <xf numFmtId="0" fontId="5" fillId="0" borderId="0"/>
    <xf numFmtId="0" fontId="5" fillId="0" borderId="0"/>
    <xf numFmtId="182" fontId="49" fillId="0" borderId="0"/>
    <xf numFmtId="0" fontId="5" fillId="0" borderId="0"/>
    <xf numFmtId="0" fontId="5" fillId="0" borderId="0"/>
    <xf numFmtId="182" fontId="49" fillId="0" borderId="0"/>
    <xf numFmtId="0" fontId="5" fillId="0" borderId="0"/>
    <xf numFmtId="0" fontId="5" fillId="0" borderId="0"/>
    <xf numFmtId="182" fontId="49" fillId="0" borderId="0"/>
    <xf numFmtId="182" fontId="5" fillId="0" borderId="0"/>
    <xf numFmtId="0" fontId="5" fillId="0" borderId="0"/>
    <xf numFmtId="182" fontId="80" fillId="0" borderId="0"/>
    <xf numFmtId="0" fontId="38" fillId="0" borderId="0"/>
    <xf numFmtId="182" fontId="80" fillId="0" borderId="0"/>
    <xf numFmtId="0" fontId="38" fillId="0" borderId="0"/>
    <xf numFmtId="182" fontId="80" fillId="0" borderId="0"/>
    <xf numFmtId="0" fontId="6" fillId="0" borderId="0"/>
    <xf numFmtId="182" fontId="79" fillId="0" borderId="0"/>
    <xf numFmtId="0" fontId="6" fillId="0" borderId="0"/>
    <xf numFmtId="182" fontId="79" fillId="0" borderId="0"/>
    <xf numFmtId="0" fontId="38" fillId="0" borderId="0"/>
    <xf numFmtId="182" fontId="80" fillId="0" borderId="0"/>
    <xf numFmtId="0" fontId="6" fillId="0" borderId="0"/>
    <xf numFmtId="182" fontId="79" fillId="0" borderId="0"/>
    <xf numFmtId="0" fontId="38" fillId="0" borderId="0"/>
    <xf numFmtId="182" fontId="80" fillId="0" borderId="0"/>
    <xf numFmtId="0" fontId="38" fillId="0" borderId="0"/>
    <xf numFmtId="182" fontId="80" fillId="0" borderId="0"/>
    <xf numFmtId="0" fontId="38" fillId="0" borderId="0"/>
    <xf numFmtId="182" fontId="80" fillId="0" borderId="0"/>
    <xf numFmtId="0" fontId="38" fillId="0" borderId="0"/>
    <xf numFmtId="182" fontId="80" fillId="0" borderId="0"/>
    <xf numFmtId="0" fontId="38" fillId="0" borderId="0"/>
    <xf numFmtId="182" fontId="80" fillId="0" borderId="0"/>
    <xf numFmtId="0" fontId="38" fillId="0" borderId="0"/>
    <xf numFmtId="182" fontId="80" fillId="0" borderId="0"/>
    <xf numFmtId="0" fontId="5" fillId="0" borderId="0"/>
    <xf numFmtId="0" fontId="5" fillId="0" borderId="0"/>
    <xf numFmtId="182" fontId="49" fillId="0" borderId="0"/>
    <xf numFmtId="0" fontId="5" fillId="0" borderId="0"/>
    <xf numFmtId="0" fontId="5" fillId="0" borderId="0"/>
    <xf numFmtId="182" fontId="49" fillId="0" borderId="0"/>
    <xf numFmtId="0" fontId="6" fillId="0" borderId="0"/>
    <xf numFmtId="182" fontId="79" fillId="0" borderId="0"/>
    <xf numFmtId="0" fontId="5" fillId="0" borderId="0"/>
    <xf numFmtId="0" fontId="5" fillId="0" borderId="0"/>
    <xf numFmtId="182" fontId="49" fillId="0" borderId="0"/>
    <xf numFmtId="182" fontId="6" fillId="0" borderId="0"/>
    <xf numFmtId="0" fontId="6" fillId="0" borderId="0"/>
    <xf numFmtId="0" fontId="5" fillId="0" borderId="0"/>
    <xf numFmtId="182" fontId="49" fillId="0" borderId="0"/>
    <xf numFmtId="182" fontId="5" fillId="0" borderId="0"/>
    <xf numFmtId="0" fontId="5" fillId="0" borderId="0"/>
    <xf numFmtId="182" fontId="6" fillId="0" borderId="0"/>
    <xf numFmtId="0" fontId="6" fillId="0" borderId="0"/>
    <xf numFmtId="0" fontId="5" fillId="0" borderId="0"/>
    <xf numFmtId="182" fontId="49" fillId="0" borderId="0"/>
    <xf numFmtId="0" fontId="5" fillId="0" borderId="0"/>
    <xf numFmtId="0" fontId="5" fillId="0" borderId="0"/>
    <xf numFmtId="182" fontId="49" fillId="0" borderId="0"/>
    <xf numFmtId="0" fontId="5" fillId="0" borderId="0"/>
    <xf numFmtId="0" fontId="5" fillId="0" borderId="0"/>
    <xf numFmtId="182" fontId="49" fillId="0" borderId="0"/>
    <xf numFmtId="182" fontId="3" fillId="0" borderId="0"/>
    <xf numFmtId="0" fontId="3" fillId="0" borderId="0"/>
    <xf numFmtId="0" fontId="3" fillId="0" borderId="0"/>
    <xf numFmtId="182" fontId="49" fillId="0" borderId="0"/>
    <xf numFmtId="182" fontId="3" fillId="0" borderId="0"/>
    <xf numFmtId="0" fontId="3" fillId="0" borderId="0"/>
    <xf numFmtId="0" fontId="3" fillId="0" borderId="0"/>
    <xf numFmtId="182" fontId="49" fillId="0" borderId="0"/>
    <xf numFmtId="182" fontId="3" fillId="0" borderId="0"/>
    <xf numFmtId="0" fontId="3" fillId="0" borderId="0"/>
    <xf numFmtId="0" fontId="3" fillId="0" borderId="0"/>
    <xf numFmtId="182" fontId="49" fillId="0" borderId="0"/>
    <xf numFmtId="182" fontId="3" fillId="0" borderId="0"/>
    <xf numFmtId="0" fontId="3" fillId="0" borderId="0"/>
    <xf numFmtId="0" fontId="3" fillId="0" borderId="0"/>
    <xf numFmtId="182" fontId="49" fillId="0" borderId="0"/>
    <xf numFmtId="182" fontId="3" fillId="0" borderId="0"/>
    <xf numFmtId="0" fontId="3" fillId="0" borderId="0"/>
    <xf numFmtId="0" fontId="3" fillId="0" borderId="0"/>
    <xf numFmtId="182" fontId="49" fillId="0" borderId="0"/>
    <xf numFmtId="182" fontId="3" fillId="0" borderId="0"/>
    <xf numFmtId="0" fontId="3" fillId="0" borderId="0"/>
    <xf numFmtId="0" fontId="3" fillId="0" borderId="0"/>
    <xf numFmtId="182" fontId="49" fillId="0" borderId="0"/>
    <xf numFmtId="182" fontId="6" fillId="41" borderId="118" applyNumberFormat="0" applyFont="0" applyAlignment="0" applyProtection="0"/>
    <xf numFmtId="0" fontId="6" fillId="41" borderId="118" applyNumberFormat="0" applyFont="0" applyAlignment="0" applyProtection="0"/>
    <xf numFmtId="0" fontId="6" fillId="41" borderId="118" applyNumberFormat="0" applyFont="0" applyAlignment="0" applyProtection="0"/>
    <xf numFmtId="182" fontId="79" fillId="41" borderId="118" applyNumberFormat="0" applyFont="0" applyAlignment="0" applyProtection="0"/>
    <xf numFmtId="182" fontId="6" fillId="41" borderId="118" applyNumberFormat="0" applyFont="0" applyAlignment="0" applyProtection="0"/>
    <xf numFmtId="0" fontId="6" fillId="41" borderId="118" applyNumberFormat="0" applyFont="0" applyAlignment="0" applyProtection="0"/>
    <xf numFmtId="0" fontId="6" fillId="41" borderId="118" applyNumberFormat="0" applyFont="0" applyAlignment="0" applyProtection="0"/>
    <xf numFmtId="182" fontId="79" fillId="41" borderId="118" applyNumberFormat="0" applyFont="0" applyAlignment="0" applyProtection="0"/>
    <xf numFmtId="0" fontId="6" fillId="41" borderId="118" applyNumberFormat="0" applyFont="0" applyAlignment="0" applyProtection="0"/>
    <xf numFmtId="182" fontId="79" fillId="41" borderId="118" applyNumberFormat="0" applyFont="0" applyAlignment="0" applyProtection="0"/>
    <xf numFmtId="182" fontId="63" fillId="38" borderId="119" applyNumberFormat="0" applyAlignment="0" applyProtection="0"/>
    <xf numFmtId="0" fontId="63" fillId="38" borderId="119" applyNumberFormat="0" applyAlignment="0" applyProtection="0"/>
    <xf numFmtId="0" fontId="63" fillId="38" borderId="119" applyNumberFormat="0" applyAlignment="0" applyProtection="0"/>
    <xf numFmtId="182" fontId="63" fillId="38" borderId="119" applyNumberFormat="0" applyAlignment="0" applyProtection="0"/>
    <xf numFmtId="182" fontId="63" fillId="38" borderId="119" applyNumberFormat="0" applyAlignment="0" applyProtection="0"/>
    <xf numFmtId="0" fontId="63" fillId="38" borderId="119" applyNumberFormat="0" applyAlignment="0" applyProtection="0"/>
    <xf numFmtId="0" fontId="63" fillId="38" borderId="119" applyNumberFormat="0" applyAlignment="0" applyProtection="0"/>
    <xf numFmtId="182" fontId="63" fillId="38" borderId="119" applyNumberFormat="0" applyAlignment="0" applyProtection="0"/>
    <xf numFmtId="0" fontId="63" fillId="38" borderId="119" applyNumberFormat="0" applyAlignment="0" applyProtection="0"/>
    <xf numFmtId="182" fontId="63" fillId="38" borderId="119" applyNumberFormat="0" applyAlignment="0" applyProtection="0"/>
    <xf numFmtId="9" fontId="6" fillId="0" borderId="0" applyFont="0" applyFill="0" applyBorder="0" applyAlignment="0" applyProtection="0"/>
    <xf numFmtId="0" fontId="64" fillId="0" borderId="0" applyNumberFormat="0" applyFill="0" applyBorder="0" applyAlignment="0" applyProtection="0"/>
    <xf numFmtId="182" fontId="65" fillId="0" borderId="120" applyNumberFormat="0" applyFill="0" applyAlignment="0" applyProtection="0"/>
    <xf numFmtId="0" fontId="65" fillId="0" borderId="120" applyNumberFormat="0" applyFill="0" applyAlignment="0" applyProtection="0"/>
    <xf numFmtId="0" fontId="65" fillId="0" borderId="120" applyNumberFormat="0" applyFill="0" applyAlignment="0" applyProtection="0"/>
    <xf numFmtId="182" fontId="65" fillId="0" borderId="120" applyNumberFormat="0" applyFill="0" applyAlignment="0" applyProtection="0"/>
    <xf numFmtId="182" fontId="65" fillId="0" borderId="120" applyNumberFormat="0" applyFill="0" applyAlignment="0" applyProtection="0"/>
    <xf numFmtId="0" fontId="65" fillId="0" borderId="120" applyNumberFormat="0" applyFill="0" applyAlignment="0" applyProtection="0"/>
    <xf numFmtId="0" fontId="65" fillId="0" borderId="120" applyNumberFormat="0" applyFill="0" applyAlignment="0" applyProtection="0"/>
    <xf numFmtId="182" fontId="65" fillId="0" borderId="120" applyNumberFormat="0" applyFill="0" applyAlignment="0" applyProtection="0"/>
    <xf numFmtId="0" fontId="65" fillId="0" borderId="120" applyNumberFormat="0" applyFill="0" applyAlignment="0" applyProtection="0"/>
    <xf numFmtId="182" fontId="65" fillId="0" borderId="120" applyNumberFormat="0" applyFill="0" applyAlignment="0" applyProtection="0"/>
    <xf numFmtId="182" fontId="81" fillId="0" borderId="0" applyNumberFormat="0" applyFill="0" applyBorder="0" applyAlignment="0" applyProtection="0"/>
    <xf numFmtId="0" fontId="81" fillId="0" borderId="0" applyNumberFormat="0" applyFill="0" applyBorder="0" applyAlignment="0" applyProtection="0"/>
    <xf numFmtId="0" fontId="66" fillId="0" borderId="0" applyNumberFormat="0" applyFill="0" applyBorder="0" applyAlignment="0" applyProtection="0"/>
    <xf numFmtId="0" fontId="6" fillId="0" borderId="0"/>
    <xf numFmtId="166" fontId="6" fillId="0" borderId="0" applyFont="0" applyFill="0" applyBorder="0" applyAlignment="0" applyProtection="0"/>
    <xf numFmtId="166" fontId="38" fillId="0" borderId="0" applyFont="0" applyFill="0" applyBorder="0" applyAlignment="0" applyProtection="0"/>
    <xf numFmtId="9" fontId="2" fillId="0" borderId="0" applyFont="0" applyFill="0" applyBorder="0" applyAlignment="0" applyProtection="0"/>
    <xf numFmtId="166" fontId="6" fillId="0" borderId="0" applyFont="0" applyFill="0" applyBorder="0" applyAlignment="0" applyProtection="0"/>
    <xf numFmtId="166" fontId="38" fillId="0" borderId="0" applyFont="0" applyFill="0" applyBorder="0" applyAlignment="0" applyProtection="0"/>
    <xf numFmtId="166"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6" fontId="43" fillId="0" borderId="0" applyFont="0" applyFill="0" applyBorder="0" applyAlignment="0" applyProtection="0"/>
    <xf numFmtId="166" fontId="6" fillId="0" borderId="0" applyFont="0" applyFill="0" applyBorder="0" applyAlignment="0" applyProtection="0"/>
    <xf numFmtId="165" fontId="2" fillId="0" borderId="0" applyFont="0" applyFill="0" applyBorder="0" applyAlignment="0" applyProtection="0"/>
    <xf numFmtId="165"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96" fillId="0" borderId="0" applyFont="0" applyFill="0" applyBorder="0" applyAlignment="0" applyProtection="0"/>
    <xf numFmtId="166" fontId="1" fillId="0" borderId="0" applyFont="0" applyFill="0" applyBorder="0" applyAlignment="0" applyProtection="0"/>
    <xf numFmtId="0" fontId="6" fillId="0" borderId="0"/>
    <xf numFmtId="0" fontId="1" fillId="0" borderId="0"/>
    <xf numFmtId="182" fontId="38" fillId="0" borderId="0"/>
  </cellStyleXfs>
  <cellXfs count="739">
    <xf numFmtId="0" fontId="0" fillId="0" borderId="0" xfId="0"/>
    <xf numFmtId="1" fontId="9" fillId="2" borderId="1" xfId="0" applyNumberFormat="1" applyFont="1" applyFill="1" applyBorder="1" applyAlignment="1">
      <alignment horizontal="center" vertical="center" wrapText="1"/>
    </xf>
    <xf numFmtId="2" fontId="0" fillId="0" borderId="0" xfId="0" applyNumberFormat="1"/>
    <xf numFmtId="1" fontId="9" fillId="2" borderId="2" xfId="0" applyNumberFormat="1" applyFont="1" applyFill="1" applyBorder="1" applyAlignment="1">
      <alignment horizontal="center" vertical="center" wrapText="1"/>
    </xf>
    <xf numFmtId="1" fontId="9" fillId="2" borderId="3" xfId="0" applyNumberFormat="1" applyFont="1" applyFill="1" applyBorder="1" applyAlignment="1">
      <alignment horizontal="center" vertical="center" wrapText="1"/>
    </xf>
    <xf numFmtId="10" fontId="10" fillId="3" borderId="4" xfId="1" applyNumberFormat="1" applyFont="1" applyFill="1" applyBorder="1"/>
    <xf numFmtId="0" fontId="0" fillId="0" borderId="0" xfId="0" applyAlignment="1">
      <alignment horizontal="left"/>
    </xf>
    <xf numFmtId="0" fontId="14" fillId="0" borderId="0" xfId="0" applyFont="1"/>
    <xf numFmtId="10" fontId="15" fillId="3" borderId="5" xfId="0" applyNumberFormat="1" applyFont="1" applyFill="1" applyBorder="1" applyAlignment="1">
      <alignment horizontal="right"/>
    </xf>
    <xf numFmtId="168" fontId="10" fillId="4" borderId="6" xfId="0" applyNumberFormat="1" applyFont="1" applyFill="1" applyBorder="1" applyAlignment="1">
      <alignment horizontal="center" vertical="center"/>
    </xf>
    <xf numFmtId="0" fontId="8" fillId="5" borderId="3" xfId="0" applyFont="1" applyFill="1" applyBorder="1" applyAlignment="1">
      <alignment horizontal="center" vertical="center"/>
    </xf>
    <xf numFmtId="9" fontId="10" fillId="3" borderId="5" xfId="1" applyFont="1" applyFill="1" applyBorder="1" applyAlignment="1" applyProtection="1">
      <alignment horizontal="center"/>
    </xf>
    <xf numFmtId="168" fontId="10" fillId="3" borderId="4" xfId="1" applyNumberFormat="1" applyFont="1" applyFill="1" applyBorder="1" applyAlignment="1" applyProtection="1">
      <alignment horizontal="right"/>
    </xf>
    <xf numFmtId="4" fontId="10" fillId="3" borderId="5" xfId="0" applyNumberFormat="1" applyFont="1" applyFill="1" applyBorder="1"/>
    <xf numFmtId="10" fontId="10" fillId="3" borderId="4" xfId="1" applyNumberFormat="1" applyFont="1" applyFill="1" applyBorder="1" applyProtection="1"/>
    <xf numFmtId="10" fontId="8" fillId="5" borderId="8" xfId="0" applyNumberFormat="1" applyFont="1" applyFill="1" applyBorder="1" applyAlignment="1">
      <alignment horizontal="center"/>
    </xf>
    <xf numFmtId="10" fontId="8" fillId="5" borderId="10" xfId="0" applyNumberFormat="1" applyFont="1" applyFill="1" applyBorder="1" applyAlignment="1">
      <alignment horizontal="center"/>
    </xf>
    <xf numFmtId="169" fontId="0" fillId="0" borderId="0" xfId="1" applyNumberFormat="1" applyFont="1" applyProtection="1"/>
    <xf numFmtId="169" fontId="6" fillId="0" borderId="0" xfId="1" applyNumberFormat="1" applyProtection="1"/>
    <xf numFmtId="1" fontId="9" fillId="2" borderId="12" xfId="0" applyNumberFormat="1" applyFont="1" applyFill="1" applyBorder="1" applyAlignment="1">
      <alignment horizontal="center" vertical="center"/>
    </xf>
    <xf numFmtId="0" fontId="13" fillId="6" borderId="13" xfId="0" applyFont="1" applyFill="1" applyBorder="1" applyAlignment="1">
      <alignment horizontal="center" vertical="center"/>
    </xf>
    <xf numFmtId="1" fontId="8" fillId="5" borderId="14" xfId="0" applyNumberFormat="1" applyFont="1" applyFill="1" applyBorder="1" applyAlignment="1">
      <alignment horizontal="center"/>
    </xf>
    <xf numFmtId="3" fontId="8" fillId="0" borderId="15" xfId="0" applyNumberFormat="1" applyFont="1" applyBorder="1" applyAlignment="1" applyProtection="1">
      <alignment horizontal="center"/>
      <protection locked="0"/>
    </xf>
    <xf numFmtId="10" fontId="8" fillId="5" borderId="16" xfId="1" applyNumberFormat="1" applyFont="1" applyFill="1" applyBorder="1" applyAlignment="1" applyProtection="1">
      <alignment horizontal="center"/>
    </xf>
    <xf numFmtId="1" fontId="8" fillId="5" borderId="17" xfId="0" applyNumberFormat="1" applyFont="1" applyFill="1" applyBorder="1" applyAlignment="1">
      <alignment horizontal="center"/>
    </xf>
    <xf numFmtId="3" fontId="8" fillId="0" borderId="8" xfId="0" applyNumberFormat="1" applyFont="1" applyBorder="1" applyAlignment="1" applyProtection="1">
      <alignment horizontal="center"/>
      <protection locked="0"/>
    </xf>
    <xf numFmtId="10" fontId="8" fillId="5" borderId="9" xfId="1" applyNumberFormat="1" applyFont="1" applyFill="1" applyBorder="1" applyAlignment="1" applyProtection="1">
      <alignment horizontal="center"/>
    </xf>
    <xf numFmtId="10" fontId="8" fillId="5" borderId="19" xfId="1" applyNumberFormat="1" applyFont="1" applyFill="1" applyBorder="1" applyAlignment="1" applyProtection="1">
      <alignment horizontal="center"/>
    </xf>
    <xf numFmtId="3" fontId="8" fillId="5" borderId="8" xfId="0" applyNumberFormat="1" applyFont="1" applyFill="1" applyBorder="1" applyAlignment="1">
      <alignment horizontal="center"/>
    </xf>
    <xf numFmtId="1" fontId="8" fillId="5" borderId="15" xfId="0" applyNumberFormat="1" applyFont="1" applyFill="1" applyBorder="1" applyAlignment="1">
      <alignment horizontal="right"/>
    </xf>
    <xf numFmtId="1" fontId="8" fillId="5" borderId="8" xfId="0" applyNumberFormat="1" applyFont="1" applyFill="1" applyBorder="1" applyAlignment="1">
      <alignment horizontal="right"/>
    </xf>
    <xf numFmtId="1" fontId="8" fillId="5" borderId="8" xfId="0" applyNumberFormat="1" applyFont="1" applyFill="1" applyBorder="1" applyAlignment="1">
      <alignment horizontal="center"/>
    </xf>
    <xf numFmtId="1" fontId="8" fillId="5" borderId="20" xfId="0" applyNumberFormat="1" applyFont="1" applyFill="1" applyBorder="1" applyAlignment="1">
      <alignment horizontal="right"/>
    </xf>
    <xf numFmtId="0" fontId="8" fillId="0" borderId="15" xfId="0" applyFont="1" applyBorder="1" applyAlignment="1" applyProtection="1">
      <alignment horizontal="center"/>
      <protection locked="0"/>
    </xf>
    <xf numFmtId="0" fontId="8" fillId="0" borderId="8" xfId="0" applyFont="1" applyBorder="1" applyAlignment="1" applyProtection="1">
      <alignment horizontal="center"/>
      <protection locked="0"/>
    </xf>
    <xf numFmtId="10" fontId="8" fillId="5" borderId="9" xfId="1" applyNumberFormat="1" applyFont="1" applyFill="1" applyBorder="1" applyAlignment="1">
      <alignment horizontal="center"/>
    </xf>
    <xf numFmtId="0" fontId="8" fillId="0" borderId="20" xfId="0" applyFont="1" applyBorder="1" applyAlignment="1" applyProtection="1">
      <alignment horizontal="center"/>
      <protection locked="0"/>
    </xf>
    <xf numFmtId="10" fontId="8" fillId="5" borderId="19" xfId="1" applyNumberFormat="1" applyFont="1" applyFill="1" applyBorder="1" applyAlignment="1">
      <alignment horizontal="center"/>
    </xf>
    <xf numFmtId="0" fontId="7" fillId="3" borderId="3" xfId="0" applyFont="1" applyFill="1" applyBorder="1" applyAlignment="1">
      <alignment horizontal="center" vertical="center"/>
    </xf>
    <xf numFmtId="168" fontId="18" fillId="4" borderId="6" xfId="0" applyNumberFormat="1" applyFont="1" applyFill="1" applyBorder="1" applyAlignment="1">
      <alignment horizontal="center" vertical="center"/>
    </xf>
    <xf numFmtId="2" fontId="8" fillId="5" borderId="15" xfId="0" applyNumberFormat="1" applyFont="1" applyFill="1" applyBorder="1" applyAlignment="1">
      <alignment horizontal="center"/>
    </xf>
    <xf numFmtId="2" fontId="8" fillId="5" borderId="8" xfId="0" applyNumberFormat="1" applyFont="1" applyFill="1" applyBorder="1" applyAlignment="1">
      <alignment horizontal="center"/>
    </xf>
    <xf numFmtId="2" fontId="8" fillId="5" borderId="20" xfId="0" applyNumberFormat="1" applyFont="1" applyFill="1" applyBorder="1" applyAlignment="1">
      <alignment horizontal="center"/>
    </xf>
    <xf numFmtId="1" fontId="20" fillId="2" borderId="21" xfId="0" applyNumberFormat="1" applyFont="1" applyFill="1" applyBorder="1" applyAlignment="1">
      <alignment horizontal="center" vertical="center"/>
    </xf>
    <xf numFmtId="1" fontId="20" fillId="2" borderId="22" xfId="0" applyNumberFormat="1" applyFont="1" applyFill="1" applyBorder="1" applyAlignment="1">
      <alignment horizontal="center" vertical="center"/>
    </xf>
    <xf numFmtId="1" fontId="9" fillId="7" borderId="23" xfId="0" applyNumberFormat="1" applyFont="1" applyFill="1" applyBorder="1" applyAlignment="1">
      <alignment horizontal="center" vertical="center"/>
    </xf>
    <xf numFmtId="1" fontId="20" fillId="2" borderId="2" xfId="0" applyNumberFormat="1" applyFont="1" applyFill="1" applyBorder="1" applyAlignment="1">
      <alignment horizontal="center" vertical="center" wrapText="1"/>
    </xf>
    <xf numFmtId="1" fontId="20" fillId="2" borderId="3" xfId="0" applyNumberFormat="1" applyFont="1" applyFill="1" applyBorder="1" applyAlignment="1">
      <alignment horizontal="center" vertical="center" wrapText="1"/>
    </xf>
    <xf numFmtId="1" fontId="8" fillId="5" borderId="24" xfId="0" applyNumberFormat="1" applyFont="1" applyFill="1" applyBorder="1" applyAlignment="1">
      <alignment horizontal="center"/>
    </xf>
    <xf numFmtId="168" fontId="8" fillId="8" borderId="25" xfId="1" applyNumberFormat="1" applyFont="1" applyFill="1" applyBorder="1" applyAlignment="1" applyProtection="1">
      <alignment horizontal="right"/>
    </xf>
    <xf numFmtId="1" fontId="16" fillId="2" borderId="26" xfId="0" applyNumberFormat="1" applyFont="1" applyFill="1" applyBorder="1" applyAlignment="1">
      <alignment horizontal="center" vertical="center" wrapText="1"/>
    </xf>
    <xf numFmtId="1" fontId="16" fillId="2" borderId="27" xfId="0" applyNumberFormat="1" applyFont="1" applyFill="1" applyBorder="1" applyAlignment="1">
      <alignment horizontal="center" vertical="center" wrapText="1"/>
    </xf>
    <xf numFmtId="1" fontId="16" fillId="2" borderId="28" xfId="0" applyNumberFormat="1" applyFont="1" applyFill="1" applyBorder="1" applyAlignment="1">
      <alignment horizontal="center" vertical="center" wrapText="1"/>
    </xf>
    <xf numFmtId="10" fontId="13" fillId="8" borderId="10" xfId="0" applyNumberFormat="1" applyFont="1" applyFill="1" applyBorder="1" applyAlignment="1">
      <alignment horizontal="center"/>
    </xf>
    <xf numFmtId="10" fontId="8" fillId="9" borderId="10" xfId="0" applyNumberFormat="1" applyFont="1" applyFill="1" applyBorder="1" applyAlignment="1">
      <alignment horizontal="center"/>
    </xf>
    <xf numFmtId="168" fontId="13" fillId="8" borderId="25" xfId="1" applyNumberFormat="1" applyFont="1" applyFill="1" applyBorder="1" applyAlignment="1">
      <alignment horizontal="right"/>
    </xf>
    <xf numFmtId="0" fontId="21" fillId="0" borderId="0" xfId="0" applyFont="1" applyAlignment="1">
      <alignment horizontal="center"/>
    </xf>
    <xf numFmtId="0" fontId="0" fillId="0" borderId="8" xfId="0" applyBorder="1"/>
    <xf numFmtId="0" fontId="0" fillId="0" borderId="30" xfId="0" applyBorder="1"/>
    <xf numFmtId="0" fontId="0" fillId="0" borderId="31" xfId="0" applyBorder="1"/>
    <xf numFmtId="2" fontId="0" fillId="0" borderId="32" xfId="0" applyNumberFormat="1" applyBorder="1"/>
    <xf numFmtId="0" fontId="0" fillId="0" borderId="33" xfId="0" applyBorder="1"/>
    <xf numFmtId="0" fontId="0" fillId="0" borderId="37" xfId="0" applyBorder="1"/>
    <xf numFmtId="0" fontId="0" fillId="0" borderId="38" xfId="0" applyBorder="1"/>
    <xf numFmtId="0" fontId="0" fillId="0" borderId="34" xfId="0" applyBorder="1"/>
    <xf numFmtId="0" fontId="0" fillId="0" borderId="40" xfId="0" applyBorder="1"/>
    <xf numFmtId="0" fontId="0" fillId="0" borderId="41" xfId="0" applyBorder="1"/>
    <xf numFmtId="0" fontId="0" fillId="0" borderId="42" xfId="0" applyBorder="1"/>
    <xf numFmtId="3" fontId="8" fillId="0" borderId="15" xfId="0" applyNumberFormat="1" applyFont="1" applyBorder="1" applyAlignment="1" applyProtection="1">
      <alignment horizontal="right"/>
      <protection locked="0"/>
    </xf>
    <xf numFmtId="3" fontId="8" fillId="0" borderId="8" xfId="0" applyNumberFormat="1" applyFont="1" applyBorder="1" applyAlignment="1" applyProtection="1">
      <alignment horizontal="right"/>
      <protection locked="0"/>
    </xf>
    <xf numFmtId="3" fontId="8" fillId="0" borderId="20" xfId="0" applyNumberFormat="1" applyFont="1" applyBorder="1" applyAlignment="1" applyProtection="1">
      <alignment horizontal="right"/>
      <protection locked="0"/>
    </xf>
    <xf numFmtId="1" fontId="20" fillId="2" borderId="14" xfId="0" applyNumberFormat="1" applyFont="1" applyFill="1" applyBorder="1" applyAlignment="1">
      <alignment horizontal="center" vertical="center"/>
    </xf>
    <xf numFmtId="1" fontId="20" fillId="2" borderId="16" xfId="0" applyNumberFormat="1" applyFont="1" applyFill="1" applyBorder="1" applyAlignment="1">
      <alignment horizontal="center" vertical="center"/>
    </xf>
    <xf numFmtId="0" fontId="21" fillId="0" borderId="9" xfId="0" applyFont="1" applyBorder="1" applyAlignment="1">
      <alignment horizontal="center" vertical="center"/>
    </xf>
    <xf numFmtId="0" fontId="21" fillId="0" borderId="19" xfId="0" applyFont="1" applyBorder="1" applyAlignment="1">
      <alignment horizontal="center" vertical="center"/>
    </xf>
    <xf numFmtId="1" fontId="20" fillId="2" borderId="11" xfId="0" applyNumberFormat="1" applyFont="1" applyFill="1" applyBorder="1" applyAlignment="1">
      <alignment horizontal="center" vertical="center"/>
    </xf>
    <xf numFmtId="3" fontId="8" fillId="5" borderId="15" xfId="0" applyNumberFormat="1" applyFont="1" applyFill="1" applyBorder="1" applyAlignment="1">
      <alignment horizontal="center"/>
    </xf>
    <xf numFmtId="3" fontId="8" fillId="5" borderId="20" xfId="0" applyNumberFormat="1" applyFont="1" applyFill="1" applyBorder="1" applyAlignment="1">
      <alignment horizontal="center"/>
    </xf>
    <xf numFmtId="172" fontId="8" fillId="0" borderId="15" xfId="0" applyNumberFormat="1" applyFont="1" applyBorder="1" applyAlignment="1" applyProtection="1">
      <alignment horizontal="right"/>
      <protection locked="0"/>
    </xf>
    <xf numFmtId="172" fontId="8" fillId="0" borderId="8" xfId="0" applyNumberFormat="1" applyFont="1" applyBorder="1" applyAlignment="1" applyProtection="1">
      <alignment horizontal="right"/>
      <protection locked="0"/>
    </xf>
    <xf numFmtId="172" fontId="8" fillId="0" borderId="20" xfId="0" applyNumberFormat="1" applyFont="1" applyBorder="1" applyAlignment="1" applyProtection="1">
      <alignment horizontal="right"/>
      <protection locked="0"/>
    </xf>
    <xf numFmtId="172" fontId="0" fillId="0" borderId="0" xfId="0" applyNumberFormat="1"/>
    <xf numFmtId="1" fontId="21" fillId="0" borderId="17" xfId="0" applyNumberFormat="1" applyFont="1" applyBorder="1" applyAlignment="1">
      <alignment horizontal="right" wrapText="1"/>
    </xf>
    <xf numFmtId="1" fontId="21" fillId="0" borderId="9" xfId="0" applyNumberFormat="1" applyFont="1" applyBorder="1" applyAlignment="1">
      <alignment horizontal="center" vertical="center"/>
    </xf>
    <xf numFmtId="1" fontId="21" fillId="0" borderId="18" xfId="0" applyNumberFormat="1" applyFont="1" applyBorder="1" applyAlignment="1">
      <alignment horizontal="right" wrapText="1"/>
    </xf>
    <xf numFmtId="1" fontId="21" fillId="0" borderId="19" xfId="0" applyNumberFormat="1" applyFont="1" applyBorder="1" applyAlignment="1">
      <alignment horizontal="center" vertical="center"/>
    </xf>
    <xf numFmtId="10" fontId="8" fillId="9" borderId="10" xfId="1" applyNumberFormat="1" applyFont="1" applyFill="1" applyBorder="1" applyAlignment="1" applyProtection="1">
      <alignment horizontal="center"/>
    </xf>
    <xf numFmtId="168" fontId="11" fillId="3" borderId="5" xfId="0" applyNumberFormat="1" applyFont="1" applyFill="1" applyBorder="1" applyAlignment="1">
      <alignment horizontal="center"/>
    </xf>
    <xf numFmtId="1" fontId="26" fillId="2" borderId="12" xfId="0" applyNumberFormat="1" applyFont="1" applyFill="1" applyBorder="1" applyAlignment="1">
      <alignment horizontal="center" vertical="center"/>
    </xf>
    <xf numFmtId="0" fontId="22" fillId="3" borderId="3" xfId="0" applyFont="1" applyFill="1" applyBorder="1" applyAlignment="1">
      <alignment horizontal="center" vertical="center"/>
    </xf>
    <xf numFmtId="0" fontId="19" fillId="0" borderId="0" xfId="0" applyFont="1"/>
    <xf numFmtId="0" fontId="22" fillId="6" borderId="13" xfId="0" applyFont="1" applyFill="1" applyBorder="1" applyAlignment="1">
      <alignment horizontal="center" vertical="center"/>
    </xf>
    <xf numFmtId="168" fontId="25" fillId="4" borderId="6" xfId="0" applyNumberFormat="1" applyFont="1" applyFill="1" applyBorder="1" applyAlignment="1">
      <alignment horizontal="center" vertical="center"/>
    </xf>
    <xf numFmtId="0" fontId="21" fillId="0" borderId="24" xfId="0" applyFont="1" applyBorder="1" applyAlignment="1">
      <alignment horizontal="center"/>
    </xf>
    <xf numFmtId="3" fontId="21" fillId="0" borderId="10" xfId="0" applyNumberFormat="1" applyFont="1" applyBorder="1" applyAlignment="1">
      <alignment horizontal="center" vertical="center"/>
    </xf>
    <xf numFmtId="3" fontId="21" fillId="0" borderId="10" xfId="0" applyNumberFormat="1" applyFont="1" applyBorder="1" applyAlignment="1">
      <alignment horizontal="center"/>
    </xf>
    <xf numFmtId="0" fontId="21" fillId="0" borderId="11" xfId="0" applyFont="1" applyBorder="1" applyAlignment="1">
      <alignment horizontal="center"/>
    </xf>
    <xf numFmtId="0" fontId="21" fillId="0" borderId="17" xfId="0" applyFont="1" applyBorder="1" applyAlignment="1">
      <alignment horizontal="center"/>
    </xf>
    <xf numFmtId="3" fontId="21" fillId="0" borderId="8" xfId="0" applyNumberFormat="1" applyFont="1" applyBorder="1" applyAlignment="1">
      <alignment horizontal="center" vertical="center"/>
    </xf>
    <xf numFmtId="3" fontId="21" fillId="0" borderId="8" xfId="0" applyNumberFormat="1" applyFont="1" applyBorder="1" applyAlignment="1">
      <alignment horizontal="center"/>
    </xf>
    <xf numFmtId="0" fontId="21" fillId="0" borderId="9" xfId="0" applyFont="1" applyBorder="1" applyAlignment="1">
      <alignment horizontal="center"/>
    </xf>
    <xf numFmtId="0" fontId="21" fillId="0" borderId="18" xfId="0" applyFont="1" applyBorder="1" applyAlignment="1">
      <alignment horizontal="center"/>
    </xf>
    <xf numFmtId="3" fontId="21" fillId="0" borderId="20" xfId="0" applyNumberFormat="1" applyFont="1" applyBorder="1" applyAlignment="1">
      <alignment horizontal="center" vertical="center"/>
    </xf>
    <xf numFmtId="170" fontId="22" fillId="0" borderId="20" xfId="0" applyNumberFormat="1" applyFont="1" applyBorder="1" applyAlignment="1">
      <alignment horizontal="center" vertical="center" textRotation="180"/>
    </xf>
    <xf numFmtId="0" fontId="21" fillId="0" borderId="19" xfId="0" applyFont="1" applyBorder="1" applyAlignment="1">
      <alignment horizontal="center"/>
    </xf>
    <xf numFmtId="10" fontId="21" fillId="0" borderId="0" xfId="0" applyNumberFormat="1" applyFont="1" applyAlignment="1">
      <alignment horizontal="center" vertical="center"/>
    </xf>
    <xf numFmtId="10" fontId="21" fillId="0" borderId="0" xfId="0" applyNumberFormat="1" applyFont="1" applyAlignment="1">
      <alignment horizontal="center"/>
    </xf>
    <xf numFmtId="0" fontId="23" fillId="0" borderId="0" xfId="0" applyFont="1" applyAlignment="1">
      <alignment horizontal="center"/>
    </xf>
    <xf numFmtId="0" fontId="21" fillId="7" borderId="43" xfId="0" applyFont="1" applyFill="1" applyBorder="1" applyAlignment="1">
      <alignment horizontal="center" vertical="center" wrapText="1"/>
    </xf>
    <xf numFmtId="0" fontId="21" fillId="0" borderId="17" xfId="0" applyFont="1" applyBorder="1" applyAlignment="1">
      <alignment horizontal="right" wrapText="1"/>
    </xf>
    <xf numFmtId="0" fontId="21" fillId="0" borderId="18" xfId="0" applyFont="1" applyBorder="1" applyAlignment="1">
      <alignment horizontal="right" wrapText="1"/>
    </xf>
    <xf numFmtId="0" fontId="21" fillId="7" borderId="45" xfId="0" applyFont="1" applyFill="1" applyBorder="1" applyAlignment="1">
      <alignment horizontal="center" vertical="center" wrapText="1"/>
    </xf>
    <xf numFmtId="0" fontId="21" fillId="3" borderId="46" xfId="0" applyFont="1" applyFill="1" applyBorder="1" applyAlignment="1">
      <alignment horizontal="center" vertical="center" wrapText="1"/>
    </xf>
    <xf numFmtId="9" fontId="21" fillId="3" borderId="47" xfId="1" applyFont="1" applyFill="1" applyBorder="1" applyAlignment="1" applyProtection="1">
      <alignment horizontal="center" vertical="center" wrapText="1"/>
    </xf>
    <xf numFmtId="0" fontId="21" fillId="0" borderId="14" xfId="0" applyFont="1" applyBorder="1"/>
    <xf numFmtId="9" fontId="21" fillId="0" borderId="16" xfId="1" applyFont="1" applyBorder="1" applyAlignment="1" applyProtection="1">
      <alignment horizontal="center"/>
    </xf>
    <xf numFmtId="0" fontId="21" fillId="0" borderId="18" xfId="0" applyFont="1" applyBorder="1"/>
    <xf numFmtId="0" fontId="22" fillId="3" borderId="3" xfId="0" applyFont="1" applyFill="1" applyBorder="1" applyAlignment="1" applyProtection="1">
      <alignment horizontal="center" vertical="center"/>
      <protection locked="0"/>
    </xf>
    <xf numFmtId="0" fontId="8" fillId="0" borderId="48" xfId="0" applyFont="1" applyBorder="1"/>
    <xf numFmtId="0" fontId="0" fillId="0" borderId="49" xfId="0" applyBorder="1"/>
    <xf numFmtId="0" fontId="0" fillId="0" borderId="9" xfId="0" applyBorder="1"/>
    <xf numFmtId="0" fontId="0" fillId="0" borderId="50" xfId="0" applyBorder="1"/>
    <xf numFmtId="0" fontId="0" fillId="0" borderId="51" xfId="0" applyBorder="1"/>
    <xf numFmtId="1" fontId="8" fillId="0" borderId="52" xfId="0" applyNumberFormat="1" applyFont="1" applyBorder="1"/>
    <xf numFmtId="0" fontId="0" fillId="0" borderId="52" xfId="0" applyBorder="1"/>
    <xf numFmtId="0" fontId="0" fillId="0" borderId="48" xfId="0" applyBorder="1"/>
    <xf numFmtId="1" fontId="9" fillId="2" borderId="48" xfId="0" applyNumberFormat="1" applyFont="1" applyFill="1" applyBorder="1" applyAlignment="1">
      <alignment horizontal="center" vertical="center" wrapText="1"/>
    </xf>
    <xf numFmtId="0" fontId="12" fillId="7" borderId="48" xfId="0" applyFont="1" applyFill="1" applyBorder="1" applyAlignment="1">
      <alignment horizontal="center" vertical="center" wrapText="1"/>
    </xf>
    <xf numFmtId="1" fontId="9" fillId="2" borderId="49" xfId="0" applyNumberFormat="1" applyFont="1" applyFill="1" applyBorder="1" applyAlignment="1">
      <alignment horizontal="center" vertical="center" wrapText="1"/>
    </xf>
    <xf numFmtId="9" fontId="9" fillId="2" borderId="23" xfId="1" applyFont="1" applyFill="1" applyBorder="1" applyAlignment="1" applyProtection="1">
      <alignment horizontal="center" vertical="center" wrapText="1"/>
    </xf>
    <xf numFmtId="168" fontId="9" fillId="2" borderId="53" xfId="0" applyNumberFormat="1" applyFont="1" applyFill="1" applyBorder="1" applyAlignment="1">
      <alignment horizontal="center" vertical="center" wrapText="1"/>
    </xf>
    <xf numFmtId="168" fontId="8" fillId="8" borderId="11" xfId="1" applyNumberFormat="1" applyFont="1" applyFill="1" applyBorder="1" applyAlignment="1" applyProtection="1">
      <alignment horizontal="center"/>
    </xf>
    <xf numFmtId="167" fontId="11" fillId="3" borderId="5" xfId="0" applyNumberFormat="1" applyFont="1" applyFill="1" applyBorder="1"/>
    <xf numFmtId="168" fontId="11" fillId="3" borderId="4" xfId="0" applyNumberFormat="1" applyFont="1" applyFill="1" applyBorder="1"/>
    <xf numFmtId="1" fontId="27" fillId="2" borderId="12" xfId="0" applyNumberFormat="1" applyFont="1" applyFill="1" applyBorder="1" applyAlignment="1">
      <alignment horizontal="center" vertical="center"/>
    </xf>
    <xf numFmtId="0" fontId="28" fillId="5" borderId="3" xfId="0" applyFont="1" applyFill="1" applyBorder="1" applyAlignment="1">
      <alignment horizontal="center" vertical="center"/>
    </xf>
    <xf numFmtId="0" fontId="28" fillId="6" borderId="13" xfId="0" applyFont="1" applyFill="1" applyBorder="1" applyAlignment="1">
      <alignment horizontal="center" vertical="center"/>
    </xf>
    <xf numFmtId="168" fontId="29" fillId="4" borderId="6" xfId="0" applyNumberFormat="1" applyFont="1" applyFill="1" applyBorder="1" applyAlignment="1">
      <alignment horizontal="center" vertical="center"/>
    </xf>
    <xf numFmtId="3" fontId="8" fillId="0" borderId="54" xfId="0" applyNumberFormat="1" applyFont="1" applyBorder="1" applyAlignment="1" applyProtection="1">
      <alignment horizontal="center"/>
      <protection locked="0"/>
    </xf>
    <xf numFmtId="0" fontId="0" fillId="0" borderId="29" xfId="0" applyBorder="1"/>
    <xf numFmtId="3" fontId="21" fillId="0" borderId="0" xfId="0" applyNumberFormat="1" applyFont="1" applyAlignment="1">
      <alignment horizontal="center" vertical="center"/>
    </xf>
    <xf numFmtId="170" fontId="22" fillId="0" borderId="0" xfId="0" applyNumberFormat="1" applyFont="1" applyAlignment="1">
      <alignment horizontal="center" vertical="center" textRotation="180"/>
    </xf>
    <xf numFmtId="0" fontId="21" fillId="0" borderId="66" xfId="0" applyFont="1" applyBorder="1" applyAlignment="1">
      <alignment horizontal="center"/>
    </xf>
    <xf numFmtId="0" fontId="8" fillId="0" borderId="39" xfId="0" applyFont="1" applyBorder="1" applyAlignment="1">
      <alignment horizontal="center" vertical="center"/>
    </xf>
    <xf numFmtId="0" fontId="8" fillId="0" borderId="36"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173" fontId="21" fillId="0" borderId="9" xfId="0" applyNumberFormat="1" applyFont="1" applyBorder="1" applyAlignment="1">
      <alignment horizontal="center" vertical="center"/>
    </xf>
    <xf numFmtId="1" fontId="21" fillId="0" borderId="17" xfId="0" applyNumberFormat="1" applyFont="1" applyBorder="1" applyAlignment="1">
      <alignment horizontal="right" vertical="center" wrapText="1"/>
    </xf>
    <xf numFmtId="175" fontId="21" fillId="0" borderId="9" xfId="0" applyNumberFormat="1" applyFont="1" applyBorder="1" applyAlignment="1">
      <alignment horizontal="center" vertical="center"/>
    </xf>
    <xf numFmtId="0" fontId="11" fillId="3" borderId="56" xfId="0" applyFont="1" applyFill="1" applyBorder="1"/>
    <xf numFmtId="0" fontId="0" fillId="0" borderId="57" xfId="0" applyBorder="1"/>
    <xf numFmtId="0" fontId="6" fillId="0" borderId="0" xfId="0" applyFont="1"/>
    <xf numFmtId="175" fontId="0" fillId="0" borderId="0" xfId="0" applyNumberFormat="1"/>
    <xf numFmtId="175" fontId="8" fillId="5" borderId="9" xfId="1" applyNumberFormat="1" applyFont="1" applyFill="1" applyBorder="1" applyAlignment="1" applyProtection="1">
      <alignment horizontal="center"/>
    </xf>
    <xf numFmtId="172" fontId="8" fillId="5" borderId="8" xfId="0" applyNumberFormat="1" applyFont="1" applyFill="1" applyBorder="1" applyAlignment="1">
      <alignment horizontal="center"/>
    </xf>
    <xf numFmtId="168" fontId="30" fillId="3" borderId="4" xfId="1" applyNumberFormat="1" applyFont="1" applyFill="1" applyBorder="1"/>
    <xf numFmtId="1" fontId="16" fillId="2" borderId="68" xfId="0" applyNumberFormat="1" applyFont="1" applyFill="1" applyBorder="1" applyAlignment="1">
      <alignment horizontal="center" vertical="center" wrapText="1"/>
    </xf>
    <xf numFmtId="1" fontId="16" fillId="2" borderId="69" xfId="0" applyNumberFormat="1" applyFont="1" applyFill="1" applyBorder="1" applyAlignment="1">
      <alignment horizontal="center" vertical="center" wrapText="1"/>
    </xf>
    <xf numFmtId="1" fontId="16" fillId="2" borderId="70" xfId="0" applyNumberFormat="1" applyFont="1" applyFill="1" applyBorder="1" applyAlignment="1">
      <alignment horizontal="center" vertical="center" wrapText="1"/>
    </xf>
    <xf numFmtId="1" fontId="16" fillId="2" borderId="71" xfId="0" applyNumberFormat="1" applyFont="1" applyFill="1" applyBorder="1" applyAlignment="1">
      <alignment horizontal="center" vertical="center" wrapText="1"/>
    </xf>
    <xf numFmtId="1" fontId="21" fillId="0" borderId="0" xfId="0" applyNumberFormat="1" applyFont="1" applyAlignment="1">
      <alignment horizontal="right" vertical="center" wrapText="1"/>
    </xf>
    <xf numFmtId="173" fontId="21" fillId="0" borderId="0" xfId="0" applyNumberFormat="1" applyFont="1" applyAlignment="1">
      <alignment horizontal="center" vertical="center"/>
    </xf>
    <xf numFmtId="1" fontId="21" fillId="0" borderId="0" xfId="0" applyNumberFormat="1" applyFont="1" applyAlignment="1">
      <alignment horizontal="right" wrapText="1"/>
    </xf>
    <xf numFmtId="175" fontId="21" fillId="0" borderId="0" xfId="0" applyNumberFormat="1" applyFont="1" applyAlignment="1">
      <alignment horizontal="center" vertical="center"/>
    </xf>
    <xf numFmtId="0" fontId="8" fillId="0" borderId="54" xfId="0" applyFont="1" applyBorder="1" applyAlignment="1" applyProtection="1">
      <alignment horizontal="center"/>
      <protection locked="0"/>
    </xf>
    <xf numFmtId="10" fontId="8" fillId="5" borderId="67" xfId="1" applyNumberFormat="1" applyFont="1" applyFill="1" applyBorder="1" applyAlignment="1" applyProtection="1">
      <alignment horizontal="center"/>
    </xf>
    <xf numFmtId="1" fontId="8" fillId="5" borderId="54" xfId="0" applyNumberFormat="1" applyFont="1" applyFill="1" applyBorder="1" applyAlignment="1">
      <alignment horizontal="right"/>
    </xf>
    <xf numFmtId="3" fontId="8" fillId="0" borderId="54" xfId="0" applyNumberFormat="1" applyFont="1" applyBorder="1" applyAlignment="1" applyProtection="1">
      <alignment horizontal="right"/>
      <protection locked="0"/>
    </xf>
    <xf numFmtId="3" fontId="8" fillId="5" borderId="54" xfId="0" applyNumberFormat="1" applyFont="1" applyFill="1" applyBorder="1" applyAlignment="1">
      <alignment horizontal="center"/>
    </xf>
    <xf numFmtId="10" fontId="8" fillId="5" borderId="67" xfId="1" applyNumberFormat="1" applyFont="1" applyFill="1" applyBorder="1" applyAlignment="1">
      <alignment horizontal="center"/>
    </xf>
    <xf numFmtId="172" fontId="8" fillId="0" borderId="54" xfId="0" applyNumberFormat="1" applyFont="1" applyBorder="1" applyAlignment="1" applyProtection="1">
      <alignment horizontal="right"/>
      <protection locked="0"/>
    </xf>
    <xf numFmtId="2" fontId="8" fillId="5" borderId="54" xfId="0" applyNumberFormat="1" applyFont="1" applyFill="1" applyBorder="1" applyAlignment="1">
      <alignment horizontal="center"/>
    </xf>
    <xf numFmtId="168" fontId="13" fillId="11" borderId="17" xfId="0" applyNumberFormat="1" applyFont="1" applyFill="1" applyBorder="1" applyAlignment="1">
      <alignment horizontal="right"/>
    </xf>
    <xf numFmtId="9" fontId="13" fillId="11" borderId="17" xfId="1" applyFont="1" applyFill="1" applyBorder="1" applyAlignment="1">
      <alignment horizontal="center" vertical="center"/>
    </xf>
    <xf numFmtId="0" fontId="0" fillId="0" borderId="73" xfId="0" applyBorder="1"/>
    <xf numFmtId="0" fontId="0" fillId="0" borderId="74" xfId="0" applyBorder="1"/>
    <xf numFmtId="4" fontId="10" fillId="3" borderId="5" xfId="0" applyNumberFormat="1" applyFont="1" applyFill="1" applyBorder="1" applyAlignment="1">
      <alignment horizontal="center" vertical="center"/>
    </xf>
    <xf numFmtId="10" fontId="10" fillId="3" borderId="4" xfId="1" applyNumberFormat="1" applyFont="1" applyFill="1" applyBorder="1" applyAlignment="1" applyProtection="1">
      <alignment horizontal="center" vertical="center"/>
    </xf>
    <xf numFmtId="173" fontId="8" fillId="5" borderId="8" xfId="0" applyNumberFormat="1" applyFont="1" applyFill="1" applyBorder="1" applyAlignment="1">
      <alignment horizontal="center"/>
    </xf>
    <xf numFmtId="168" fontId="8" fillId="0" borderId="8" xfId="0" applyNumberFormat="1" applyFont="1" applyBorder="1" applyAlignment="1" applyProtection="1">
      <alignment horizontal="center"/>
      <protection locked="0"/>
    </xf>
    <xf numFmtId="168" fontId="8" fillId="0" borderId="54" xfId="0" applyNumberFormat="1" applyFont="1" applyBorder="1" applyAlignment="1" applyProtection="1">
      <alignment horizontal="center"/>
      <protection locked="0"/>
    </xf>
    <xf numFmtId="10" fontId="13" fillId="8" borderId="10" xfId="0" applyNumberFormat="1" applyFont="1" applyFill="1" applyBorder="1" applyAlignment="1">
      <alignment horizontal="center" vertical="center"/>
    </xf>
    <xf numFmtId="168" fontId="13" fillId="8" borderId="25" xfId="1" applyNumberFormat="1" applyFont="1" applyFill="1" applyBorder="1" applyAlignment="1">
      <alignment horizontal="center" vertical="center"/>
    </xf>
    <xf numFmtId="1" fontId="16" fillId="2" borderId="79" xfId="0" applyNumberFormat="1" applyFont="1" applyFill="1" applyBorder="1" applyAlignment="1">
      <alignment horizontal="center" vertical="center" wrapText="1"/>
    </xf>
    <xf numFmtId="1" fontId="9" fillId="2" borderId="26" xfId="0" applyNumberFormat="1" applyFont="1" applyFill="1" applyBorder="1" applyAlignment="1">
      <alignment horizontal="center" vertical="center" wrapText="1"/>
    </xf>
    <xf numFmtId="1" fontId="9" fillId="2" borderId="27" xfId="0" applyNumberFormat="1" applyFont="1" applyFill="1" applyBorder="1" applyAlignment="1">
      <alignment horizontal="center" vertical="center" wrapText="1"/>
    </xf>
    <xf numFmtId="1" fontId="16" fillId="2" borderId="80" xfId="0" applyNumberFormat="1" applyFont="1" applyFill="1" applyBorder="1" applyAlignment="1">
      <alignment horizontal="center" vertical="center" wrapText="1"/>
    </xf>
    <xf numFmtId="0" fontId="13" fillId="11" borderId="17" xfId="0" applyFont="1" applyFill="1" applyBorder="1" applyAlignment="1">
      <alignment horizontal="center" vertical="center"/>
    </xf>
    <xf numFmtId="168" fontId="13" fillId="11" borderId="17" xfId="1" applyNumberFormat="1" applyFont="1" applyFill="1" applyBorder="1" applyAlignment="1">
      <alignment horizontal="center" vertical="center"/>
    </xf>
    <xf numFmtId="10" fontId="13" fillId="11" borderId="17" xfId="1" applyNumberFormat="1" applyFont="1" applyFill="1" applyBorder="1" applyAlignment="1">
      <alignment horizontal="center" vertical="center"/>
    </xf>
    <xf numFmtId="1" fontId="16" fillId="2" borderId="23" xfId="0" applyNumberFormat="1" applyFont="1" applyFill="1" applyBorder="1" applyAlignment="1">
      <alignment horizontal="center" vertical="center" wrapText="1"/>
    </xf>
    <xf numFmtId="0" fontId="13" fillId="0" borderId="0" xfId="0" applyFont="1"/>
    <xf numFmtId="168" fontId="13" fillId="11" borderId="45" xfId="1" applyNumberFormat="1" applyFont="1" applyFill="1" applyBorder="1" applyAlignment="1">
      <alignment horizontal="center" vertical="center"/>
    </xf>
    <xf numFmtId="9" fontId="8" fillId="5" borderId="8" xfId="1" applyFont="1" applyFill="1" applyBorder="1" applyAlignment="1" applyProtection="1">
      <alignment horizontal="center" vertical="center"/>
    </xf>
    <xf numFmtId="2" fontId="8" fillId="5" borderId="8" xfId="0" applyNumberFormat="1" applyFont="1" applyFill="1" applyBorder="1" applyAlignment="1">
      <alignment horizontal="center" vertical="center"/>
    </xf>
    <xf numFmtId="3" fontId="8" fillId="14" borderId="8" xfId="0" applyNumberFormat="1" applyFont="1" applyFill="1" applyBorder="1" applyAlignment="1">
      <alignment horizontal="center" vertical="center"/>
    </xf>
    <xf numFmtId="168" fontId="33" fillId="0" borderId="0" xfId="0" applyNumberFormat="1" applyFont="1" applyAlignment="1">
      <alignment horizontal="center" vertical="center"/>
    </xf>
    <xf numFmtId="1" fontId="16" fillId="2" borderId="86" xfId="0" applyNumberFormat="1" applyFont="1" applyFill="1" applyBorder="1" applyAlignment="1">
      <alignment horizontal="center" vertical="center" wrapText="1"/>
    </xf>
    <xf numFmtId="168" fontId="13" fillId="11" borderId="87" xfId="1" applyNumberFormat="1" applyFont="1" applyFill="1" applyBorder="1" applyAlignment="1">
      <alignment horizontal="center" vertical="center"/>
    </xf>
    <xf numFmtId="3" fontId="21" fillId="0" borderId="10" xfId="0" applyNumberFormat="1" applyFont="1" applyBorder="1" applyAlignment="1" applyProtection="1">
      <alignment horizontal="center" vertical="center"/>
      <protection locked="0"/>
    </xf>
    <xf numFmtId="3" fontId="21" fillId="0" borderId="10" xfId="0" applyNumberFormat="1" applyFont="1" applyBorder="1" applyAlignment="1" applyProtection="1">
      <alignment horizontal="center"/>
      <protection locked="0"/>
    </xf>
    <xf numFmtId="0" fontId="21" fillId="0" borderId="11" xfId="0" applyFont="1" applyBorder="1" applyAlignment="1" applyProtection="1">
      <alignment horizontal="center"/>
      <protection locked="0"/>
    </xf>
    <xf numFmtId="3" fontId="21" fillId="0" borderId="8" xfId="0" applyNumberFormat="1" applyFont="1" applyBorder="1" applyAlignment="1" applyProtection="1">
      <alignment horizontal="center" vertical="center"/>
      <protection locked="0"/>
    </xf>
    <xf numFmtId="3" fontId="21" fillId="0" borderId="8" xfId="0" applyNumberFormat="1" applyFont="1" applyBorder="1" applyAlignment="1" applyProtection="1">
      <alignment horizontal="center"/>
      <protection locked="0"/>
    </xf>
    <xf numFmtId="0" fontId="21" fillId="0" borderId="9" xfId="0" applyFont="1" applyBorder="1" applyAlignment="1" applyProtection="1">
      <alignment horizontal="center"/>
      <protection locked="0"/>
    </xf>
    <xf numFmtId="3" fontId="21" fillId="0" borderId="54" xfId="0" applyNumberFormat="1" applyFont="1" applyBorder="1" applyAlignment="1" applyProtection="1">
      <alignment horizontal="center" vertical="center"/>
      <protection locked="0"/>
    </xf>
    <xf numFmtId="3" fontId="21" fillId="0" borderId="54" xfId="0" applyNumberFormat="1" applyFont="1" applyBorder="1" applyAlignment="1" applyProtection="1">
      <alignment horizontal="center"/>
      <protection locked="0"/>
    </xf>
    <xf numFmtId="0" fontId="21" fillId="0" borderId="67" xfId="0" applyFont="1" applyBorder="1" applyAlignment="1" applyProtection="1">
      <alignment horizontal="center"/>
      <protection locked="0"/>
    </xf>
    <xf numFmtId="3" fontId="21" fillId="0" borderId="20" xfId="0" applyNumberFormat="1" applyFont="1" applyBorder="1" applyAlignment="1" applyProtection="1">
      <alignment horizontal="center" vertical="center"/>
      <protection locked="0"/>
    </xf>
    <xf numFmtId="170" fontId="22" fillId="0" borderId="20" xfId="0" applyNumberFormat="1" applyFont="1" applyBorder="1" applyAlignment="1" applyProtection="1">
      <alignment horizontal="center" vertical="center" textRotation="180"/>
      <protection locked="0"/>
    </xf>
    <xf numFmtId="0" fontId="21" fillId="0" borderId="19" xfId="0" applyFont="1" applyBorder="1" applyAlignment="1" applyProtection="1">
      <alignment horizontal="center"/>
      <protection locked="0"/>
    </xf>
    <xf numFmtId="0" fontId="21" fillId="0" borderId="9" xfId="0" applyFont="1" applyBorder="1" applyAlignment="1" applyProtection="1">
      <alignment horizontal="center" vertical="center"/>
      <protection locked="0"/>
    </xf>
    <xf numFmtId="0" fontId="21" fillId="0" borderId="19" xfId="0" applyFont="1" applyBorder="1" applyAlignment="1" applyProtection="1">
      <alignment horizontal="center" vertical="center"/>
      <protection locked="0"/>
    </xf>
    <xf numFmtId="9" fontId="21" fillId="0" borderId="44" xfId="1" applyFont="1" applyFill="1" applyBorder="1" applyAlignment="1" applyProtection="1">
      <alignment horizontal="center" vertical="center" wrapText="1"/>
      <protection locked="0"/>
    </xf>
    <xf numFmtId="175" fontId="21" fillId="0" borderId="44" xfId="1" applyNumberFormat="1" applyFont="1" applyFill="1" applyBorder="1" applyAlignment="1" applyProtection="1">
      <alignment horizontal="center" vertical="center" wrapText="1"/>
      <protection locked="0"/>
    </xf>
    <xf numFmtId="3" fontId="8" fillId="0" borderId="10" xfId="0" applyNumberFormat="1" applyFont="1" applyBorder="1" applyAlignment="1" applyProtection="1">
      <alignment horizontal="center"/>
      <protection locked="0"/>
    </xf>
    <xf numFmtId="1" fontId="9" fillId="2" borderId="89" xfId="0" applyNumberFormat="1" applyFont="1" applyFill="1" applyBorder="1" applyAlignment="1">
      <alignment horizontal="center" vertical="center" wrapText="1"/>
    </xf>
    <xf numFmtId="1" fontId="9" fillId="2" borderId="90" xfId="0" applyNumberFormat="1" applyFont="1" applyFill="1" applyBorder="1" applyAlignment="1">
      <alignment horizontal="center" vertical="center" wrapText="1"/>
    </xf>
    <xf numFmtId="0" fontId="0" fillId="0" borderId="0" xfId="0" applyAlignment="1">
      <alignment wrapText="1"/>
    </xf>
    <xf numFmtId="3" fontId="8" fillId="0" borderId="8" xfId="0" applyNumberFormat="1" applyFont="1" applyBorder="1" applyAlignment="1" applyProtection="1">
      <alignment horizontal="center" wrapText="1"/>
      <protection locked="0"/>
    </xf>
    <xf numFmtId="0" fontId="6" fillId="0" borderId="0" xfId="2"/>
    <xf numFmtId="1" fontId="9" fillId="2" borderId="2" xfId="2" applyNumberFormat="1" applyFont="1" applyFill="1" applyBorder="1" applyAlignment="1">
      <alignment horizontal="center" vertical="center" wrapText="1"/>
    </xf>
    <xf numFmtId="1" fontId="9" fillId="2" borderId="1" xfId="2" applyNumberFormat="1" applyFont="1" applyFill="1" applyBorder="1" applyAlignment="1">
      <alignment horizontal="center" vertical="center" wrapText="1"/>
    </xf>
    <xf numFmtId="1" fontId="9" fillId="2" borderId="3" xfId="2" applyNumberFormat="1" applyFont="1" applyFill="1" applyBorder="1" applyAlignment="1">
      <alignment horizontal="center" vertical="center" wrapText="1"/>
    </xf>
    <xf numFmtId="1" fontId="8" fillId="5" borderId="24" xfId="2" applyNumberFormat="1" applyFont="1" applyFill="1" applyBorder="1" applyAlignment="1">
      <alignment horizontal="center"/>
    </xf>
    <xf numFmtId="1" fontId="8" fillId="5" borderId="10" xfId="2" applyNumberFormat="1" applyFont="1" applyFill="1" applyBorder="1" applyAlignment="1">
      <alignment horizontal="right"/>
    </xf>
    <xf numFmtId="168" fontId="8" fillId="5" borderId="10" xfId="2" applyNumberFormat="1" applyFont="1" applyFill="1" applyBorder="1" applyAlignment="1">
      <alignment horizontal="center" vertical="center"/>
    </xf>
    <xf numFmtId="168" fontId="8" fillId="0" borderId="10" xfId="2" applyNumberFormat="1" applyFont="1" applyBorder="1" applyAlignment="1" applyProtection="1">
      <alignment horizontal="center" vertical="center"/>
      <protection locked="0"/>
    </xf>
    <xf numFmtId="168" fontId="8" fillId="9" borderId="10" xfId="2" applyNumberFormat="1" applyFont="1" applyFill="1" applyBorder="1" applyAlignment="1">
      <alignment horizontal="center" vertical="center"/>
    </xf>
    <xf numFmtId="10" fontId="8" fillId="5" borderId="15" xfId="2" applyNumberFormat="1" applyFont="1" applyFill="1" applyBorder="1" applyAlignment="1">
      <alignment horizontal="center" vertical="center"/>
    </xf>
    <xf numFmtId="168" fontId="8" fillId="8" borderId="11" xfId="2" applyNumberFormat="1" applyFont="1" applyFill="1" applyBorder="1" applyAlignment="1">
      <alignment horizontal="center" vertical="center"/>
    </xf>
    <xf numFmtId="10" fontId="8" fillId="5" borderId="8" xfId="2" applyNumberFormat="1" applyFont="1" applyFill="1" applyBorder="1" applyAlignment="1">
      <alignment horizontal="center" vertical="center"/>
    </xf>
    <xf numFmtId="168" fontId="10" fillId="3" borderId="5" xfId="2" applyNumberFormat="1" applyFont="1" applyFill="1" applyBorder="1"/>
    <xf numFmtId="10" fontId="10" fillId="3" borderId="5" xfId="2" applyNumberFormat="1" applyFont="1" applyFill="1" applyBorder="1"/>
    <xf numFmtId="1" fontId="9" fillId="2" borderId="91" xfId="2" applyNumberFormat="1" applyFont="1" applyFill="1" applyBorder="1" applyAlignment="1">
      <alignment horizontal="center" vertical="center"/>
    </xf>
    <xf numFmtId="9" fontId="8" fillId="0" borderId="84" xfId="3" applyFont="1" applyBorder="1" applyAlignment="1" applyProtection="1">
      <alignment horizontal="center" vertical="center"/>
    </xf>
    <xf numFmtId="9" fontId="8" fillId="0" borderId="30" xfId="3" applyFont="1" applyBorder="1" applyAlignment="1" applyProtection="1">
      <alignment horizontal="center" vertical="center"/>
    </xf>
    <xf numFmtId="10" fontId="8" fillId="5" borderId="10" xfId="3" applyNumberFormat="1" applyFont="1" applyFill="1" applyBorder="1" applyAlignment="1" applyProtection="1">
      <alignment horizontal="center"/>
    </xf>
    <xf numFmtId="168" fontId="8" fillId="0" borderId="15" xfId="2" applyNumberFormat="1" applyFont="1" applyBorder="1" applyAlignment="1" applyProtection="1">
      <alignment horizontal="center" vertical="center"/>
      <protection locked="0"/>
    </xf>
    <xf numFmtId="0" fontId="8" fillId="5" borderId="10" xfId="2" applyFont="1" applyFill="1" applyBorder="1" applyAlignment="1">
      <alignment horizontal="center" vertical="center"/>
    </xf>
    <xf numFmtId="10" fontId="8" fillId="9" borderId="10" xfId="3" applyNumberFormat="1" applyFont="1" applyFill="1" applyBorder="1" applyAlignment="1" applyProtection="1">
      <alignment horizontal="center" vertical="center"/>
    </xf>
    <xf numFmtId="10" fontId="8" fillId="8" borderId="10" xfId="2" applyNumberFormat="1" applyFont="1" applyFill="1" applyBorder="1" applyAlignment="1">
      <alignment horizontal="center" vertical="center"/>
    </xf>
    <xf numFmtId="168" fontId="8" fillId="8" borderId="25" xfId="3" applyNumberFormat="1" applyFont="1" applyFill="1" applyBorder="1" applyAlignment="1" applyProtection="1">
      <alignment horizontal="center" vertical="center"/>
    </xf>
    <xf numFmtId="178" fontId="0" fillId="0" borderId="0" xfId="3" applyNumberFormat="1" applyFont="1" applyProtection="1"/>
    <xf numFmtId="168" fontId="8" fillId="0" borderId="8" xfId="2" applyNumberFormat="1" applyFont="1" applyBorder="1" applyAlignment="1" applyProtection="1">
      <alignment horizontal="center" vertical="center"/>
      <protection locked="0"/>
    </xf>
    <xf numFmtId="0" fontId="11" fillId="3" borderId="56" xfId="2" applyFont="1" applyFill="1" applyBorder="1" applyAlignment="1">
      <alignment horizontal="center"/>
    </xf>
    <xf numFmtId="0" fontId="11" fillId="3" borderId="57" xfId="2" applyFont="1" applyFill="1" applyBorder="1" applyAlignment="1">
      <alignment horizontal="center"/>
    </xf>
    <xf numFmtId="9" fontId="10" fillId="3" borderId="5" xfId="3" applyFont="1" applyFill="1" applyBorder="1" applyAlignment="1" applyProtection="1">
      <alignment horizontal="center"/>
    </xf>
    <xf numFmtId="179" fontId="35" fillId="3" borderId="5" xfId="2" applyNumberFormat="1" applyFont="1" applyFill="1" applyBorder="1" applyAlignment="1">
      <alignment horizontal="right"/>
    </xf>
    <xf numFmtId="180" fontId="35" fillId="3" borderId="5" xfId="2" applyNumberFormat="1" applyFont="1" applyFill="1" applyBorder="1" applyAlignment="1">
      <alignment horizontal="right"/>
    </xf>
    <xf numFmtId="10" fontId="10" fillId="3" borderId="5" xfId="3" applyNumberFormat="1" applyFont="1" applyFill="1" applyBorder="1" applyAlignment="1" applyProtection="1">
      <alignment horizontal="center"/>
    </xf>
    <xf numFmtId="168" fontId="10" fillId="3" borderId="5" xfId="3" applyNumberFormat="1" applyFont="1" applyFill="1" applyBorder="1" applyAlignment="1" applyProtection="1">
      <alignment horizontal="right"/>
    </xf>
    <xf numFmtId="168" fontId="10" fillId="3" borderId="4" xfId="3" applyNumberFormat="1" applyFont="1" applyFill="1" applyBorder="1" applyProtection="1"/>
    <xf numFmtId="10" fontId="0" fillId="0" borderId="0" xfId="3" applyNumberFormat="1" applyFont="1" applyProtection="1"/>
    <xf numFmtId="1" fontId="9" fillId="2" borderId="86" xfId="2" applyNumberFormat="1" applyFont="1" applyFill="1" applyBorder="1" applyAlignment="1">
      <alignment horizontal="center" vertical="center" wrapText="1"/>
    </xf>
    <xf numFmtId="0" fontId="8" fillId="0" borderId="86" xfId="2" applyFont="1" applyBorder="1" applyAlignment="1">
      <alignment horizontal="center" vertical="center"/>
    </xf>
    <xf numFmtId="1" fontId="9" fillId="2" borderId="96" xfId="2" applyNumberFormat="1" applyFont="1" applyFill="1" applyBorder="1" applyAlignment="1">
      <alignment horizontal="center" vertical="center"/>
    </xf>
    <xf numFmtId="1" fontId="9" fillId="2" borderId="97" xfId="2" applyNumberFormat="1" applyFont="1" applyFill="1" applyBorder="1" applyAlignment="1">
      <alignment horizontal="center" vertical="center"/>
    </xf>
    <xf numFmtId="0" fontId="8" fillId="0" borderId="98" xfId="2" applyFont="1" applyBorder="1" applyAlignment="1">
      <alignment horizontal="center" vertical="center"/>
    </xf>
    <xf numFmtId="0" fontId="8" fillId="0" borderId="31" xfId="2" applyFont="1" applyBorder="1" applyAlignment="1">
      <alignment horizontal="center" vertical="center"/>
    </xf>
    <xf numFmtId="0" fontId="7" fillId="15" borderId="88" xfId="2" applyFont="1" applyFill="1" applyBorder="1" applyAlignment="1">
      <alignment horizontal="center" vertical="center"/>
    </xf>
    <xf numFmtId="9" fontId="7" fillId="15" borderId="23" xfId="3" applyFont="1" applyFill="1" applyBorder="1" applyAlignment="1" applyProtection="1">
      <alignment horizontal="center" vertical="center"/>
    </xf>
    <xf numFmtId="0" fontId="8" fillId="0" borderId="101" xfId="2" applyFont="1" applyBorder="1" applyAlignment="1">
      <alignment horizontal="right" vertical="center" wrapText="1"/>
    </xf>
    <xf numFmtId="0" fontId="11" fillId="3" borderId="29" xfId="0" applyFont="1" applyFill="1" applyBorder="1" applyAlignment="1">
      <alignment horizontal="center"/>
    </xf>
    <xf numFmtId="174" fontId="8" fillId="0" borderId="8" xfId="0" applyNumberFormat="1" applyFont="1" applyBorder="1" applyAlignment="1" applyProtection="1">
      <alignment horizontal="center"/>
      <protection locked="0"/>
    </xf>
    <xf numFmtId="0" fontId="0" fillId="0" borderId="0" xfId="0" applyAlignment="1">
      <alignment horizontal="center"/>
    </xf>
    <xf numFmtId="9" fontId="21" fillId="0" borderId="19" xfId="1" applyFont="1" applyBorder="1" applyAlignment="1" applyProtection="1">
      <alignment horizontal="center" vertical="center"/>
      <protection locked="0"/>
    </xf>
    <xf numFmtId="168" fontId="25" fillId="4" borderId="6" xfId="0" applyNumberFormat="1" applyFont="1" applyFill="1" applyBorder="1" applyAlignment="1" applyProtection="1">
      <alignment horizontal="center" vertical="center"/>
      <protection locked="0"/>
    </xf>
    <xf numFmtId="2" fontId="24" fillId="0" borderId="8" xfId="0" applyNumberFormat="1" applyFont="1" applyBorder="1" applyAlignment="1">
      <alignment horizontal="center" wrapText="1"/>
    </xf>
    <xf numFmtId="1" fontId="37" fillId="12" borderId="75" xfId="6" applyNumberFormat="1" applyFont="1" applyFill="1" applyBorder="1" applyAlignment="1">
      <alignment horizontal="center" vertical="center"/>
    </xf>
    <xf numFmtId="0" fontId="39" fillId="0" borderId="0" xfId="7" applyFont="1"/>
    <xf numFmtId="0" fontId="36" fillId="16" borderId="88" xfId="5" applyFont="1" applyFill="1" applyBorder="1" applyAlignment="1">
      <alignment horizontal="center" vertical="center" wrapText="1"/>
    </xf>
    <xf numFmtId="168" fontId="37" fillId="12" borderId="101" xfId="6" applyNumberFormat="1" applyFont="1" applyFill="1" applyBorder="1" applyAlignment="1">
      <alignment horizontal="center" vertical="center"/>
    </xf>
    <xf numFmtId="0" fontId="41" fillId="0" borderId="0" xfId="7" applyFont="1"/>
    <xf numFmtId="0" fontId="41" fillId="16" borderId="23" xfId="8" applyFont="1" applyFill="1" applyBorder="1" applyAlignment="1">
      <alignment horizontal="center" vertical="center" wrapText="1"/>
    </xf>
    <xf numFmtId="1" fontId="37" fillId="14" borderId="24" xfId="6" applyNumberFormat="1" applyFont="1" applyFill="1" applyBorder="1" applyAlignment="1">
      <alignment horizontal="center"/>
    </xf>
    <xf numFmtId="1" fontId="37" fillId="14" borderId="10" xfId="6" applyNumberFormat="1" applyFont="1" applyFill="1" applyBorder="1" applyAlignment="1">
      <alignment horizontal="right"/>
    </xf>
    <xf numFmtId="168" fontId="43" fillId="13" borderId="10" xfId="10" applyNumberFormat="1" applyFont="1" applyFill="1" applyBorder="1" applyAlignment="1" applyProtection="1">
      <alignment horizontal="center"/>
    </xf>
    <xf numFmtId="0" fontId="43" fillId="14" borderId="10" xfId="10" applyNumberFormat="1" applyFont="1" applyFill="1" applyBorder="1" applyAlignment="1" applyProtection="1">
      <alignment horizontal="center"/>
    </xf>
    <xf numFmtId="0" fontId="37" fillId="14" borderId="10" xfId="11" applyNumberFormat="1" applyFont="1" applyFill="1" applyBorder="1" applyAlignment="1" applyProtection="1">
      <alignment horizontal="center"/>
    </xf>
    <xf numFmtId="168" fontId="37" fillId="14" borderId="10" xfId="11" applyNumberFormat="1" applyFont="1" applyFill="1" applyBorder="1" applyAlignment="1" applyProtection="1">
      <alignment horizontal="center"/>
    </xf>
    <xf numFmtId="10" fontId="37" fillId="12" borderId="10" xfId="10" applyNumberFormat="1" applyFont="1" applyFill="1" applyBorder="1" applyAlignment="1" applyProtection="1">
      <alignment horizontal="center"/>
    </xf>
    <xf numFmtId="0" fontId="42" fillId="0" borderId="0" xfId="6" applyFont="1"/>
    <xf numFmtId="3" fontId="44" fillId="19" borderId="105" xfId="6" applyNumberFormat="1" applyFont="1" applyFill="1" applyBorder="1" applyAlignment="1">
      <alignment horizontal="center" vertical="center"/>
    </xf>
    <xf numFmtId="0" fontId="6" fillId="0" borderId="0" xfId="6"/>
    <xf numFmtId="3" fontId="43" fillId="0" borderId="10" xfId="9" applyNumberFormat="1" applyFont="1" applyFill="1" applyBorder="1" applyAlignment="1" applyProtection="1">
      <alignment horizontal="center" vertical="center" readingOrder="1"/>
      <protection locked="0"/>
    </xf>
    <xf numFmtId="1" fontId="21" fillId="12" borderId="0" xfId="6" applyNumberFormat="1" applyFont="1" applyFill="1" applyAlignment="1">
      <alignment horizontal="center" vertical="center"/>
    </xf>
    <xf numFmtId="0" fontId="38" fillId="0" borderId="0" xfId="7"/>
    <xf numFmtId="168" fontId="21" fillId="12" borderId="0" xfId="6" applyNumberFormat="1" applyFont="1" applyFill="1" applyAlignment="1">
      <alignment horizontal="center" vertical="center"/>
    </xf>
    <xf numFmtId="168" fontId="37" fillId="12" borderId="0" xfId="6" applyNumberFormat="1" applyFont="1" applyFill="1" applyAlignment="1">
      <alignment horizontal="center" vertical="center"/>
    </xf>
    <xf numFmtId="0" fontId="45" fillId="17" borderId="15" xfId="7" applyFont="1" applyFill="1" applyBorder="1" applyAlignment="1">
      <alignment horizontal="center" vertical="center" wrapText="1"/>
    </xf>
    <xf numFmtId="0" fontId="46" fillId="0" borderId="0" xfId="7" applyFont="1"/>
    <xf numFmtId="0" fontId="46" fillId="18" borderId="23" xfId="7" applyFont="1" applyFill="1" applyBorder="1" applyAlignment="1">
      <alignment horizontal="center" vertical="center" wrapText="1"/>
    </xf>
    <xf numFmtId="168" fontId="47" fillId="13" borderId="10" xfId="3" applyNumberFormat="1" applyFont="1" applyFill="1" applyBorder="1" applyAlignment="1" applyProtection="1">
      <alignment horizontal="center"/>
    </xf>
    <xf numFmtId="0" fontId="21" fillId="14" borderId="10" xfId="11" applyNumberFormat="1" applyFont="1" applyFill="1" applyBorder="1" applyAlignment="1" applyProtection="1">
      <alignment horizontal="center"/>
    </xf>
    <xf numFmtId="168" fontId="21" fillId="14" borderId="10" xfId="11" applyNumberFormat="1" applyFont="1" applyFill="1" applyBorder="1" applyAlignment="1" applyProtection="1">
      <alignment horizontal="center"/>
    </xf>
    <xf numFmtId="168" fontId="47" fillId="13" borderId="8" xfId="3" applyNumberFormat="1" applyFont="1" applyFill="1" applyBorder="1" applyAlignment="1" applyProtection="1">
      <alignment horizontal="center"/>
    </xf>
    <xf numFmtId="0" fontId="21" fillId="14" borderId="8" xfId="11" applyNumberFormat="1" applyFont="1" applyFill="1" applyBorder="1" applyAlignment="1" applyProtection="1">
      <alignment horizontal="center"/>
    </xf>
    <xf numFmtId="168" fontId="21" fillId="14" borderId="8" xfId="11" applyNumberFormat="1" applyFont="1" applyFill="1" applyBorder="1" applyAlignment="1" applyProtection="1">
      <alignment horizontal="center"/>
    </xf>
    <xf numFmtId="9" fontId="44" fillId="19" borderId="105" xfId="12" applyFont="1" applyFill="1" applyBorder="1" applyAlignment="1">
      <alignment horizontal="center" vertical="center"/>
    </xf>
    <xf numFmtId="0" fontId="43" fillId="0" borderId="0" xfId="6" applyFont="1"/>
    <xf numFmtId="0" fontId="43" fillId="0" borderId="0" xfId="6" applyFont="1" applyAlignment="1">
      <alignment vertical="center"/>
    </xf>
    <xf numFmtId="168" fontId="44" fillId="19" borderId="57" xfId="10" applyNumberFormat="1" applyFont="1" applyFill="1" applyBorder="1" applyAlignment="1">
      <alignment horizontal="center" vertical="center"/>
    </xf>
    <xf numFmtId="168" fontId="44" fillId="19" borderId="55" xfId="10" applyNumberFormat="1" applyFont="1" applyFill="1" applyBorder="1" applyAlignment="1">
      <alignment horizontal="center" vertical="center"/>
    </xf>
    <xf numFmtId="168" fontId="44" fillId="19" borderId="4" xfId="10" applyNumberFormat="1" applyFont="1" applyFill="1" applyBorder="1" applyAlignment="1">
      <alignment horizontal="center" vertical="center"/>
    </xf>
    <xf numFmtId="0" fontId="41" fillId="16" borderId="102" xfId="8" applyFont="1" applyFill="1" applyBorder="1" applyAlignment="1">
      <alignment horizontal="center" vertical="center" wrapText="1"/>
    </xf>
    <xf numFmtId="0" fontId="41" fillId="16" borderId="110" xfId="5" applyFont="1" applyFill="1" applyBorder="1" applyAlignment="1">
      <alignment horizontal="center" vertical="center" wrapText="1"/>
    </xf>
    <xf numFmtId="0" fontId="41" fillId="16" borderId="110" xfId="8" applyFont="1" applyFill="1" applyBorder="1" applyAlignment="1">
      <alignment horizontal="center" vertical="center" wrapText="1"/>
    </xf>
    <xf numFmtId="0" fontId="48" fillId="17" borderId="109" xfId="6" applyFont="1" applyFill="1" applyBorder="1"/>
    <xf numFmtId="0" fontId="48" fillId="17" borderId="111" xfId="6" applyFont="1" applyFill="1" applyBorder="1"/>
    <xf numFmtId="168" fontId="44" fillId="19" borderId="7" xfId="10" applyNumberFormat="1" applyFont="1" applyFill="1" applyBorder="1" applyAlignment="1">
      <alignment horizontal="center" vertical="center"/>
    </xf>
    <xf numFmtId="1" fontId="36" fillId="16" borderId="98" xfId="5" applyNumberFormat="1" applyFont="1" applyFill="1" applyBorder="1" applyAlignment="1">
      <alignment horizontal="center" vertical="center" wrapText="1"/>
    </xf>
    <xf numFmtId="1" fontId="37" fillId="12" borderId="0" xfId="6" applyNumberFormat="1" applyFont="1" applyFill="1" applyAlignment="1">
      <alignment horizontal="center" vertical="center"/>
    </xf>
    <xf numFmtId="3" fontId="6" fillId="0" borderId="8" xfId="0" applyNumberFormat="1" applyFont="1" applyBorder="1" applyAlignment="1" applyProtection="1">
      <alignment horizontal="center" wrapText="1"/>
      <protection locked="0"/>
    </xf>
    <xf numFmtId="1" fontId="37" fillId="14" borderId="31" xfId="6" applyNumberFormat="1" applyFont="1" applyFill="1" applyBorder="1" applyAlignment="1">
      <alignment horizontal="center" vertical="center"/>
    </xf>
    <xf numFmtId="1" fontId="37" fillId="14" borderId="8" xfId="6" applyNumberFormat="1" applyFont="1" applyFill="1" applyBorder="1" applyAlignment="1">
      <alignment horizontal="right" vertical="center"/>
    </xf>
    <xf numFmtId="181" fontId="37" fillId="14" borderId="8" xfId="13" applyNumberFormat="1" applyFont="1" applyFill="1" applyBorder="1" applyAlignment="1" applyProtection="1">
      <alignment horizontal="center" vertical="center"/>
    </xf>
    <xf numFmtId="9" fontId="37" fillId="14" borderId="8" xfId="6" applyNumberFormat="1" applyFont="1" applyFill="1" applyBorder="1" applyAlignment="1">
      <alignment horizontal="center" vertical="center"/>
    </xf>
    <xf numFmtId="3" fontId="37" fillId="14" borderId="8" xfId="6" applyNumberFormat="1" applyFont="1" applyFill="1" applyBorder="1" applyAlignment="1">
      <alignment horizontal="center" vertical="center"/>
    </xf>
    <xf numFmtId="22" fontId="0" fillId="0" borderId="0" xfId="0" applyNumberFormat="1"/>
    <xf numFmtId="0" fontId="68" fillId="0" borderId="0" xfId="7" applyFont="1" applyAlignment="1">
      <alignment horizontal="right" vertical="center"/>
    </xf>
    <xf numFmtId="0" fontId="69" fillId="0" borderId="0" xfId="7" applyFont="1" applyAlignment="1">
      <alignment horizontal="center" vertical="center"/>
    </xf>
    <xf numFmtId="0" fontId="69" fillId="0" borderId="0" xfId="7" applyFont="1"/>
    <xf numFmtId="0" fontId="70" fillId="0" borderId="54" xfId="54" applyFont="1" applyBorder="1" applyAlignment="1">
      <alignment horizontal="center" vertical="center" wrapText="1"/>
    </xf>
    <xf numFmtId="0" fontId="69" fillId="0" borderId="28" xfId="7" applyFont="1" applyBorder="1" applyAlignment="1">
      <alignment horizontal="center" vertical="center"/>
    </xf>
    <xf numFmtId="0" fontId="71" fillId="0" borderId="8" xfId="54" applyFont="1" applyBorder="1" applyAlignment="1">
      <alignment horizontal="center" vertical="center"/>
    </xf>
    <xf numFmtId="2" fontId="71" fillId="0" borderId="8" xfId="54" applyNumberFormat="1" applyFont="1" applyBorder="1" applyAlignment="1">
      <alignment horizontal="center"/>
    </xf>
    <xf numFmtId="0" fontId="73" fillId="16" borderId="15" xfId="94" applyFont="1" applyFill="1" applyBorder="1" applyAlignment="1">
      <alignment horizontal="center" vertical="center" wrapText="1"/>
    </xf>
    <xf numFmtId="0" fontId="73" fillId="16" borderId="27" xfId="94" applyFont="1" applyFill="1" applyBorder="1" applyAlignment="1">
      <alignment horizontal="center" vertical="center" wrapText="1"/>
    </xf>
    <xf numFmtId="1" fontId="67" fillId="14" borderId="17" xfId="6" applyNumberFormat="1" applyFont="1" applyFill="1" applyBorder="1" applyAlignment="1">
      <alignment horizontal="center"/>
    </xf>
    <xf numFmtId="1" fontId="67" fillId="14" borderId="8" xfId="6" applyNumberFormat="1" applyFont="1" applyFill="1" applyBorder="1" applyAlignment="1">
      <alignment horizontal="right"/>
    </xf>
    <xf numFmtId="168" fontId="74" fillId="13" borderId="8" xfId="10" applyNumberFormat="1" applyFont="1" applyFill="1" applyBorder="1" applyAlignment="1" applyProtection="1">
      <alignment horizontal="center"/>
    </xf>
    <xf numFmtId="3" fontId="74" fillId="0" borderId="10" xfId="9" applyNumberFormat="1" applyFont="1" applyFill="1" applyBorder="1" applyAlignment="1" applyProtection="1">
      <alignment horizontal="center" vertical="center" readingOrder="1"/>
      <protection locked="0"/>
    </xf>
    <xf numFmtId="168" fontId="67" fillId="12" borderId="8" xfId="10" applyNumberFormat="1" applyFont="1" applyFill="1" applyBorder="1" applyAlignment="1" applyProtection="1">
      <alignment horizontal="center"/>
    </xf>
    <xf numFmtId="168" fontId="74" fillId="14" borderId="8" xfId="10" applyNumberFormat="1" applyFont="1" applyFill="1" applyBorder="1" applyAlignment="1" applyProtection="1">
      <alignment horizontal="center"/>
    </xf>
    <xf numFmtId="0" fontId="75" fillId="0" borderId="8" xfId="54" applyFont="1" applyBorder="1" applyAlignment="1">
      <alignment horizontal="center" vertical="center"/>
    </xf>
    <xf numFmtId="3" fontId="32" fillId="19" borderId="105" xfId="6" applyNumberFormat="1" applyFont="1" applyFill="1" applyBorder="1" applyAlignment="1">
      <alignment horizontal="center" vertical="center"/>
    </xf>
    <xf numFmtId="0" fontId="77" fillId="0" borderId="0" xfId="7" applyFont="1"/>
    <xf numFmtId="0" fontId="78" fillId="0" borderId="0" xfId="6" applyFont="1"/>
    <xf numFmtId="0" fontId="77" fillId="0" borderId="10" xfId="7" applyFont="1" applyBorder="1"/>
    <xf numFmtId="1" fontId="67" fillId="14" borderId="31" xfId="6" applyNumberFormat="1" applyFont="1" applyFill="1" applyBorder="1" applyAlignment="1">
      <alignment horizontal="center"/>
    </xf>
    <xf numFmtId="1" fontId="8" fillId="0" borderId="10" xfId="0" applyNumberFormat="1" applyFont="1" applyBorder="1" applyAlignment="1" applyProtection="1">
      <alignment horizontal="center" vertical="center"/>
      <protection locked="0"/>
    </xf>
    <xf numFmtId="1" fontId="9" fillId="42" borderId="1" xfId="0" applyNumberFormat="1" applyFont="1" applyFill="1" applyBorder="1" applyAlignment="1">
      <alignment horizontal="center" vertical="center" wrapText="1"/>
    </xf>
    <xf numFmtId="176" fontId="9" fillId="42" borderId="1" xfId="2" applyNumberFormat="1" applyFont="1" applyFill="1" applyBorder="1" applyAlignment="1">
      <alignment horizontal="center" vertical="center" wrapText="1"/>
    </xf>
    <xf numFmtId="177" fontId="9" fillId="42" borderId="1" xfId="2" applyNumberFormat="1" applyFont="1" applyFill="1" applyBorder="1" applyAlignment="1">
      <alignment horizontal="center" vertical="center" wrapText="1"/>
    </xf>
    <xf numFmtId="2" fontId="21" fillId="0" borderId="9" xfId="0" applyNumberFormat="1" applyFont="1" applyBorder="1" applyAlignment="1">
      <alignment horizontal="center" vertical="center"/>
    </xf>
    <xf numFmtId="168" fontId="8" fillId="0" borderId="10" xfId="0" applyNumberFormat="1" applyFont="1" applyBorder="1" applyAlignment="1" applyProtection="1">
      <alignment horizontal="center" vertical="center"/>
      <protection locked="0"/>
    </xf>
    <xf numFmtId="9" fontId="11" fillId="3" borderId="5" xfId="1" applyFont="1" applyFill="1" applyBorder="1" applyAlignment="1" applyProtection="1">
      <alignment horizontal="center"/>
    </xf>
    <xf numFmtId="9" fontId="8" fillId="0" borderId="86" xfId="1" applyFont="1" applyBorder="1" applyAlignment="1" applyProtection="1">
      <alignment horizontal="center" vertical="center"/>
    </xf>
    <xf numFmtId="167" fontId="31" fillId="0" borderId="8" xfId="1" applyNumberFormat="1" applyFont="1" applyBorder="1" applyAlignment="1">
      <alignment horizontal="center"/>
    </xf>
    <xf numFmtId="0" fontId="69" fillId="0" borderId="0" xfId="292" applyFont="1"/>
    <xf numFmtId="1" fontId="67" fillId="12" borderId="71" xfId="6" applyNumberFormat="1" applyFont="1" applyFill="1" applyBorder="1" applyAlignment="1">
      <alignment horizontal="center" vertical="center"/>
    </xf>
    <xf numFmtId="0" fontId="82" fillId="0" borderId="0" xfId="5" applyFont="1" applyAlignment="1">
      <alignment horizontal="center" vertical="center" wrapText="1"/>
    </xf>
    <xf numFmtId="0" fontId="82" fillId="16" borderId="98" xfId="5" applyFont="1" applyFill="1" applyBorder="1" applyAlignment="1">
      <alignment horizontal="center" vertical="center" wrapText="1"/>
    </xf>
    <xf numFmtId="0" fontId="82" fillId="16" borderId="0" xfId="5" applyFont="1" applyFill="1" applyAlignment="1">
      <alignment horizontal="center" vertical="center" wrapText="1"/>
    </xf>
    <xf numFmtId="1" fontId="67" fillId="12" borderId="0" xfId="6" applyNumberFormat="1" applyFont="1" applyFill="1" applyAlignment="1">
      <alignment horizontal="center" vertical="center"/>
    </xf>
    <xf numFmtId="0" fontId="69" fillId="0" borderId="76" xfId="292" applyFont="1" applyBorder="1"/>
    <xf numFmtId="0" fontId="69" fillId="0" borderId="78" xfId="292" applyFont="1" applyBorder="1"/>
    <xf numFmtId="0" fontId="82" fillId="16" borderId="88" xfId="5" applyFont="1" applyFill="1" applyBorder="1" applyAlignment="1">
      <alignment horizontal="center" vertical="center" wrapText="1"/>
    </xf>
    <xf numFmtId="0" fontId="69" fillId="0" borderId="77" xfId="292" applyFont="1" applyBorder="1"/>
    <xf numFmtId="0" fontId="82" fillId="16" borderId="0" xfId="5" applyFont="1" applyFill="1" applyAlignment="1">
      <alignment vertical="center" wrapText="1"/>
    </xf>
    <xf numFmtId="1" fontId="67" fillId="12" borderId="107" xfId="6" applyNumberFormat="1" applyFont="1" applyFill="1" applyBorder="1" applyAlignment="1">
      <alignment horizontal="center" vertical="center"/>
    </xf>
    <xf numFmtId="0" fontId="69" fillId="0" borderId="0" xfId="292" applyFont="1" applyAlignment="1">
      <alignment horizontal="center"/>
    </xf>
    <xf numFmtId="183" fontId="69" fillId="0" borderId="0" xfId="292" applyNumberFormat="1" applyFont="1"/>
    <xf numFmtId="0" fontId="69" fillId="0" borderId="102" xfId="292" applyFont="1" applyBorder="1"/>
    <xf numFmtId="0" fontId="69" fillId="0" borderId="103" xfId="292" applyFont="1" applyBorder="1"/>
    <xf numFmtId="0" fontId="69" fillId="0" borderId="104" xfId="292" applyFont="1" applyBorder="1"/>
    <xf numFmtId="0" fontId="69" fillId="0" borderId="98" xfId="292" applyFont="1" applyBorder="1"/>
    <xf numFmtId="0" fontId="73" fillId="16" borderId="8" xfId="5" applyFont="1" applyFill="1" applyBorder="1" applyAlignment="1">
      <alignment horizontal="center" vertical="center" wrapText="1"/>
    </xf>
    <xf numFmtId="0" fontId="73" fillId="16" borderId="8" xfId="5" applyFont="1" applyFill="1" applyBorder="1" applyAlignment="1">
      <alignment horizontal="center" vertical="top" wrapText="1"/>
    </xf>
    <xf numFmtId="0" fontId="73" fillId="16" borderId="30" xfId="5" applyFont="1" applyFill="1" applyBorder="1" applyAlignment="1">
      <alignment horizontal="center" vertical="center" wrapText="1"/>
    </xf>
    <xf numFmtId="0" fontId="73" fillId="16" borderId="40" xfId="5" applyFont="1" applyFill="1" applyBorder="1" applyAlignment="1">
      <alignment horizontal="center" vertical="center" wrapText="1"/>
    </xf>
    <xf numFmtId="0" fontId="73" fillId="16" borderId="111" xfId="5" applyFont="1" applyFill="1" applyBorder="1" applyAlignment="1">
      <alignment horizontal="center" vertical="center" wrapText="1"/>
    </xf>
    <xf numFmtId="0" fontId="73" fillId="16" borderId="0" xfId="5" applyFont="1" applyFill="1" applyAlignment="1">
      <alignment horizontal="center" vertical="center" wrapText="1"/>
    </xf>
    <xf numFmtId="0" fontId="69" fillId="0" borderId="88" xfId="292" applyFont="1" applyBorder="1"/>
    <xf numFmtId="0" fontId="83" fillId="16" borderId="8" xfId="5" applyFont="1" applyFill="1" applyBorder="1" applyAlignment="1">
      <alignment horizontal="center" vertical="center" wrapText="1"/>
    </xf>
    <xf numFmtId="0" fontId="83" fillId="16" borderId="30" xfId="5" applyFont="1" applyFill="1" applyBorder="1" applyAlignment="1">
      <alignment horizontal="center" vertical="center" wrapText="1"/>
    </xf>
    <xf numFmtId="0" fontId="83" fillId="16" borderId="40" xfId="5" applyFont="1" applyFill="1" applyBorder="1" applyAlignment="1">
      <alignment horizontal="center" vertical="center" wrapText="1"/>
    </xf>
    <xf numFmtId="3" fontId="74" fillId="14" borderId="108" xfId="41" applyNumberFormat="1" applyFont="1" applyFill="1" applyBorder="1" applyAlignment="1" applyProtection="1">
      <alignment horizontal="center" vertical="center" readingOrder="2"/>
    </xf>
    <xf numFmtId="0" fontId="74" fillId="14" borderId="108" xfId="41" applyNumberFormat="1" applyFont="1" applyFill="1" applyBorder="1" applyAlignment="1" applyProtection="1">
      <alignment horizontal="right" vertical="center" readingOrder="2"/>
    </xf>
    <xf numFmtId="184" fontId="74" fillId="14" borderId="108" xfId="41" applyNumberFormat="1" applyFont="1" applyFill="1" applyBorder="1" applyAlignment="1" applyProtection="1">
      <alignment horizontal="right" vertical="center" readingOrder="2"/>
      <protection locked="0"/>
    </xf>
    <xf numFmtId="0" fontId="74" fillId="14" borderId="108" xfId="41" applyNumberFormat="1" applyFont="1" applyFill="1" applyBorder="1" applyAlignment="1" applyProtection="1">
      <alignment horizontal="center" vertical="center" readingOrder="2"/>
      <protection locked="0"/>
    </xf>
    <xf numFmtId="3" fontId="74" fillId="14" borderId="108" xfId="41" applyNumberFormat="1" applyFont="1" applyFill="1" applyBorder="1" applyAlignment="1" applyProtection="1">
      <alignment horizontal="center" vertical="center" readingOrder="2"/>
      <protection locked="0"/>
    </xf>
    <xf numFmtId="172" fontId="74" fillId="14" borderId="108" xfId="41" applyNumberFormat="1" applyFont="1" applyFill="1" applyBorder="1" applyAlignment="1" applyProtection="1">
      <alignment horizontal="center" vertical="center" readingOrder="2"/>
    </xf>
    <xf numFmtId="0" fontId="74" fillId="14" borderId="108" xfId="41" applyNumberFormat="1" applyFont="1" applyFill="1" applyBorder="1" applyAlignment="1" applyProtection="1">
      <alignment horizontal="right" vertical="center" readingOrder="2"/>
      <protection locked="0"/>
    </xf>
    <xf numFmtId="4" fontId="74" fillId="14" borderId="108" xfId="41" applyNumberFormat="1" applyFont="1" applyFill="1" applyBorder="1" applyAlignment="1" applyProtection="1">
      <alignment horizontal="center" vertical="center" readingOrder="2"/>
    </xf>
    <xf numFmtId="3" fontId="67" fillId="44" borderId="105" xfId="10" applyNumberFormat="1" applyFont="1" applyFill="1" applyBorder="1" applyAlignment="1" applyProtection="1">
      <alignment horizontal="center" vertical="center"/>
    </xf>
    <xf numFmtId="1" fontId="82" fillId="16" borderId="31" xfId="5" applyNumberFormat="1" applyFont="1" applyFill="1" applyBorder="1" applyAlignment="1">
      <alignment horizontal="center" vertical="center" wrapText="1"/>
    </xf>
    <xf numFmtId="1" fontId="67" fillId="12" borderId="75" xfId="6" applyNumberFormat="1" applyFont="1" applyFill="1" applyBorder="1" applyAlignment="1">
      <alignment horizontal="center" vertical="center"/>
    </xf>
    <xf numFmtId="168" fontId="67" fillId="12" borderId="101" xfId="6" applyNumberFormat="1" applyFont="1" applyFill="1" applyBorder="1" applyAlignment="1">
      <alignment horizontal="center" vertical="center"/>
    </xf>
    <xf numFmtId="9" fontId="21" fillId="0" borderId="9" xfId="0" applyNumberFormat="1" applyFont="1" applyBorder="1" applyAlignment="1" applyProtection="1">
      <alignment horizontal="center" vertical="center"/>
      <protection locked="0"/>
    </xf>
    <xf numFmtId="1" fontId="20" fillId="2" borderId="98" xfId="0" applyNumberFormat="1" applyFont="1" applyFill="1" applyBorder="1" applyAlignment="1">
      <alignment horizontal="center" vertical="center"/>
    </xf>
    <xf numFmtId="1" fontId="20" fillId="2" borderId="75" xfId="0" applyNumberFormat="1" applyFont="1" applyFill="1" applyBorder="1" applyAlignment="1">
      <alignment horizontal="center" vertical="center"/>
    </xf>
    <xf numFmtId="0" fontId="21" fillId="0" borderId="31" xfId="0" applyFont="1" applyBorder="1" applyAlignment="1">
      <alignment horizontal="right" wrapText="1"/>
    </xf>
    <xf numFmtId="1" fontId="67" fillId="12" borderId="101" xfId="6" applyNumberFormat="1" applyFont="1" applyFill="1" applyBorder="1" applyAlignment="1">
      <alignment horizontal="center" vertical="center"/>
    </xf>
    <xf numFmtId="0" fontId="21" fillId="0" borderId="107" xfId="0" applyFont="1" applyBorder="1" applyAlignment="1">
      <alignment horizontal="center" vertical="center"/>
    </xf>
    <xf numFmtId="9" fontId="21" fillId="0" borderId="107" xfId="0" applyNumberFormat="1" applyFont="1" applyBorder="1" applyAlignment="1">
      <alignment horizontal="center" vertical="center"/>
    </xf>
    <xf numFmtId="9" fontId="74" fillId="14" borderId="108" xfId="1" applyFont="1" applyFill="1" applyBorder="1" applyAlignment="1" applyProtection="1">
      <alignment horizontal="center" vertical="center" readingOrder="2"/>
    </xf>
    <xf numFmtId="0" fontId="82" fillId="16" borderId="76" xfId="5" applyFont="1" applyFill="1" applyBorder="1" applyAlignment="1">
      <alignment vertical="center"/>
    </xf>
    <xf numFmtId="0" fontId="82" fillId="16" borderId="78" xfId="5" applyFont="1" applyFill="1" applyBorder="1" applyAlignment="1">
      <alignment vertical="center"/>
    </xf>
    <xf numFmtId="0" fontId="69" fillId="45" borderId="8" xfId="292" applyFont="1" applyFill="1" applyBorder="1" applyAlignment="1">
      <alignment horizontal="center"/>
    </xf>
    <xf numFmtId="0" fontId="69" fillId="0" borderId="121" xfId="292" applyFont="1" applyBorder="1"/>
    <xf numFmtId="1" fontId="74" fillId="14" borderId="108" xfId="41" applyNumberFormat="1" applyFont="1" applyFill="1" applyBorder="1" applyAlignment="1" applyProtection="1">
      <alignment horizontal="right" vertical="center" readingOrder="2"/>
    </xf>
    <xf numFmtId="3" fontId="8" fillId="46" borderId="8" xfId="0" applyNumberFormat="1" applyFont="1" applyFill="1" applyBorder="1" applyAlignment="1" applyProtection="1">
      <alignment horizontal="center"/>
      <protection locked="0"/>
    </xf>
    <xf numFmtId="3" fontId="8" fillId="46" borderId="8" xfId="0" applyNumberFormat="1" applyFont="1" applyFill="1" applyBorder="1" applyAlignment="1">
      <alignment horizontal="center"/>
    </xf>
    <xf numFmtId="0" fontId="7" fillId="10" borderId="76" xfId="0" applyFont="1" applyFill="1" applyBorder="1"/>
    <xf numFmtId="0" fontId="7" fillId="10" borderId="78" xfId="0" applyFont="1" applyFill="1" applyBorder="1"/>
    <xf numFmtId="0" fontId="7" fillId="10" borderId="78" xfId="0" applyFont="1" applyFill="1" applyBorder="1" applyAlignment="1">
      <alignment horizontal="center" readingOrder="2"/>
    </xf>
    <xf numFmtId="9" fontId="69" fillId="45" borderId="8" xfId="1" applyFont="1" applyFill="1" applyBorder="1" applyAlignment="1">
      <alignment horizontal="center"/>
    </xf>
    <xf numFmtId="9" fontId="8" fillId="5" borderId="8" xfId="1" applyFont="1" applyFill="1" applyBorder="1" applyAlignment="1" applyProtection="1">
      <alignment horizontal="center"/>
    </xf>
    <xf numFmtId="0" fontId="6" fillId="0" borderId="37" xfId="0" applyFont="1" applyBorder="1"/>
    <xf numFmtId="185" fontId="8" fillId="14" borderId="8" xfId="0" applyNumberFormat="1" applyFont="1" applyFill="1" applyBorder="1" applyAlignment="1">
      <alignment horizontal="center" vertical="center"/>
    </xf>
    <xf numFmtId="0" fontId="85" fillId="0" borderId="0" xfId="67" applyFont="1"/>
    <xf numFmtId="1" fontId="67" fillId="19" borderId="96" xfId="476" applyNumberFormat="1" applyFont="1" applyFill="1" applyBorder="1" applyAlignment="1">
      <alignment horizontal="center" vertical="center"/>
    </xf>
    <xf numFmtId="1" fontId="67" fillId="19" borderId="71" xfId="476" applyNumberFormat="1" applyFont="1" applyFill="1" applyBorder="1" applyAlignment="1">
      <alignment horizontal="center" vertical="center"/>
    </xf>
    <xf numFmtId="14" fontId="69" fillId="0" borderId="10" xfId="0" applyNumberFormat="1" applyFont="1" applyBorder="1" applyAlignment="1">
      <alignment horizontal="center"/>
    </xf>
    <xf numFmtId="14" fontId="69" fillId="0" borderId="100" xfId="0" applyNumberFormat="1" applyFont="1" applyBorder="1" applyAlignment="1">
      <alignment horizontal="center"/>
    </xf>
    <xf numFmtId="14" fontId="69" fillId="0" borderId="8" xfId="0" applyNumberFormat="1" applyFont="1" applyBorder="1" applyAlignment="1">
      <alignment horizontal="center"/>
    </xf>
    <xf numFmtId="14" fontId="69" fillId="0" borderId="107" xfId="0" applyNumberFormat="1" applyFont="1" applyBorder="1" applyAlignment="1">
      <alignment horizontal="center"/>
    </xf>
    <xf numFmtId="0" fontId="69" fillId="48" borderId="81" xfId="0" applyFont="1" applyFill="1" applyBorder="1" applyAlignment="1">
      <alignment horizontal="center" vertical="center" wrapText="1"/>
    </xf>
    <xf numFmtId="0" fontId="69" fillId="48" borderId="31" xfId="0" applyFont="1" applyFill="1" applyBorder="1" applyAlignment="1">
      <alignment horizontal="center" vertical="center" wrapText="1"/>
    </xf>
    <xf numFmtId="0" fontId="69" fillId="48" borderId="79" xfId="0" applyFont="1" applyFill="1" applyBorder="1" applyAlignment="1">
      <alignment horizontal="center" vertical="center" wrapText="1"/>
    </xf>
    <xf numFmtId="1" fontId="74" fillId="14" borderId="108" xfId="1" applyNumberFormat="1" applyFont="1" applyFill="1" applyBorder="1" applyAlignment="1" applyProtection="1">
      <alignment horizontal="center" vertical="center" readingOrder="2"/>
    </xf>
    <xf numFmtId="183" fontId="69" fillId="0" borderId="86" xfId="292" applyNumberFormat="1" applyFont="1" applyBorder="1" applyAlignment="1">
      <alignment horizontal="center"/>
    </xf>
    <xf numFmtId="1" fontId="13" fillId="5" borderId="8" xfId="0" applyNumberFormat="1" applyFont="1" applyFill="1" applyBorder="1" applyAlignment="1">
      <alignment horizontal="right" readingOrder="2"/>
    </xf>
    <xf numFmtId="1" fontId="37" fillId="14" borderId="8" xfId="6" applyNumberFormat="1" applyFont="1" applyFill="1" applyBorder="1" applyAlignment="1">
      <alignment horizontal="right" vertical="center" readingOrder="2"/>
    </xf>
    <xf numFmtId="0" fontId="7" fillId="3" borderId="0" xfId="0" applyFont="1" applyFill="1" applyAlignment="1">
      <alignment horizontal="center" vertical="center"/>
    </xf>
    <xf numFmtId="168" fontId="18" fillId="4" borderId="0" xfId="0" applyNumberFormat="1" applyFont="1" applyFill="1" applyAlignment="1">
      <alignment horizontal="center" vertical="center"/>
    </xf>
    <xf numFmtId="175" fontId="8" fillId="5" borderId="8" xfId="0" applyNumberFormat="1" applyFont="1" applyFill="1" applyBorder="1" applyAlignment="1">
      <alignment horizontal="center"/>
    </xf>
    <xf numFmtId="1" fontId="67" fillId="12" borderId="71" xfId="6" applyNumberFormat="1" applyFont="1" applyFill="1" applyBorder="1" applyAlignment="1">
      <alignment horizontal="center" vertical="center" readingOrder="2"/>
    </xf>
    <xf numFmtId="0" fontId="82" fillId="16" borderId="8" xfId="292" applyFont="1" applyFill="1" applyBorder="1"/>
    <xf numFmtId="17" fontId="82" fillId="42" borderId="8" xfId="292" applyNumberFormat="1" applyFont="1" applyFill="1" applyBorder="1" applyAlignment="1">
      <alignment horizontal="center" vertical="center"/>
    </xf>
    <xf numFmtId="0" fontId="82" fillId="0" borderId="0" xfId="292" applyFont="1"/>
    <xf numFmtId="0" fontId="82" fillId="50" borderId="8" xfId="292" applyFont="1" applyFill="1" applyBorder="1"/>
    <xf numFmtId="0" fontId="82" fillId="50" borderId="8" xfId="292" applyFont="1" applyFill="1" applyBorder="1" applyAlignment="1">
      <alignment horizontal="center"/>
    </xf>
    <xf numFmtId="0" fontId="82" fillId="44" borderId="8" xfId="292" applyFont="1" applyFill="1" applyBorder="1" applyAlignment="1">
      <alignment horizontal="center"/>
    </xf>
    <xf numFmtId="0" fontId="69" fillId="43" borderId="8" xfId="292" applyFont="1" applyFill="1" applyBorder="1" applyAlignment="1">
      <alignment horizontal="center" vertical="center"/>
    </xf>
    <xf numFmtId="0" fontId="69" fillId="0" borderId="8" xfId="292" applyFont="1" applyBorder="1" applyAlignment="1">
      <alignment horizontal="center" vertical="center"/>
    </xf>
    <xf numFmtId="0" fontId="69" fillId="42" borderId="8" xfId="292" applyFont="1" applyFill="1" applyBorder="1" applyAlignment="1">
      <alignment horizontal="center" vertical="center"/>
    </xf>
    <xf numFmtId="0" fontId="69" fillId="49" borderId="8" xfId="292" applyFont="1" applyFill="1" applyBorder="1" applyAlignment="1">
      <alignment horizontal="center" vertical="center"/>
    </xf>
    <xf numFmtId="0" fontId="69" fillId="0" borderId="109" xfId="292" applyFont="1" applyBorder="1" applyAlignment="1">
      <alignment horizontal="center"/>
    </xf>
    <xf numFmtId="0" fontId="69" fillId="0" borderId="109" xfId="292" applyFont="1" applyBorder="1" applyAlignment="1">
      <alignment horizontal="right"/>
    </xf>
    <xf numFmtId="0" fontId="94" fillId="0" borderId="109" xfId="292" applyFont="1" applyBorder="1" applyAlignment="1">
      <alignment horizontal="centerContinuous" vertical="center" wrapText="1"/>
    </xf>
    <xf numFmtId="0" fontId="94" fillId="0" borderId="0" xfId="292" applyFont="1" applyAlignment="1">
      <alignment vertical="center" wrapText="1"/>
    </xf>
    <xf numFmtId="0" fontId="94" fillId="0" borderId="0" xfId="292" applyFont="1" applyAlignment="1">
      <alignment horizontal="center" vertical="center" wrapText="1"/>
    </xf>
    <xf numFmtId="0" fontId="69" fillId="18" borderId="0" xfId="292" applyFont="1" applyFill="1"/>
    <xf numFmtId="0" fontId="8" fillId="0" borderId="35" xfId="0" applyFont="1" applyBorder="1" applyAlignment="1">
      <alignment horizontal="center" vertical="center"/>
    </xf>
    <xf numFmtId="1" fontId="13" fillId="5" borderId="81" xfId="0" applyNumberFormat="1" applyFont="1" applyFill="1" applyBorder="1" applyAlignment="1">
      <alignment horizontal="center"/>
    </xf>
    <xf numFmtId="9" fontId="15" fillId="3" borderId="3" xfId="1" applyFont="1" applyFill="1" applyBorder="1" applyAlignment="1">
      <alignment horizontal="center" vertical="center"/>
    </xf>
    <xf numFmtId="168" fontId="15" fillId="3" borderId="3" xfId="1" applyNumberFormat="1" applyFont="1" applyFill="1" applyBorder="1" applyAlignment="1">
      <alignment horizontal="center" vertical="center"/>
    </xf>
    <xf numFmtId="167" fontId="15" fillId="3" borderId="3" xfId="1" applyNumberFormat="1" applyFont="1" applyFill="1" applyBorder="1" applyAlignment="1">
      <alignment horizontal="center" vertical="center"/>
    </xf>
    <xf numFmtId="168" fontId="15" fillId="3" borderId="83" xfId="1" applyNumberFormat="1" applyFont="1" applyFill="1" applyBorder="1" applyAlignment="1">
      <alignment horizontal="center" vertical="center"/>
    </xf>
    <xf numFmtId="168" fontId="15" fillId="3" borderId="55" xfId="1" applyNumberFormat="1" applyFont="1" applyFill="1" applyBorder="1" applyAlignment="1">
      <alignment horizontal="center" vertical="center"/>
    </xf>
    <xf numFmtId="1" fontId="13" fillId="5" borderId="24" xfId="0" applyNumberFormat="1" applyFont="1" applyFill="1" applyBorder="1" applyAlignment="1">
      <alignment horizontal="center"/>
    </xf>
    <xf numFmtId="168" fontId="15" fillId="3" borderId="4" xfId="1" applyNumberFormat="1" applyFont="1" applyFill="1" applyBorder="1"/>
    <xf numFmtId="3" fontId="10" fillId="3" borderId="5" xfId="0" applyNumberFormat="1" applyFont="1" applyFill="1" applyBorder="1" applyAlignment="1">
      <alignment horizontal="center"/>
    </xf>
    <xf numFmtId="4" fontId="10" fillId="3" borderId="5" xfId="0" applyNumberFormat="1" applyFont="1" applyFill="1" applyBorder="1" applyAlignment="1">
      <alignment horizontal="center" wrapText="1"/>
    </xf>
    <xf numFmtId="4" fontId="10" fillId="3" borderId="5" xfId="0" applyNumberFormat="1" applyFont="1" applyFill="1" applyBorder="1" applyAlignment="1">
      <alignment horizontal="center"/>
    </xf>
    <xf numFmtId="10" fontId="10" fillId="3" borderId="4" xfId="1" applyNumberFormat="1" applyFont="1" applyFill="1" applyBorder="1" applyAlignment="1" applyProtection="1">
      <alignment horizontal="center"/>
    </xf>
    <xf numFmtId="3" fontId="10" fillId="3" borderId="5" xfId="1" applyNumberFormat="1" applyFont="1" applyFill="1" applyBorder="1" applyAlignment="1" applyProtection="1">
      <alignment horizontal="center"/>
    </xf>
    <xf numFmtId="10" fontId="11" fillId="3" borderId="5" xfId="1" applyNumberFormat="1" applyFont="1" applyFill="1" applyBorder="1" applyAlignment="1">
      <alignment horizontal="center"/>
    </xf>
    <xf numFmtId="0" fontId="73" fillId="16" borderId="8" xfId="93" applyFont="1" applyFill="1" applyBorder="1" applyAlignment="1">
      <alignment horizontal="center" vertical="center" wrapText="1"/>
    </xf>
    <xf numFmtId="0" fontId="73" fillId="16" borderId="23" xfId="93" applyFont="1" applyFill="1" applyBorder="1" applyAlignment="1">
      <alignment horizontal="center" vertical="center" wrapText="1"/>
    </xf>
    <xf numFmtId="3" fontId="82" fillId="16" borderId="98" xfId="180" applyNumberFormat="1" applyFont="1" applyFill="1" applyBorder="1" applyAlignment="1">
      <alignment horizontal="center" vertical="center" wrapText="1"/>
    </xf>
    <xf numFmtId="1" fontId="67" fillId="12" borderId="75" xfId="145" applyNumberFormat="1" applyFont="1" applyFill="1" applyBorder="1" applyAlignment="1">
      <alignment horizontal="center" vertical="center"/>
    </xf>
    <xf numFmtId="3" fontId="69" fillId="0" borderId="0" xfId="188" applyNumberFormat="1" applyFont="1"/>
    <xf numFmtId="3" fontId="82" fillId="16" borderId="88" xfId="180" applyNumberFormat="1" applyFont="1" applyFill="1" applyBorder="1" applyAlignment="1">
      <alignment horizontal="center" vertical="center" wrapText="1"/>
    </xf>
    <xf numFmtId="168" fontId="67" fillId="12" borderId="101" xfId="145" applyNumberFormat="1" applyFont="1" applyFill="1" applyBorder="1" applyAlignment="1">
      <alignment horizontal="center" vertical="center"/>
    </xf>
    <xf numFmtId="3" fontId="68" fillId="0" borderId="0" xfId="139" applyNumberFormat="1" applyFont="1" applyAlignment="1">
      <alignment horizontal="right" vertical="center"/>
    </xf>
    <xf numFmtId="3" fontId="73" fillId="0" borderId="0" xfId="188" applyNumberFormat="1" applyFont="1"/>
    <xf numFmtId="3" fontId="76" fillId="17" borderId="76" xfId="188" applyNumberFormat="1" applyFont="1" applyFill="1" applyBorder="1" applyAlignment="1">
      <alignment horizontal="centerContinuous" vertical="center" wrapText="1"/>
    </xf>
    <xf numFmtId="3" fontId="76" fillId="17" borderId="78" xfId="188" applyNumberFormat="1" applyFont="1" applyFill="1" applyBorder="1" applyAlignment="1">
      <alignment horizontal="centerContinuous" vertical="center" wrapText="1"/>
    </xf>
    <xf numFmtId="3" fontId="76" fillId="17" borderId="77" xfId="188" applyNumberFormat="1" applyFont="1" applyFill="1" applyBorder="1" applyAlignment="1">
      <alignment horizontal="centerContinuous" vertical="center" wrapText="1"/>
    </xf>
    <xf numFmtId="3" fontId="78" fillId="0" borderId="0" xfId="145" applyNumberFormat="1" applyFont="1"/>
    <xf numFmtId="1" fontId="74" fillId="14" borderId="31" xfId="145" applyNumberFormat="1" applyFont="1" applyFill="1" applyBorder="1" applyAlignment="1">
      <alignment horizontal="center"/>
    </xf>
    <xf numFmtId="3" fontId="74" fillId="14" borderId="10" xfId="41" applyNumberFormat="1" applyFont="1" applyFill="1" applyBorder="1" applyAlignment="1" applyProtection="1">
      <alignment horizontal="right" vertical="center" readingOrder="2"/>
    </xf>
    <xf numFmtId="10" fontId="74" fillId="14" borderId="10" xfId="10" applyNumberFormat="1" applyFont="1" applyFill="1" applyBorder="1" applyAlignment="1" applyProtection="1">
      <alignment horizontal="center"/>
    </xf>
    <xf numFmtId="3" fontId="67" fillId="12" borderId="10" xfId="9" applyNumberFormat="1" applyFont="1" applyFill="1" applyBorder="1" applyAlignment="1" applyProtection="1">
      <alignment horizontal="center"/>
    </xf>
    <xf numFmtId="3" fontId="67" fillId="14" borderId="8" xfId="10" applyNumberFormat="1" applyFont="1" applyFill="1" applyBorder="1" applyAlignment="1" applyProtection="1">
      <alignment horizontal="center"/>
    </xf>
    <xf numFmtId="10" fontId="67" fillId="14" borderId="8" xfId="10" applyNumberFormat="1" applyFont="1" applyFill="1" applyBorder="1" applyAlignment="1" applyProtection="1">
      <alignment horizontal="center"/>
    </xf>
    <xf numFmtId="3" fontId="95" fillId="14" borderId="8" xfId="87" applyNumberFormat="1" applyFont="1" applyFill="1" applyBorder="1" applyAlignment="1" applyProtection="1">
      <alignment horizontal="center"/>
    </xf>
    <xf numFmtId="10" fontId="95" fillId="14" borderId="8" xfId="87" applyNumberFormat="1" applyFont="1" applyFill="1" applyBorder="1" applyAlignment="1" applyProtection="1">
      <alignment horizontal="center"/>
    </xf>
    <xf numFmtId="10" fontId="67" fillId="12" borderId="8" xfId="10" applyNumberFormat="1" applyFont="1" applyFill="1" applyBorder="1" applyAlignment="1" applyProtection="1">
      <alignment horizontal="center"/>
    </xf>
    <xf numFmtId="164" fontId="67" fillId="12" borderId="107" xfId="9" applyNumberFormat="1" applyFont="1" applyFill="1" applyBorder="1" applyAlignment="1" applyProtection="1">
      <alignment horizontal="center"/>
    </xf>
    <xf numFmtId="9" fontId="67" fillId="44" borderId="124" xfId="10" applyFont="1" applyFill="1" applyBorder="1" applyAlignment="1" applyProtection="1">
      <alignment horizontal="center" vertical="center"/>
    </xf>
    <xf numFmtId="9" fontId="67" fillId="44" borderId="105" xfId="10" applyFont="1" applyFill="1" applyBorder="1" applyAlignment="1" applyProtection="1">
      <alignment horizontal="center" vertical="center"/>
    </xf>
    <xf numFmtId="9" fontId="67" fillId="44" borderId="105" xfId="87" applyFont="1" applyFill="1" applyBorder="1" applyAlignment="1" applyProtection="1">
      <alignment horizontal="center" vertical="center"/>
    </xf>
    <xf numFmtId="186" fontId="67" fillId="44" borderId="71" xfId="13" applyNumberFormat="1" applyFont="1" applyFill="1" applyBorder="1" applyAlignment="1">
      <alignment horizontal="center" vertical="center"/>
    </xf>
    <xf numFmtId="3" fontId="67" fillId="14" borderId="10" xfId="41" applyNumberFormat="1" applyFont="1" applyFill="1" applyBorder="1" applyAlignment="1" applyProtection="1">
      <alignment horizontal="right" vertical="center" readingOrder="2"/>
    </xf>
    <xf numFmtId="168" fontId="8" fillId="8" borderId="25" xfId="1" applyNumberFormat="1" applyFont="1" applyFill="1" applyBorder="1" applyAlignment="1" applyProtection="1">
      <alignment horizontal="center"/>
    </xf>
    <xf numFmtId="168" fontId="10" fillId="3" borderId="4" xfId="1" applyNumberFormat="1" applyFont="1" applyFill="1" applyBorder="1" applyAlignment="1" applyProtection="1">
      <alignment horizontal="center"/>
    </xf>
    <xf numFmtId="0" fontId="0" fillId="0" borderId="0" xfId="0" applyAlignment="1" applyProtection="1">
      <alignment wrapText="1"/>
      <protection locked="0"/>
    </xf>
    <xf numFmtId="1" fontId="8" fillId="0" borderId="8" xfId="0" applyNumberFormat="1" applyFont="1" applyBorder="1" applyAlignment="1">
      <alignment horizontal="right"/>
    </xf>
    <xf numFmtId="0" fontId="41" fillId="16" borderId="15" xfId="8" applyFont="1" applyFill="1" applyBorder="1" applyAlignment="1">
      <alignment horizontal="center" vertical="center" wrapText="1"/>
    </xf>
    <xf numFmtId="3" fontId="31" fillId="0" borderId="8" xfId="0" applyNumberFormat="1" applyFont="1" applyBorder="1" applyAlignment="1" applyProtection="1">
      <alignment horizontal="center"/>
      <protection locked="0"/>
    </xf>
    <xf numFmtId="0" fontId="32" fillId="0" borderId="8" xfId="0" applyFont="1" applyBorder="1"/>
    <xf numFmtId="0" fontId="40" fillId="17" borderId="15" xfId="7" applyFont="1" applyFill="1" applyBorder="1" applyAlignment="1">
      <alignment horizontal="center" vertical="center" wrapText="1"/>
    </xf>
    <xf numFmtId="0" fontId="41" fillId="18" borderId="23" xfId="7" applyFont="1" applyFill="1" applyBorder="1" applyAlignment="1">
      <alignment horizontal="center" vertical="center" wrapText="1"/>
    </xf>
    <xf numFmtId="168" fontId="37" fillId="12" borderId="10" xfId="6" applyNumberFormat="1" applyFont="1" applyFill="1" applyBorder="1" applyAlignment="1">
      <alignment horizontal="center"/>
    </xf>
    <xf numFmtId="9" fontId="44" fillId="19" borderId="105" xfId="11" applyFont="1" applyFill="1" applyBorder="1" applyAlignment="1" applyProtection="1">
      <alignment horizontal="center" vertical="center"/>
    </xf>
    <xf numFmtId="9" fontId="47" fillId="13" borderId="10" xfId="1" applyFont="1" applyFill="1" applyBorder="1" applyAlignment="1" applyProtection="1">
      <alignment horizontal="center"/>
    </xf>
    <xf numFmtId="1" fontId="47" fillId="13" borderId="10" xfId="3" applyNumberFormat="1" applyFont="1" applyFill="1" applyBorder="1" applyAlignment="1" applyProtection="1">
      <alignment horizontal="center"/>
    </xf>
    <xf numFmtId="1" fontId="47" fillId="13" borderId="8" xfId="3" applyNumberFormat="1" applyFont="1" applyFill="1" applyBorder="1" applyAlignment="1" applyProtection="1">
      <alignment horizontal="center"/>
    </xf>
    <xf numFmtId="0" fontId="8" fillId="0" borderId="8" xfId="0" quotePrefix="1" applyFont="1" applyBorder="1" applyAlignment="1" applyProtection="1">
      <alignment horizontal="center"/>
      <protection locked="0"/>
    </xf>
    <xf numFmtId="1" fontId="9" fillId="2" borderId="132" xfId="0" applyNumberFormat="1" applyFont="1" applyFill="1" applyBorder="1" applyAlignment="1">
      <alignment horizontal="center" vertical="center" wrapText="1"/>
    </xf>
    <xf numFmtId="3" fontId="67" fillId="13" borderId="8" xfId="6" applyNumberFormat="1" applyFont="1" applyFill="1" applyBorder="1" applyAlignment="1" applyProtection="1">
      <alignment horizontal="center" vertical="center"/>
      <protection locked="0"/>
    </xf>
    <xf numFmtId="0" fontId="21" fillId="0" borderId="24" xfId="0" applyFont="1" applyBorder="1" applyAlignment="1">
      <alignment horizontal="center" vertical="center"/>
    </xf>
    <xf numFmtId="0" fontId="21" fillId="0" borderId="11" xfId="0" applyFont="1" applyBorder="1" applyAlignment="1" applyProtection="1">
      <alignment horizontal="center" vertical="center"/>
      <protection locked="0"/>
    </xf>
    <xf numFmtId="0" fontId="19" fillId="0" borderId="0" xfId="0" applyFont="1" applyAlignment="1">
      <alignment vertical="center"/>
    </xf>
    <xf numFmtId="0" fontId="86" fillId="0" borderId="0" xfId="0" applyFont="1" applyAlignment="1">
      <alignment vertical="center"/>
    </xf>
    <xf numFmtId="0" fontId="21" fillId="0" borderId="17" xfId="0" applyFont="1" applyBorder="1" applyAlignment="1">
      <alignment horizontal="center" vertical="center"/>
    </xf>
    <xf numFmtId="14" fontId="69" fillId="0" borderId="27" xfId="0" applyNumberFormat="1" applyFont="1" applyBorder="1" applyAlignment="1">
      <alignment horizontal="center" vertical="center"/>
    </xf>
    <xf numFmtId="14" fontId="69" fillId="0" borderId="125" xfId="0" applyNumberFormat="1" applyFont="1" applyBorder="1" applyAlignment="1">
      <alignment horizontal="center" vertical="center"/>
    </xf>
    <xf numFmtId="4" fontId="8" fillId="5" borderId="8" xfId="0" applyNumberFormat="1" applyFont="1" applyFill="1" applyBorder="1" applyAlignment="1">
      <alignment horizontal="center" vertical="center"/>
    </xf>
    <xf numFmtId="0" fontId="69" fillId="45" borderId="8" xfId="292" applyFont="1" applyFill="1" applyBorder="1" applyAlignment="1">
      <alignment horizontal="center" vertical="center"/>
    </xf>
    <xf numFmtId="0" fontId="0" fillId="0" borderId="0" xfId="0" applyAlignment="1">
      <alignment horizontal="center" vertical="center"/>
    </xf>
    <xf numFmtId="0" fontId="73" fillId="16" borderId="106" xfId="5" applyFont="1" applyFill="1" applyBorder="1" applyAlignment="1">
      <alignment vertical="center" wrapText="1"/>
    </xf>
    <xf numFmtId="0" fontId="73" fillId="16" borderId="27" xfId="5" applyFont="1" applyFill="1" applyBorder="1" applyAlignment="1">
      <alignment vertical="center" wrapText="1"/>
    </xf>
    <xf numFmtId="14" fontId="19" fillId="0" borderId="0" xfId="0" applyNumberFormat="1" applyFont="1"/>
    <xf numFmtId="0" fontId="6" fillId="18" borderId="8" xfId="600" applyNumberFormat="1" applyFont="1" applyFill="1" applyBorder="1" applyAlignment="1">
      <alignment horizontal="center" vertical="center"/>
    </xf>
    <xf numFmtId="0" fontId="6" fillId="18" borderId="8" xfId="601" applyFill="1" applyBorder="1" applyAlignment="1">
      <alignment horizontal="center" vertical="center"/>
    </xf>
    <xf numFmtId="187" fontId="6" fillId="18" borderId="8" xfId="600" applyNumberFormat="1" applyFont="1" applyFill="1" applyBorder="1" applyAlignment="1">
      <alignment horizontal="center" vertical="center"/>
    </xf>
    <xf numFmtId="0" fontId="1" fillId="0" borderId="0" xfId="602"/>
    <xf numFmtId="0" fontId="97" fillId="43" borderId="0" xfId="600" applyNumberFormat="1" applyFont="1" applyFill="1" applyAlignment="1" applyProtection="1">
      <alignment vertical="top"/>
      <protection locked="0"/>
    </xf>
    <xf numFmtId="0" fontId="97" fillId="43" borderId="0" xfId="603" applyNumberFormat="1" applyFont="1" applyFill="1" applyAlignment="1" applyProtection="1">
      <alignment vertical="top"/>
      <protection locked="0"/>
    </xf>
    <xf numFmtId="187" fontId="97" fillId="43" borderId="0" xfId="600" applyNumberFormat="1" applyFont="1" applyFill="1" applyAlignment="1" applyProtection="1">
      <alignment vertical="top"/>
      <protection locked="0"/>
    </xf>
    <xf numFmtId="0" fontId="1" fillId="43" borderId="0" xfId="602" applyFill="1" applyProtection="1">
      <protection locked="0"/>
    </xf>
    <xf numFmtId="0" fontId="0" fillId="43" borderId="0" xfId="600" applyNumberFormat="1" applyFont="1" applyFill="1" applyProtection="1">
      <protection locked="0"/>
    </xf>
    <xf numFmtId="187" fontId="0" fillId="43" borderId="0" xfId="600" applyNumberFormat="1" applyFont="1" applyFill="1" applyProtection="1">
      <protection locked="0"/>
    </xf>
    <xf numFmtId="0" fontId="0" fillId="51" borderId="0" xfId="600" applyNumberFormat="1" applyFont="1" applyFill="1"/>
    <xf numFmtId="0" fontId="0" fillId="0" borderId="0" xfId="600" applyNumberFormat="1" applyFont="1"/>
    <xf numFmtId="187" fontId="0" fillId="0" borderId="0" xfId="600" applyNumberFormat="1" applyFont="1"/>
    <xf numFmtId="168" fontId="44" fillId="19" borderId="134" xfId="10" applyNumberFormat="1" applyFont="1" applyFill="1" applyBorder="1" applyAlignment="1">
      <alignment horizontal="center" vertical="center"/>
    </xf>
    <xf numFmtId="168" fontId="44" fillId="19" borderId="135" xfId="10" applyNumberFormat="1" applyFont="1" applyFill="1" applyBorder="1" applyAlignment="1">
      <alignment horizontal="center" vertical="center"/>
    </xf>
    <xf numFmtId="0" fontId="41" fillId="16" borderId="8" xfId="8" applyFont="1" applyFill="1" applyBorder="1" applyAlignment="1">
      <alignment horizontal="center" vertical="center" wrapText="1"/>
    </xf>
    <xf numFmtId="0" fontId="41" fillId="16" borderId="8" xfId="5" applyFont="1" applyFill="1" applyBorder="1" applyAlignment="1">
      <alignment horizontal="center" vertical="center" wrapText="1"/>
    </xf>
    <xf numFmtId="3" fontId="73" fillId="42" borderId="8" xfId="94" applyNumberFormat="1" applyFont="1" applyFill="1" applyBorder="1" applyAlignment="1">
      <alignment horizontal="center" vertical="center" wrapText="1"/>
    </xf>
    <xf numFmtId="1" fontId="37" fillId="14" borderId="8" xfId="6" applyNumberFormat="1" applyFont="1" applyFill="1" applyBorder="1" applyAlignment="1">
      <alignment horizontal="center" vertical="center"/>
    </xf>
    <xf numFmtId="0" fontId="43" fillId="0" borderId="8" xfId="9" applyNumberFormat="1" applyFont="1" applyFill="1" applyBorder="1" applyAlignment="1" applyProtection="1">
      <alignment horizontal="center" vertical="center" wrapText="1" readingOrder="1"/>
      <protection locked="0"/>
    </xf>
    <xf numFmtId="0" fontId="37" fillId="14" borderId="8" xfId="10" applyNumberFormat="1" applyFont="1" applyFill="1" applyBorder="1" applyAlignment="1" applyProtection="1">
      <alignment horizontal="center" vertical="center"/>
    </xf>
    <xf numFmtId="168" fontId="37" fillId="14" borderId="8" xfId="10" applyNumberFormat="1" applyFont="1" applyFill="1" applyBorder="1" applyAlignment="1" applyProtection="1">
      <alignment horizontal="center" vertical="center"/>
    </xf>
    <xf numFmtId="167" fontId="37" fillId="14" borderId="8" xfId="1" applyNumberFormat="1" applyFont="1" applyFill="1" applyBorder="1" applyAlignment="1" applyProtection="1">
      <alignment horizontal="center" vertical="center"/>
    </xf>
    <xf numFmtId="168" fontId="37" fillId="12" borderId="8" xfId="10" applyNumberFormat="1" applyFont="1" applyFill="1" applyBorder="1" applyAlignment="1" applyProtection="1">
      <alignment horizontal="center" vertical="center"/>
    </xf>
    <xf numFmtId="0" fontId="43" fillId="0" borderId="8" xfId="9" applyNumberFormat="1" applyFont="1" applyFill="1" applyBorder="1" applyAlignment="1" applyProtection="1">
      <alignment horizontal="center" vertical="center" readingOrder="1"/>
      <protection locked="0"/>
    </xf>
    <xf numFmtId="0" fontId="37" fillId="14" borderId="8" xfId="13" applyNumberFormat="1" applyFont="1" applyFill="1" applyBorder="1" applyAlignment="1" applyProtection="1">
      <alignment horizontal="center" vertical="center"/>
    </xf>
    <xf numFmtId="0" fontId="44" fillId="19" borderId="4" xfId="10" applyNumberFormat="1" applyFont="1" applyFill="1" applyBorder="1" applyAlignment="1">
      <alignment horizontal="center" vertical="center"/>
    </xf>
    <xf numFmtId="0" fontId="43" fillId="0" borderId="0" xfId="6" applyFont="1" applyAlignment="1">
      <alignment wrapText="1"/>
    </xf>
    <xf numFmtId="1" fontId="37" fillId="14" borderId="8" xfId="6" applyNumberFormat="1" applyFont="1" applyFill="1" applyBorder="1" applyAlignment="1">
      <alignment horizontal="right" vertical="center" wrapText="1"/>
    </xf>
    <xf numFmtId="167" fontId="37" fillId="14" borderId="8" xfId="1" applyNumberFormat="1" applyFont="1" applyFill="1" applyBorder="1" applyAlignment="1">
      <alignment horizontal="center" vertical="center"/>
    </xf>
    <xf numFmtId="167" fontId="44" fillId="19" borderId="4" xfId="1" applyNumberFormat="1" applyFont="1" applyFill="1" applyBorder="1" applyAlignment="1">
      <alignment horizontal="center" vertical="center"/>
    </xf>
    <xf numFmtId="1" fontId="9" fillId="42" borderId="27" xfId="0" applyNumberFormat="1" applyFont="1" applyFill="1" applyBorder="1" applyAlignment="1">
      <alignment horizontal="center" vertical="center" wrapText="1"/>
    </xf>
    <xf numFmtId="187" fontId="8" fillId="5" borderId="10" xfId="599" applyNumberFormat="1" applyFont="1" applyFill="1" applyBorder="1" applyAlignment="1" applyProtection="1">
      <alignment horizontal="center"/>
    </xf>
    <xf numFmtId="3" fontId="73" fillId="42" borderId="15" xfId="188" applyNumberFormat="1" applyFont="1" applyFill="1" applyBorder="1" applyAlignment="1">
      <alignment horizontal="center" vertical="center" wrapText="1"/>
    </xf>
    <xf numFmtId="3" fontId="73" fillId="42" borderId="23" xfId="188" applyNumberFormat="1" applyFont="1" applyFill="1" applyBorder="1" applyAlignment="1">
      <alignment horizontal="center" vertical="center" wrapText="1"/>
    </xf>
    <xf numFmtId="9" fontId="21" fillId="0" borderId="19" xfId="1" applyFont="1" applyBorder="1" applyAlignment="1" applyProtection="1">
      <alignment horizontal="center" vertical="center"/>
    </xf>
    <xf numFmtId="187" fontId="13" fillId="5" borderId="8" xfId="599" applyNumberFormat="1" applyFont="1" applyFill="1" applyBorder="1" applyAlignment="1">
      <alignment horizontal="right" readingOrder="2"/>
    </xf>
    <xf numFmtId="0" fontId="69" fillId="0" borderId="30" xfId="292" applyFont="1" applyBorder="1" applyAlignment="1">
      <alignment horizontal="right"/>
    </xf>
    <xf numFmtId="0" fontId="69" fillId="0" borderId="72" xfId="292" applyFont="1" applyBorder="1" applyAlignment="1">
      <alignment horizontal="right"/>
    </xf>
    <xf numFmtId="0" fontId="69" fillId="0" borderId="40" xfId="292" applyFont="1" applyBorder="1" applyAlignment="1">
      <alignment horizontal="right"/>
    </xf>
    <xf numFmtId="0" fontId="87" fillId="16" borderId="76" xfId="476" applyFont="1" applyFill="1" applyBorder="1" applyAlignment="1">
      <alignment horizontal="center" vertical="center" wrapText="1"/>
    </xf>
    <xf numFmtId="0" fontId="87" fillId="16" borderId="78" xfId="476" applyFont="1" applyFill="1" applyBorder="1" applyAlignment="1">
      <alignment horizontal="center" vertical="center" wrapText="1"/>
    </xf>
    <xf numFmtId="0" fontId="87" fillId="16" borderId="77" xfId="476" applyFont="1" applyFill="1" applyBorder="1" applyAlignment="1">
      <alignment horizontal="center" vertical="center" wrapText="1"/>
    </xf>
    <xf numFmtId="0" fontId="88" fillId="49" borderId="76" xfId="292" applyFont="1" applyFill="1" applyBorder="1" applyAlignment="1">
      <alignment horizontal="center" vertical="center" wrapText="1"/>
    </xf>
    <xf numFmtId="0" fontId="88" fillId="49" borderId="78" xfId="292" applyFont="1" applyFill="1" applyBorder="1" applyAlignment="1">
      <alignment horizontal="center" vertical="center"/>
    </xf>
    <xf numFmtId="0" fontId="88" fillId="49" borderId="77" xfId="292" applyFont="1" applyFill="1" applyBorder="1" applyAlignment="1">
      <alignment horizontal="center" vertical="center"/>
    </xf>
    <xf numFmtId="0" fontId="93" fillId="16" borderId="0" xfId="292" applyFont="1" applyFill="1" applyAlignment="1">
      <alignment horizontal="center"/>
    </xf>
    <xf numFmtId="0" fontId="82" fillId="44" borderId="30" xfId="292" applyFont="1" applyFill="1" applyBorder="1" applyAlignment="1">
      <alignment horizontal="center"/>
    </xf>
    <xf numFmtId="0" fontId="82" fillId="44" borderId="72" xfId="292" applyFont="1" applyFill="1" applyBorder="1" applyAlignment="1">
      <alignment horizontal="center"/>
    </xf>
    <xf numFmtId="0" fontId="82" fillId="44" borderId="40" xfId="292" applyFont="1" applyFill="1" applyBorder="1" applyAlignment="1">
      <alignment horizontal="center"/>
    </xf>
    <xf numFmtId="0" fontId="69" fillId="0" borderId="30" xfId="292" applyFont="1" applyBorder="1" applyAlignment="1">
      <alignment horizontal="right" wrapText="1"/>
    </xf>
    <xf numFmtId="0" fontId="69" fillId="0" borderId="72" xfId="292" applyFont="1" applyBorder="1" applyAlignment="1">
      <alignment horizontal="right" wrapText="1"/>
    </xf>
    <xf numFmtId="0" fontId="69" fillId="0" borderId="40" xfId="292" applyFont="1" applyBorder="1" applyAlignment="1">
      <alignment horizontal="right" wrapText="1"/>
    </xf>
    <xf numFmtId="0" fontId="13" fillId="6" borderId="92" xfId="2" applyFont="1" applyFill="1" applyBorder="1" applyAlignment="1">
      <alignment horizontal="center" vertical="center"/>
    </xf>
    <xf numFmtId="0" fontId="13" fillId="6" borderId="93" xfId="2" applyFont="1" applyFill="1" applyBorder="1" applyAlignment="1">
      <alignment horizontal="center" vertical="center"/>
    </xf>
    <xf numFmtId="0" fontId="21" fillId="0" borderId="51" xfId="0" applyFont="1" applyBorder="1" applyAlignment="1">
      <alignment horizontal="center" wrapText="1"/>
    </xf>
    <xf numFmtId="0" fontId="21" fillId="0" borderId="127" xfId="0" applyFont="1" applyBorder="1" applyAlignment="1">
      <alignment horizontal="center" wrapText="1"/>
    </xf>
    <xf numFmtId="0" fontId="82" fillId="47" borderId="102" xfId="476" applyFont="1" applyFill="1" applyBorder="1" applyAlignment="1">
      <alignment horizontal="center" vertical="center" wrapText="1"/>
    </xf>
    <xf numFmtId="0" fontId="82" fillId="47" borderId="103" xfId="476" applyFont="1" applyFill="1" applyBorder="1" applyAlignment="1">
      <alignment horizontal="center" vertical="center" wrapText="1"/>
    </xf>
    <xf numFmtId="0" fontId="82" fillId="47" borderId="104" xfId="476" applyFont="1" applyFill="1" applyBorder="1" applyAlignment="1">
      <alignment horizontal="center" vertical="center" wrapText="1"/>
    </xf>
    <xf numFmtId="0" fontId="7" fillId="10" borderId="94" xfId="2" applyFont="1" applyFill="1" applyBorder="1" applyAlignment="1">
      <alignment horizontal="center"/>
    </xf>
    <xf numFmtId="0" fontId="7" fillId="10" borderId="95" xfId="2" applyFont="1" applyFill="1" applyBorder="1" applyAlignment="1">
      <alignment horizontal="center"/>
    </xf>
    <xf numFmtId="0" fontId="22" fillId="6" borderId="56" xfId="0" applyFont="1" applyFill="1" applyBorder="1" applyAlignment="1">
      <alignment horizontal="center"/>
    </xf>
    <xf numFmtId="0" fontId="22" fillId="6" borderId="55" xfId="0" applyFont="1" applyFill="1" applyBorder="1" applyAlignment="1">
      <alignment horizontal="center"/>
    </xf>
    <xf numFmtId="0" fontId="21" fillId="10" borderId="61" xfId="0" applyFont="1" applyFill="1" applyBorder="1" applyAlignment="1">
      <alignment horizontal="center"/>
    </xf>
    <xf numFmtId="0" fontId="21" fillId="10" borderId="62" xfId="0" applyFont="1" applyFill="1" applyBorder="1" applyAlignment="1">
      <alignment horizontal="center"/>
    </xf>
    <xf numFmtId="0" fontId="8" fillId="0" borderId="99" xfId="2" applyFont="1" applyBorder="1" applyAlignment="1">
      <alignment horizontal="center" vertical="center" wrapText="1"/>
    </xf>
    <xf numFmtId="0" fontId="8" fillId="0" borderId="100" xfId="2" applyFont="1" applyBorder="1" applyAlignment="1">
      <alignment horizontal="center" vertical="center" wrapText="1"/>
    </xf>
    <xf numFmtId="0" fontId="7" fillId="10" borderId="12" xfId="2" applyFont="1" applyFill="1" applyBorder="1" applyAlignment="1">
      <alignment horizontal="center"/>
    </xf>
    <xf numFmtId="0" fontId="7" fillId="10" borderId="58" xfId="2" applyFont="1" applyFill="1" applyBorder="1" applyAlignment="1">
      <alignment horizontal="center"/>
    </xf>
    <xf numFmtId="0" fontId="7" fillId="10" borderId="59" xfId="2" applyFont="1" applyFill="1" applyBorder="1" applyAlignment="1">
      <alignment horizontal="center"/>
    </xf>
    <xf numFmtId="0" fontId="21" fillId="10" borderId="56" xfId="0" applyFont="1" applyFill="1" applyBorder="1" applyAlignment="1">
      <alignment horizontal="center"/>
    </xf>
    <xf numFmtId="0" fontId="21" fillId="10" borderId="55" xfId="0" applyFont="1" applyFill="1" applyBorder="1" applyAlignment="1">
      <alignment horizontal="center"/>
    </xf>
    <xf numFmtId="0" fontId="22" fillId="6" borderId="56" xfId="0" applyFont="1" applyFill="1" applyBorder="1" applyAlignment="1">
      <alignment horizontal="center" vertical="center" wrapText="1"/>
    </xf>
    <xf numFmtId="0" fontId="22" fillId="6" borderId="55" xfId="0" applyFont="1" applyFill="1" applyBorder="1" applyAlignment="1">
      <alignment horizontal="center" vertical="center" wrapText="1"/>
    </xf>
    <xf numFmtId="0" fontId="22" fillId="6" borderId="56" xfId="0" applyFont="1" applyFill="1" applyBorder="1" applyAlignment="1">
      <alignment horizontal="center" vertical="center"/>
    </xf>
    <xf numFmtId="0" fontId="22" fillId="6" borderId="57" xfId="0" applyFont="1" applyFill="1" applyBorder="1" applyAlignment="1">
      <alignment horizontal="center" vertical="center"/>
    </xf>
    <xf numFmtId="0" fontId="22" fillId="6" borderId="55" xfId="0" applyFont="1" applyFill="1" applyBorder="1" applyAlignment="1">
      <alignment horizontal="center" vertical="center"/>
    </xf>
    <xf numFmtId="0" fontId="86" fillId="0" borderId="133" xfId="0" applyFont="1" applyBorder="1" applyAlignment="1">
      <alignment horizontal="center" wrapText="1"/>
    </xf>
    <xf numFmtId="171" fontId="21" fillId="10" borderId="12" xfId="0" applyNumberFormat="1" applyFont="1" applyFill="1" applyBorder="1" applyAlignment="1">
      <alignment horizontal="center"/>
    </xf>
    <xf numFmtId="171" fontId="21" fillId="10" borderId="58" xfId="0" applyNumberFormat="1" applyFont="1" applyFill="1" applyBorder="1" applyAlignment="1">
      <alignment horizontal="center"/>
    </xf>
    <xf numFmtId="171" fontId="21" fillId="10" borderId="59" xfId="0" applyNumberFormat="1" applyFont="1" applyFill="1" applyBorder="1" applyAlignment="1">
      <alignment horizontal="center"/>
    </xf>
    <xf numFmtId="1" fontId="20" fillId="2" borderId="15" xfId="0" applyNumberFormat="1" applyFont="1" applyFill="1" applyBorder="1" applyAlignment="1">
      <alignment horizontal="center" vertical="center"/>
    </xf>
    <xf numFmtId="1" fontId="20" fillId="2" borderId="14" xfId="0" applyNumberFormat="1" applyFont="1" applyFill="1" applyBorder="1" applyAlignment="1">
      <alignment horizontal="center" vertical="center"/>
    </xf>
    <xf numFmtId="1" fontId="20" fillId="2" borderId="60" xfId="0" applyNumberFormat="1" applyFont="1" applyFill="1" applyBorder="1" applyAlignment="1">
      <alignment horizontal="center" vertical="center"/>
    </xf>
    <xf numFmtId="1" fontId="20" fillId="2" borderId="16" xfId="0" applyNumberFormat="1" applyFont="1" applyFill="1" applyBorder="1" applyAlignment="1">
      <alignment horizontal="center" vertical="center"/>
    </xf>
    <xf numFmtId="1" fontId="20" fillId="2" borderId="53" xfId="0" applyNumberFormat="1" applyFont="1" applyFill="1" applyBorder="1" applyAlignment="1">
      <alignment horizontal="center" vertical="center"/>
    </xf>
    <xf numFmtId="0" fontId="11" fillId="3" borderId="56" xfId="0" applyFont="1" applyFill="1" applyBorder="1" applyAlignment="1">
      <alignment horizontal="center"/>
    </xf>
    <xf numFmtId="0" fontId="11" fillId="3" borderId="29" xfId="0" applyFont="1" applyFill="1" applyBorder="1" applyAlignment="1">
      <alignment horizontal="center"/>
    </xf>
    <xf numFmtId="0" fontId="7" fillId="10" borderId="56" xfId="0" applyFont="1" applyFill="1" applyBorder="1" applyAlignment="1">
      <alignment horizontal="center"/>
    </xf>
    <xf numFmtId="0" fontId="7" fillId="10" borderId="57" xfId="0" applyFont="1" applyFill="1" applyBorder="1" applyAlignment="1">
      <alignment horizontal="center"/>
    </xf>
    <xf numFmtId="0" fontId="7" fillId="10" borderId="55" xfId="0" applyFont="1" applyFill="1" applyBorder="1" applyAlignment="1">
      <alignment horizontal="center"/>
    </xf>
    <xf numFmtId="171" fontId="21" fillId="10" borderId="76" xfId="0" applyNumberFormat="1" applyFont="1" applyFill="1" applyBorder="1" applyAlignment="1">
      <alignment horizontal="center"/>
    </xf>
    <xf numFmtId="171" fontId="21" fillId="10" borderId="78" xfId="0" applyNumberFormat="1" applyFont="1" applyFill="1" applyBorder="1" applyAlignment="1">
      <alignment horizontal="center"/>
    </xf>
    <xf numFmtId="171" fontId="21" fillId="10" borderId="77" xfId="0" applyNumberFormat="1" applyFont="1" applyFill="1" applyBorder="1" applyAlignment="1">
      <alignment horizontal="center"/>
    </xf>
    <xf numFmtId="1" fontId="20" fillId="2" borderId="84" xfId="0" applyNumberFormat="1" applyFont="1" applyFill="1" applyBorder="1" applyAlignment="1">
      <alignment horizontal="center" vertical="center"/>
    </xf>
    <xf numFmtId="1" fontId="20" fillId="2" borderId="85" xfId="0" applyNumberFormat="1" applyFont="1" applyFill="1" applyBorder="1" applyAlignment="1">
      <alignment horizontal="center" vertical="center"/>
    </xf>
    <xf numFmtId="0" fontId="0" fillId="0" borderId="57" xfId="0" applyBorder="1"/>
    <xf numFmtId="0" fontId="0" fillId="0" borderId="29" xfId="0" applyBorder="1"/>
    <xf numFmtId="1" fontId="20" fillId="2" borderId="24" xfId="0" applyNumberFormat="1" applyFont="1" applyFill="1" applyBorder="1" applyAlignment="1">
      <alignment horizontal="center" vertical="center"/>
    </xf>
    <xf numFmtId="1" fontId="20" fillId="2" borderId="10" xfId="0" applyNumberFormat="1" applyFont="1" applyFill="1" applyBorder="1" applyAlignment="1">
      <alignment horizontal="center" vertical="center"/>
    </xf>
    <xf numFmtId="0" fontId="21" fillId="10" borderId="2" xfId="0" applyFont="1" applyFill="1" applyBorder="1" applyAlignment="1">
      <alignment horizontal="center"/>
    </xf>
    <xf numFmtId="0" fontId="21" fillId="10" borderId="1" xfId="0" applyFont="1" applyFill="1" applyBorder="1" applyAlignment="1">
      <alignment horizontal="center"/>
    </xf>
    <xf numFmtId="0" fontId="21" fillId="10" borderId="3" xfId="0" applyFont="1" applyFill="1" applyBorder="1" applyAlignment="1">
      <alignment horizontal="center"/>
    </xf>
    <xf numFmtId="0" fontId="11" fillId="3" borderId="57" xfId="0" applyFont="1" applyFill="1" applyBorder="1" applyAlignment="1">
      <alignment horizontal="center"/>
    </xf>
    <xf numFmtId="0" fontId="21" fillId="0" borderId="17" xfId="0" applyFont="1" applyBorder="1" applyAlignment="1">
      <alignment horizontal="right" wrapText="1"/>
    </xf>
    <xf numFmtId="0" fontId="21" fillId="0" borderId="8" xfId="0" applyFont="1" applyBorder="1" applyAlignment="1">
      <alignment horizontal="right" wrapText="1"/>
    </xf>
    <xf numFmtId="0" fontId="21" fillId="0" borderId="18" xfId="0" applyFont="1" applyBorder="1" applyAlignment="1">
      <alignment horizontal="right" wrapText="1"/>
    </xf>
    <xf numFmtId="0" fontId="21" fillId="0" borderId="20" xfId="0" applyFont="1" applyBorder="1" applyAlignment="1">
      <alignment horizontal="right" wrapText="1"/>
    </xf>
    <xf numFmtId="0" fontId="11" fillId="3" borderId="63" xfId="0" applyFont="1" applyFill="1" applyBorder="1" applyAlignment="1">
      <alignment horizontal="center"/>
    </xf>
    <xf numFmtId="0" fontId="11" fillId="3" borderId="5" xfId="0" applyFont="1" applyFill="1" applyBorder="1" applyAlignment="1">
      <alignment horizontal="center"/>
    </xf>
    <xf numFmtId="0" fontId="7" fillId="10" borderId="64" xfId="0" applyFont="1" applyFill="1" applyBorder="1" applyAlignment="1">
      <alignment horizontal="center"/>
    </xf>
    <xf numFmtId="1" fontId="9" fillId="2" borderId="65" xfId="0" applyNumberFormat="1" applyFont="1" applyFill="1" applyBorder="1" applyAlignment="1">
      <alignment horizontal="center" vertical="center" wrapText="1"/>
    </xf>
    <xf numFmtId="1" fontId="9" fillId="2" borderId="60" xfId="0" applyNumberFormat="1" applyFont="1" applyFill="1" applyBorder="1" applyAlignment="1">
      <alignment horizontal="center" vertical="center" wrapText="1"/>
    </xf>
    <xf numFmtId="1" fontId="9" fillId="2" borderId="48" xfId="0" applyNumberFormat="1" applyFont="1" applyFill="1" applyBorder="1" applyAlignment="1">
      <alignment horizontal="center" vertical="center" wrapText="1"/>
    </xf>
    <xf numFmtId="1" fontId="9" fillId="2" borderId="23" xfId="0" applyNumberFormat="1" applyFont="1" applyFill="1" applyBorder="1" applyAlignment="1">
      <alignment horizontal="center" vertical="center" wrapText="1"/>
    </xf>
    <xf numFmtId="0" fontId="7" fillId="10" borderId="76" xfId="0" applyFont="1" applyFill="1" applyBorder="1" applyAlignment="1">
      <alignment horizontal="center"/>
    </xf>
    <xf numFmtId="0" fontId="7" fillId="10" borderId="78" xfId="0" applyFont="1" applyFill="1" applyBorder="1" applyAlignment="1">
      <alignment horizontal="center"/>
    </xf>
    <xf numFmtId="0" fontId="7" fillId="10" borderId="77" xfId="0" applyFont="1" applyFill="1" applyBorder="1" applyAlignment="1">
      <alignment horizontal="center"/>
    </xf>
    <xf numFmtId="3" fontId="73" fillId="16" borderId="131" xfId="188" applyNumberFormat="1" applyFont="1" applyFill="1" applyBorder="1" applyAlignment="1">
      <alignment horizontal="center" vertical="center" wrapText="1"/>
    </xf>
    <xf numFmtId="182" fontId="73" fillId="16" borderId="79" xfId="188" applyFont="1" applyFill="1" applyBorder="1" applyAlignment="1">
      <alignment horizontal="center" vertical="center" wrapText="1"/>
    </xf>
    <xf numFmtId="3" fontId="73" fillId="16" borderId="106" xfId="180" applyNumberFormat="1" applyFont="1" applyFill="1" applyBorder="1" applyAlignment="1">
      <alignment horizontal="center" vertical="center" wrapText="1"/>
    </xf>
    <xf numFmtId="182" fontId="73" fillId="16" borderId="27" xfId="180" applyFont="1" applyFill="1" applyBorder="1" applyAlignment="1">
      <alignment horizontal="center" vertical="center" wrapText="1"/>
    </xf>
    <xf numFmtId="3" fontId="73" fillId="16" borderId="106" xfId="188" applyNumberFormat="1" applyFont="1" applyFill="1" applyBorder="1" applyAlignment="1">
      <alignment horizontal="center" vertical="center" wrapText="1"/>
    </xf>
    <xf numFmtId="182" fontId="73" fillId="16" borderId="27" xfId="188" applyFont="1" applyFill="1" applyBorder="1" applyAlignment="1">
      <alignment horizontal="center" vertical="center" wrapText="1"/>
    </xf>
    <xf numFmtId="3" fontId="73" fillId="18" borderId="106" xfId="188" applyNumberFormat="1" applyFont="1" applyFill="1" applyBorder="1" applyAlignment="1">
      <alignment horizontal="center" vertical="center" wrapText="1"/>
    </xf>
    <xf numFmtId="182" fontId="73" fillId="18" borderId="27" xfId="188" applyFont="1" applyFill="1" applyBorder="1" applyAlignment="1">
      <alignment horizontal="center" vertical="center" wrapText="1"/>
    </xf>
    <xf numFmtId="3" fontId="73" fillId="16" borderId="99" xfId="188" applyNumberFormat="1" applyFont="1" applyFill="1" applyBorder="1" applyAlignment="1">
      <alignment horizontal="center" vertical="center" wrapText="1"/>
    </xf>
    <xf numFmtId="182" fontId="73" fillId="16" borderId="125" xfId="188" applyFont="1" applyFill="1" applyBorder="1" applyAlignment="1">
      <alignment horizontal="center" vertical="center" wrapText="1"/>
    </xf>
    <xf numFmtId="3" fontId="72" fillId="17" borderId="76" xfId="145" applyNumberFormat="1" applyFont="1" applyFill="1" applyBorder="1" applyAlignment="1">
      <alignment horizontal="center"/>
    </xf>
    <xf numFmtId="182" fontId="72" fillId="17" borderId="77" xfId="145" applyFont="1" applyFill="1" applyBorder="1" applyAlignment="1">
      <alignment horizontal="center"/>
    </xf>
    <xf numFmtId="0" fontId="7" fillId="10" borderId="56" xfId="2" applyFont="1" applyFill="1" applyBorder="1" applyAlignment="1">
      <alignment horizontal="center"/>
    </xf>
    <xf numFmtId="0" fontId="6" fillId="0" borderId="57" xfId="2" applyBorder="1"/>
    <xf numFmtId="0" fontId="6" fillId="0" borderId="55" xfId="2" applyBorder="1"/>
    <xf numFmtId="0" fontId="11" fillId="3" borderId="56" xfId="2" applyFont="1" applyFill="1" applyBorder="1" applyAlignment="1">
      <alignment horizontal="center"/>
    </xf>
    <xf numFmtId="0" fontId="11" fillId="3" borderId="57" xfId="2" applyFont="1" applyFill="1" applyBorder="1" applyAlignment="1">
      <alignment horizontal="center"/>
    </xf>
    <xf numFmtId="0" fontId="7" fillId="10" borderId="57" xfId="2" applyFont="1" applyFill="1" applyBorder="1" applyAlignment="1">
      <alignment horizontal="center"/>
    </xf>
    <xf numFmtId="0" fontId="7" fillId="10" borderId="55" xfId="2" applyFont="1" applyFill="1" applyBorder="1" applyAlignment="1">
      <alignment horizontal="center"/>
    </xf>
    <xf numFmtId="0" fontId="17" fillId="3" borderId="82" xfId="0" applyFont="1" applyFill="1" applyBorder="1" applyAlignment="1">
      <alignment horizontal="center"/>
    </xf>
    <xf numFmtId="0" fontId="17" fillId="3" borderId="58" xfId="0" applyFont="1" applyFill="1" applyBorder="1" applyAlignment="1">
      <alignment horizontal="center"/>
    </xf>
    <xf numFmtId="0" fontId="13" fillId="10" borderId="76" xfId="0" applyFont="1" applyFill="1" applyBorder="1" applyAlignment="1">
      <alignment horizontal="center"/>
    </xf>
    <xf numFmtId="0" fontId="13" fillId="10" borderId="78" xfId="0" applyFont="1" applyFill="1" applyBorder="1" applyAlignment="1">
      <alignment horizontal="center"/>
    </xf>
    <xf numFmtId="0" fontId="13" fillId="10" borderId="77" xfId="0" applyFont="1" applyFill="1" applyBorder="1" applyAlignment="1">
      <alignment horizontal="center"/>
    </xf>
    <xf numFmtId="0" fontId="17" fillId="3" borderId="56" xfId="0" applyFont="1" applyFill="1" applyBorder="1" applyAlignment="1">
      <alignment horizontal="center"/>
    </xf>
    <xf numFmtId="0" fontId="17" fillId="3" borderId="57" xfId="0" applyFont="1" applyFill="1" applyBorder="1" applyAlignment="1">
      <alignment horizontal="center"/>
    </xf>
    <xf numFmtId="0" fontId="13" fillId="10" borderId="30" xfId="0" applyFont="1" applyFill="1" applyBorder="1" applyAlignment="1">
      <alignment horizontal="center"/>
    </xf>
    <xf numFmtId="0" fontId="13" fillId="10" borderId="72" xfId="0" applyFont="1" applyFill="1" applyBorder="1" applyAlignment="1">
      <alignment horizontal="center"/>
    </xf>
    <xf numFmtId="0" fontId="13" fillId="10" borderId="40" xfId="0" applyFont="1" applyFill="1" applyBorder="1" applyAlignment="1">
      <alignment horizontal="center"/>
    </xf>
    <xf numFmtId="0" fontId="42" fillId="0" borderId="0" xfId="6" applyFont="1" applyAlignment="1">
      <alignment horizontal="center" wrapText="1"/>
    </xf>
    <xf numFmtId="0" fontId="40" fillId="17" borderId="105" xfId="6" applyFont="1" applyFill="1" applyBorder="1" applyAlignment="1">
      <alignment horizontal="center"/>
    </xf>
    <xf numFmtId="0" fontId="40" fillId="17" borderId="102" xfId="7" applyFont="1" applyFill="1" applyBorder="1" applyAlignment="1">
      <alignment horizontal="center" vertical="center" wrapText="1"/>
    </xf>
    <xf numFmtId="0" fontId="40" fillId="17" borderId="103" xfId="7" applyFont="1" applyFill="1" applyBorder="1" applyAlignment="1">
      <alignment horizontal="center" vertical="center" wrapText="1"/>
    </xf>
    <xf numFmtId="0" fontId="40" fillId="17" borderId="104" xfId="7" applyFont="1" applyFill="1" applyBorder="1" applyAlignment="1">
      <alignment horizontal="center" vertical="center" wrapText="1"/>
    </xf>
    <xf numFmtId="0" fontId="41" fillId="16" borderId="98" xfId="8" applyFont="1" applyFill="1" applyBorder="1" applyAlignment="1">
      <alignment horizontal="center" vertical="center" wrapText="1"/>
    </xf>
    <xf numFmtId="0" fontId="41" fillId="16" borderId="88" xfId="8" applyFont="1" applyFill="1" applyBorder="1" applyAlignment="1">
      <alignment horizontal="center" vertical="center" wrapText="1"/>
    </xf>
    <xf numFmtId="0" fontId="41" fillId="16" borderId="15" xfId="5" applyFont="1" applyFill="1" applyBorder="1" applyAlignment="1">
      <alignment horizontal="center" vertical="center" wrapText="1"/>
    </xf>
    <xf numFmtId="0" fontId="41" fillId="16" borderId="23" xfId="5" applyFont="1" applyFill="1" applyBorder="1" applyAlignment="1">
      <alignment horizontal="center" vertical="center" wrapText="1"/>
    </xf>
    <xf numFmtId="0" fontId="41" fillId="16" borderId="15" xfId="8" applyFont="1" applyFill="1" applyBorder="1" applyAlignment="1">
      <alignment horizontal="center" vertical="center" wrapText="1"/>
    </xf>
    <xf numFmtId="0" fontId="41" fillId="16" borderId="23" xfId="8" applyFont="1" applyFill="1" applyBorder="1" applyAlignment="1">
      <alignment horizontal="center" vertical="center" wrapText="1"/>
    </xf>
    <xf numFmtId="0" fontId="41" fillId="16" borderId="75" xfId="8" applyFont="1" applyFill="1" applyBorder="1" applyAlignment="1">
      <alignment horizontal="center" vertical="center" wrapText="1"/>
    </xf>
    <xf numFmtId="0" fontId="41" fillId="16" borderId="101" xfId="8" applyFont="1" applyFill="1" applyBorder="1" applyAlignment="1">
      <alignment horizontal="center" vertical="center" wrapText="1"/>
    </xf>
    <xf numFmtId="0" fontId="72" fillId="17" borderId="76" xfId="7" applyFont="1" applyFill="1" applyBorder="1" applyAlignment="1">
      <alignment horizontal="center" vertical="center" wrapText="1"/>
    </xf>
    <xf numFmtId="0" fontId="72" fillId="17" borderId="78" xfId="7" applyFont="1" applyFill="1" applyBorder="1" applyAlignment="1">
      <alignment horizontal="center" vertical="center" wrapText="1"/>
    </xf>
    <xf numFmtId="0" fontId="72" fillId="17" borderId="77" xfId="7" applyFont="1" applyFill="1" applyBorder="1" applyAlignment="1">
      <alignment horizontal="center" vertical="center" wrapText="1"/>
    </xf>
    <xf numFmtId="0" fontId="73" fillId="16" borderId="106" xfId="94" applyFont="1" applyFill="1" applyBorder="1" applyAlignment="1">
      <alignment horizontal="center" vertical="center" wrapText="1"/>
    </xf>
    <xf numFmtId="0" fontId="73" fillId="16" borderId="27" xfId="94" applyFont="1" applyFill="1" applyBorder="1" applyAlignment="1">
      <alignment horizontal="center" vertical="center" wrapText="1"/>
    </xf>
    <xf numFmtId="0" fontId="70" fillId="0" borderId="54" xfId="54" applyFont="1" applyBorder="1" applyAlignment="1">
      <alignment horizontal="center" vertical="center" wrapText="1"/>
    </xf>
    <xf numFmtId="0" fontId="70" fillId="0" borderId="10" xfId="54" applyFont="1" applyBorder="1" applyAlignment="1">
      <alignment horizontal="center" vertical="center" wrapText="1"/>
    </xf>
    <xf numFmtId="0" fontId="76" fillId="17" borderId="123" xfId="6" applyFont="1" applyFill="1" applyBorder="1" applyAlignment="1">
      <alignment horizontal="center"/>
    </xf>
    <xf numFmtId="0" fontId="76" fillId="17" borderId="124" xfId="6" applyFont="1" applyFill="1" applyBorder="1" applyAlignment="1">
      <alignment horizontal="center"/>
    </xf>
    <xf numFmtId="0" fontId="73" fillId="16" borderId="106" xfId="93" applyFont="1" applyFill="1" applyBorder="1" applyAlignment="1">
      <alignment horizontal="center" vertical="center" wrapText="1"/>
    </xf>
    <xf numFmtId="0" fontId="73" fillId="16" borderId="27" xfId="93" applyFont="1" applyFill="1" applyBorder="1" applyAlignment="1">
      <alignment horizontal="center" vertical="center" wrapText="1"/>
    </xf>
    <xf numFmtId="0" fontId="73" fillId="16" borderId="99" xfId="94" applyFont="1" applyFill="1" applyBorder="1" applyAlignment="1">
      <alignment horizontal="center" vertical="center" wrapText="1"/>
    </xf>
    <xf numFmtId="0" fontId="73" fillId="16" borderId="125" xfId="94" applyFont="1" applyFill="1" applyBorder="1" applyAlignment="1">
      <alignment horizontal="center" vertical="center" wrapText="1"/>
    </xf>
    <xf numFmtId="0" fontId="46" fillId="16" borderId="15" xfId="8" applyFont="1" applyFill="1" applyBorder="1" applyAlignment="1">
      <alignment horizontal="center" vertical="center" wrapText="1"/>
    </xf>
    <xf numFmtId="0" fontId="46" fillId="16" borderId="23" xfId="8" applyFont="1" applyFill="1" applyBorder="1" applyAlignment="1">
      <alignment horizontal="center" vertical="center" wrapText="1"/>
    </xf>
    <xf numFmtId="0" fontId="46" fillId="16" borderId="75" xfId="8" applyFont="1" applyFill="1" applyBorder="1" applyAlignment="1">
      <alignment horizontal="center" vertical="center" wrapText="1"/>
    </xf>
    <xf numFmtId="0" fontId="46" fillId="16" borderId="101" xfId="8" applyFont="1" applyFill="1" applyBorder="1" applyAlignment="1">
      <alignment horizontal="center" vertical="center" wrapText="1"/>
    </xf>
    <xf numFmtId="0" fontId="45" fillId="17" borderId="102" xfId="7" applyFont="1" applyFill="1" applyBorder="1" applyAlignment="1">
      <alignment horizontal="center" vertical="center" wrapText="1"/>
    </xf>
    <xf numFmtId="0" fontId="45" fillId="17" borderId="103" xfId="7" applyFont="1" applyFill="1" applyBorder="1" applyAlignment="1">
      <alignment horizontal="center" vertical="center" wrapText="1"/>
    </xf>
    <xf numFmtId="0" fontId="45" fillId="17" borderId="104" xfId="7" applyFont="1" applyFill="1" applyBorder="1" applyAlignment="1">
      <alignment horizontal="center" vertical="center" wrapText="1"/>
    </xf>
    <xf numFmtId="0" fontId="48" fillId="17" borderId="0" xfId="6" applyFont="1" applyFill="1" applyAlignment="1">
      <alignment horizontal="center"/>
    </xf>
    <xf numFmtId="183" fontId="69" fillId="0" borderId="76" xfId="292" applyNumberFormat="1" applyFont="1" applyBorder="1" applyAlignment="1">
      <alignment horizontal="center"/>
    </xf>
    <xf numFmtId="183" fontId="69" fillId="0" borderId="78" xfId="292" applyNumberFormat="1" applyFont="1" applyBorder="1" applyAlignment="1">
      <alignment horizontal="center"/>
    </xf>
    <xf numFmtId="183" fontId="69" fillId="0" borderId="77" xfId="292" applyNumberFormat="1" applyFont="1" applyBorder="1" applyAlignment="1">
      <alignment horizontal="center"/>
    </xf>
    <xf numFmtId="0" fontId="76" fillId="17" borderId="76" xfId="6" applyFont="1" applyFill="1" applyBorder="1" applyAlignment="1">
      <alignment horizontal="center"/>
    </xf>
    <xf numFmtId="0" fontId="76" fillId="17" borderId="78" xfId="6" applyFont="1" applyFill="1" applyBorder="1" applyAlignment="1">
      <alignment horizontal="center"/>
    </xf>
    <xf numFmtId="0" fontId="73" fillId="16" borderId="106" xfId="5" applyFont="1" applyFill="1" applyBorder="1" applyAlignment="1">
      <alignment horizontal="center" vertical="center" wrapText="1"/>
    </xf>
    <xf numFmtId="0" fontId="73" fillId="16" borderId="27" xfId="5" applyFont="1" applyFill="1" applyBorder="1" applyAlignment="1">
      <alignment horizontal="center" vertical="center" wrapText="1"/>
    </xf>
    <xf numFmtId="1" fontId="73" fillId="16" borderId="28" xfId="5" applyNumberFormat="1" applyFont="1" applyFill="1" applyBorder="1" applyAlignment="1">
      <alignment horizontal="center" vertical="center" wrapText="1"/>
    </xf>
    <xf numFmtId="1" fontId="73" fillId="16" borderId="27" xfId="5" applyNumberFormat="1" applyFont="1" applyFill="1" applyBorder="1" applyAlignment="1">
      <alignment horizontal="center" vertical="center" wrapText="1"/>
    </xf>
    <xf numFmtId="0" fontId="82" fillId="16" borderId="0" xfId="5" applyFont="1" applyFill="1" applyAlignment="1">
      <alignment horizontal="center" vertical="center" wrapText="1"/>
    </xf>
    <xf numFmtId="0" fontId="73" fillId="16" borderId="98" xfId="5" applyFont="1" applyFill="1" applyBorder="1" applyAlignment="1">
      <alignment horizontal="center" vertical="center" wrapText="1"/>
    </xf>
    <xf numFmtId="0" fontId="73" fillId="16" borderId="88" xfId="5" applyFont="1" applyFill="1" applyBorder="1" applyAlignment="1">
      <alignment horizontal="center" vertical="center" wrapText="1"/>
    </xf>
    <xf numFmtId="0" fontId="73" fillId="18" borderId="106" xfId="5" applyFont="1" applyFill="1" applyBorder="1" applyAlignment="1">
      <alignment horizontal="center" vertical="center" wrapText="1"/>
    </xf>
    <xf numFmtId="0" fontId="73" fillId="18" borderId="27" xfId="5" applyFont="1" applyFill="1" applyBorder="1" applyAlignment="1">
      <alignment horizontal="center" vertical="center" wrapText="1"/>
    </xf>
    <xf numFmtId="0" fontId="73" fillId="16" borderId="15" xfId="5" applyFont="1" applyFill="1" applyBorder="1" applyAlignment="1">
      <alignment horizontal="center" vertical="center" wrapText="1"/>
    </xf>
    <xf numFmtId="0" fontId="73" fillId="16" borderId="23" xfId="5" applyFont="1" applyFill="1" applyBorder="1" applyAlignment="1">
      <alignment horizontal="center" vertical="center" wrapText="1"/>
    </xf>
    <xf numFmtId="0" fontId="73" fillId="43" borderId="106" xfId="5" applyFont="1" applyFill="1" applyBorder="1" applyAlignment="1">
      <alignment horizontal="center" vertical="center" wrapText="1"/>
    </xf>
    <xf numFmtId="0" fontId="73" fillId="43" borderId="27" xfId="5" applyFont="1" applyFill="1" applyBorder="1" applyAlignment="1">
      <alignment horizontal="center" vertical="center" wrapText="1"/>
    </xf>
    <xf numFmtId="0" fontId="73" fillId="43" borderId="99" xfId="5" applyFont="1" applyFill="1" applyBorder="1" applyAlignment="1">
      <alignment horizontal="center" vertical="center" wrapText="1"/>
    </xf>
    <xf numFmtId="0" fontId="73" fillId="43" borderId="125" xfId="5" applyFont="1" applyFill="1" applyBorder="1" applyAlignment="1">
      <alignment horizontal="center" vertical="center" wrapText="1"/>
    </xf>
    <xf numFmtId="0" fontId="73" fillId="16" borderId="28" xfId="5" applyFont="1" applyFill="1" applyBorder="1" applyAlignment="1">
      <alignment horizontal="center" vertical="center" wrapText="1"/>
    </xf>
    <xf numFmtId="0" fontId="69" fillId="0" borderId="76" xfId="292" applyFont="1" applyBorder="1" applyAlignment="1">
      <alignment horizontal="center"/>
    </xf>
    <xf numFmtId="0" fontId="69" fillId="0" borderId="78" xfId="292" applyFont="1" applyBorder="1" applyAlignment="1">
      <alignment horizontal="center"/>
    </xf>
    <xf numFmtId="0" fontId="69" fillId="0" borderId="77" xfId="292" applyFont="1" applyBorder="1" applyAlignment="1">
      <alignment horizontal="center"/>
    </xf>
    <xf numFmtId="0" fontId="73" fillId="16" borderId="54" xfId="5" applyFont="1" applyFill="1" applyBorder="1" applyAlignment="1">
      <alignment horizontal="center" vertical="center" wrapText="1"/>
    </xf>
    <xf numFmtId="0" fontId="73" fillId="16" borderId="10" xfId="5" applyFont="1" applyFill="1" applyBorder="1" applyAlignment="1">
      <alignment horizontal="center" vertical="center" wrapText="1"/>
    </xf>
    <xf numFmtId="0" fontId="73" fillId="18" borderId="54" xfId="5" applyFont="1" applyFill="1" applyBorder="1" applyAlignment="1">
      <alignment horizontal="center" vertical="center" wrapText="1"/>
    </xf>
    <xf numFmtId="0" fontId="73" fillId="18" borderId="10" xfId="5" applyFont="1" applyFill="1" applyBorder="1" applyAlignment="1">
      <alignment horizontal="center" vertical="center" wrapText="1"/>
    </xf>
    <xf numFmtId="0" fontId="13" fillId="6" borderId="102" xfId="2" applyFont="1" applyFill="1" applyBorder="1" applyAlignment="1">
      <alignment horizontal="center" vertical="center"/>
    </xf>
    <xf numFmtId="0" fontId="13" fillId="6" borderId="103" xfId="2" applyFont="1" applyFill="1" applyBorder="1" applyAlignment="1">
      <alignment horizontal="center" vertical="center"/>
    </xf>
    <xf numFmtId="0" fontId="13" fillId="6" borderId="104" xfId="2" applyFont="1" applyFill="1" applyBorder="1" applyAlignment="1">
      <alignment horizontal="center" vertical="center"/>
    </xf>
    <xf numFmtId="0" fontId="21" fillId="0" borderId="126" xfId="0" applyFont="1" applyBorder="1" applyAlignment="1">
      <alignment horizontal="center" wrapText="1"/>
    </xf>
    <xf numFmtId="0" fontId="21" fillId="0" borderId="129" xfId="0" applyFont="1" applyBorder="1" applyAlignment="1">
      <alignment horizontal="center" wrapText="1"/>
    </xf>
    <xf numFmtId="0" fontId="21" fillId="0" borderId="130" xfId="0" applyFont="1" applyBorder="1" applyAlignment="1">
      <alignment horizontal="center" wrapText="1"/>
    </xf>
    <xf numFmtId="0" fontId="21" fillId="0" borderId="121" xfId="0" applyFont="1" applyBorder="1" applyAlignment="1">
      <alignment horizontal="center" wrapText="1"/>
    </xf>
    <xf numFmtId="0" fontId="21" fillId="0" borderId="122" xfId="0" applyFont="1" applyBorder="1" applyAlignment="1">
      <alignment horizontal="center" wrapText="1"/>
    </xf>
    <xf numFmtId="0" fontId="21" fillId="0" borderId="128" xfId="0" applyFont="1" applyBorder="1" applyAlignment="1">
      <alignment horizontal="center" wrapText="1"/>
    </xf>
  </cellXfs>
  <cellStyles count="604">
    <cellStyle name="20% - Accent1" xfId="14" xr:uid="{00000000-0005-0000-0000-000000000000}"/>
    <cellStyle name="20% - Accent1 2" xfId="95" xr:uid="{00000000-0005-0000-0000-000001000000}"/>
    <cellStyle name="20% - Accent1 3" xfId="230" xr:uid="{00000000-0005-0000-0000-000002000000}"/>
    <cellStyle name="20% - Accent2" xfId="15" xr:uid="{00000000-0005-0000-0000-000003000000}"/>
    <cellStyle name="20% - Accent2 2" xfId="96" xr:uid="{00000000-0005-0000-0000-000004000000}"/>
    <cellStyle name="20% - Accent2 3" xfId="231" xr:uid="{00000000-0005-0000-0000-000005000000}"/>
    <cellStyle name="20% - Accent3" xfId="16" xr:uid="{00000000-0005-0000-0000-000006000000}"/>
    <cellStyle name="20% - Accent3 2" xfId="97" xr:uid="{00000000-0005-0000-0000-000007000000}"/>
    <cellStyle name="20% - Accent3 3" xfId="232" xr:uid="{00000000-0005-0000-0000-000008000000}"/>
    <cellStyle name="20% - Accent4" xfId="17" xr:uid="{00000000-0005-0000-0000-000009000000}"/>
    <cellStyle name="20% - Accent4 2" xfId="98" xr:uid="{00000000-0005-0000-0000-00000A000000}"/>
    <cellStyle name="20% - Accent4 3" xfId="233" xr:uid="{00000000-0005-0000-0000-00000B000000}"/>
    <cellStyle name="20% - Accent5" xfId="18" xr:uid="{00000000-0005-0000-0000-00000C000000}"/>
    <cellStyle name="20% - Accent5 2" xfId="99" xr:uid="{00000000-0005-0000-0000-00000D000000}"/>
    <cellStyle name="20% - Accent5 3" xfId="234" xr:uid="{00000000-0005-0000-0000-00000E000000}"/>
    <cellStyle name="20% - Accent6" xfId="19" xr:uid="{00000000-0005-0000-0000-00000F000000}"/>
    <cellStyle name="20% - Accent6 2" xfId="100" xr:uid="{00000000-0005-0000-0000-000010000000}"/>
    <cellStyle name="20% - Accent6 3" xfId="235" xr:uid="{00000000-0005-0000-0000-000011000000}"/>
    <cellStyle name="40% - Accent1" xfId="20" xr:uid="{00000000-0005-0000-0000-000012000000}"/>
    <cellStyle name="40% - Accent1 2" xfId="101" xr:uid="{00000000-0005-0000-0000-000013000000}"/>
    <cellStyle name="40% - Accent1 3" xfId="236" xr:uid="{00000000-0005-0000-0000-000014000000}"/>
    <cellStyle name="40% - Accent2" xfId="21" xr:uid="{00000000-0005-0000-0000-000015000000}"/>
    <cellStyle name="40% - Accent2 2" xfId="102" xr:uid="{00000000-0005-0000-0000-000016000000}"/>
    <cellStyle name="40% - Accent2 3" xfId="237" xr:uid="{00000000-0005-0000-0000-000017000000}"/>
    <cellStyle name="40% - Accent3" xfId="22" xr:uid="{00000000-0005-0000-0000-000018000000}"/>
    <cellStyle name="40% - Accent3 2" xfId="103" xr:uid="{00000000-0005-0000-0000-000019000000}"/>
    <cellStyle name="40% - Accent3 3" xfId="238" xr:uid="{00000000-0005-0000-0000-00001A000000}"/>
    <cellStyle name="40% - Accent4" xfId="23" xr:uid="{00000000-0005-0000-0000-00001B000000}"/>
    <cellStyle name="40% - Accent4 2" xfId="104" xr:uid="{00000000-0005-0000-0000-00001C000000}"/>
    <cellStyle name="40% - Accent4 3" xfId="239" xr:uid="{00000000-0005-0000-0000-00001D000000}"/>
    <cellStyle name="40% - Accent5" xfId="24" xr:uid="{00000000-0005-0000-0000-00001E000000}"/>
    <cellStyle name="40% - Accent5 2" xfId="105" xr:uid="{00000000-0005-0000-0000-00001F000000}"/>
    <cellStyle name="40% - Accent5 3" xfId="240" xr:uid="{00000000-0005-0000-0000-000020000000}"/>
    <cellStyle name="40% - Accent6" xfId="25" xr:uid="{00000000-0005-0000-0000-000021000000}"/>
    <cellStyle name="40% - Accent6 2" xfId="106" xr:uid="{00000000-0005-0000-0000-000022000000}"/>
    <cellStyle name="40% - Accent6 3" xfId="241" xr:uid="{00000000-0005-0000-0000-000023000000}"/>
    <cellStyle name="60% - Accent1" xfId="26" xr:uid="{00000000-0005-0000-0000-000024000000}"/>
    <cellStyle name="60% - Accent1 2" xfId="107" xr:uid="{00000000-0005-0000-0000-000025000000}"/>
    <cellStyle name="60% - Accent1 3" xfId="242" xr:uid="{00000000-0005-0000-0000-000026000000}"/>
    <cellStyle name="60% - Accent2" xfId="27" xr:uid="{00000000-0005-0000-0000-000027000000}"/>
    <cellStyle name="60% - Accent2 2" xfId="108" xr:uid="{00000000-0005-0000-0000-000028000000}"/>
    <cellStyle name="60% - Accent2 3" xfId="243" xr:uid="{00000000-0005-0000-0000-000029000000}"/>
    <cellStyle name="60% - Accent3" xfId="28" xr:uid="{00000000-0005-0000-0000-00002A000000}"/>
    <cellStyle name="60% - Accent3 2" xfId="109" xr:uid="{00000000-0005-0000-0000-00002B000000}"/>
    <cellStyle name="60% - Accent3 3" xfId="244" xr:uid="{00000000-0005-0000-0000-00002C000000}"/>
    <cellStyle name="60% - Accent4" xfId="29" xr:uid="{00000000-0005-0000-0000-00002D000000}"/>
    <cellStyle name="60% - Accent4 2" xfId="110" xr:uid="{00000000-0005-0000-0000-00002E000000}"/>
    <cellStyle name="60% - Accent4 3" xfId="245" xr:uid="{00000000-0005-0000-0000-00002F000000}"/>
    <cellStyle name="60% - Accent5" xfId="30" xr:uid="{00000000-0005-0000-0000-000030000000}"/>
    <cellStyle name="60% - Accent5 2" xfId="111" xr:uid="{00000000-0005-0000-0000-000031000000}"/>
    <cellStyle name="60% - Accent5 3" xfId="246" xr:uid="{00000000-0005-0000-0000-000032000000}"/>
    <cellStyle name="60% - Accent6" xfId="31" xr:uid="{00000000-0005-0000-0000-000033000000}"/>
    <cellStyle name="60% - Accent6 2" xfId="112" xr:uid="{00000000-0005-0000-0000-000034000000}"/>
    <cellStyle name="60% - Accent6 3" xfId="247" xr:uid="{00000000-0005-0000-0000-000035000000}"/>
    <cellStyle name="Accent1" xfId="32" xr:uid="{00000000-0005-0000-0000-000036000000}"/>
    <cellStyle name="Accent1 2" xfId="113" xr:uid="{00000000-0005-0000-0000-000037000000}"/>
    <cellStyle name="Accent1 3" xfId="248" xr:uid="{00000000-0005-0000-0000-000038000000}"/>
    <cellStyle name="Accent2" xfId="33" xr:uid="{00000000-0005-0000-0000-000039000000}"/>
    <cellStyle name="Accent2 2" xfId="114" xr:uid="{00000000-0005-0000-0000-00003A000000}"/>
    <cellStyle name="Accent2 3" xfId="249" xr:uid="{00000000-0005-0000-0000-00003B000000}"/>
    <cellStyle name="Accent3" xfId="34" xr:uid="{00000000-0005-0000-0000-00003C000000}"/>
    <cellStyle name="Accent3 2" xfId="115" xr:uid="{00000000-0005-0000-0000-00003D000000}"/>
    <cellStyle name="Accent3 3" xfId="250" xr:uid="{00000000-0005-0000-0000-00003E000000}"/>
    <cellStyle name="Accent4" xfId="35" xr:uid="{00000000-0005-0000-0000-00003F000000}"/>
    <cellStyle name="Accent4 2" xfId="116" xr:uid="{00000000-0005-0000-0000-000040000000}"/>
    <cellStyle name="Accent4 3" xfId="251" xr:uid="{00000000-0005-0000-0000-000041000000}"/>
    <cellStyle name="Accent5" xfId="36" xr:uid="{00000000-0005-0000-0000-000042000000}"/>
    <cellStyle name="Accent5 2" xfId="117" xr:uid="{00000000-0005-0000-0000-000043000000}"/>
    <cellStyle name="Accent5 3" xfId="252" xr:uid="{00000000-0005-0000-0000-000044000000}"/>
    <cellStyle name="Accent6" xfId="37" xr:uid="{00000000-0005-0000-0000-000045000000}"/>
    <cellStyle name="Accent6 2" xfId="118" xr:uid="{00000000-0005-0000-0000-000046000000}"/>
    <cellStyle name="Accent6 3" xfId="253" xr:uid="{00000000-0005-0000-0000-000047000000}"/>
    <cellStyle name="Bad" xfId="38" xr:uid="{00000000-0005-0000-0000-000048000000}"/>
    <cellStyle name="Bad 2" xfId="119" xr:uid="{00000000-0005-0000-0000-000049000000}"/>
    <cellStyle name="Bad 3" xfId="254" xr:uid="{00000000-0005-0000-0000-00004A000000}"/>
    <cellStyle name="Calculation" xfId="39" xr:uid="{00000000-0005-0000-0000-00004B000000}"/>
    <cellStyle name="Calculation 2" xfId="120" xr:uid="{00000000-0005-0000-0000-00004C000000}"/>
    <cellStyle name="Calculation 2 2" xfId="255" xr:uid="{00000000-0005-0000-0000-00004D000000}"/>
    <cellStyle name="Calculation 2 2 2" xfId="256" xr:uid="{00000000-0005-0000-0000-00004E000000}"/>
    <cellStyle name="Calculation 2 3" xfId="257" xr:uid="{00000000-0005-0000-0000-00004F000000}"/>
    <cellStyle name="Calculation 2_בחירה מרשימה" xfId="258" xr:uid="{00000000-0005-0000-0000-000050000000}"/>
    <cellStyle name="Calculation 3" xfId="121" xr:uid="{00000000-0005-0000-0000-000051000000}"/>
    <cellStyle name="Calculation 3 2" xfId="259" xr:uid="{00000000-0005-0000-0000-000052000000}"/>
    <cellStyle name="Calculation 3 2 2" xfId="260" xr:uid="{00000000-0005-0000-0000-000053000000}"/>
    <cellStyle name="Calculation 3 3" xfId="261" xr:uid="{00000000-0005-0000-0000-000054000000}"/>
    <cellStyle name="Calculation 3_בחירה מרשימה" xfId="262" xr:uid="{00000000-0005-0000-0000-000055000000}"/>
    <cellStyle name="Calculation 4" xfId="263" xr:uid="{00000000-0005-0000-0000-000056000000}"/>
    <cellStyle name="Calculation_בחירה מרשימה" xfId="264" xr:uid="{00000000-0005-0000-0000-000057000000}"/>
    <cellStyle name="Check Cell" xfId="40" xr:uid="{00000000-0005-0000-0000-000058000000}"/>
    <cellStyle name="Check Cell 2" xfId="122" xr:uid="{00000000-0005-0000-0000-000059000000}"/>
    <cellStyle name="Check Cell 3" xfId="265" xr:uid="{00000000-0005-0000-0000-00005A000000}"/>
    <cellStyle name="Comma" xfId="599" builtinId="3"/>
    <cellStyle name="Comma 2" xfId="4" xr:uid="{00000000-0005-0000-0000-00005B000000}"/>
    <cellStyle name="Comma 2 2" xfId="41" xr:uid="{00000000-0005-0000-0000-00005C000000}"/>
    <cellStyle name="Comma 2 2 2" xfId="481" xr:uid="{00000000-0005-0000-0000-00005D000000}"/>
    <cellStyle name="Comma 2 3" xfId="9" xr:uid="{00000000-0005-0000-0000-00005E000000}"/>
    <cellStyle name="Comma 2 3 2" xfId="478" xr:uid="{00000000-0005-0000-0000-00005F000000}"/>
    <cellStyle name="Comma 2 4" xfId="123" xr:uid="{00000000-0005-0000-0000-000060000000}"/>
    <cellStyle name="Comma 2 4 2" xfId="496" xr:uid="{00000000-0005-0000-0000-000061000000}"/>
    <cellStyle name="Comma 2 5" xfId="477" xr:uid="{00000000-0005-0000-0000-000062000000}"/>
    <cellStyle name="Comma 3" xfId="13" xr:uid="{00000000-0005-0000-0000-000063000000}"/>
    <cellStyle name="Comma 3 2" xfId="124" xr:uid="{00000000-0005-0000-0000-000064000000}"/>
    <cellStyle name="Comma 3 2 2" xfId="497" xr:uid="{00000000-0005-0000-0000-000065000000}"/>
    <cellStyle name="Comma 3 3" xfId="480" xr:uid="{00000000-0005-0000-0000-000066000000}"/>
    <cellStyle name="Comma 4" xfId="42" xr:uid="{00000000-0005-0000-0000-000067000000}"/>
    <cellStyle name="Comma 4 2" xfId="482" xr:uid="{00000000-0005-0000-0000-000068000000}"/>
    <cellStyle name="Comma 5" xfId="600" xr:uid="{C4379AEE-2A3E-4C96-9CF0-0671C038552B}"/>
    <cellStyle name="Currency 2" xfId="125" xr:uid="{00000000-0005-0000-0000-000069000000}"/>
    <cellStyle name="Currency 2 2" xfId="498" xr:uid="{00000000-0005-0000-0000-00006A000000}"/>
    <cellStyle name="Currency 3" xfId="126" xr:uid="{00000000-0005-0000-0000-00006B000000}"/>
    <cellStyle name="Currency 3 2" xfId="499" xr:uid="{00000000-0005-0000-0000-00006C000000}"/>
    <cellStyle name="Explanatory Text" xfId="43" xr:uid="{00000000-0005-0000-0000-00006D000000}"/>
    <cellStyle name="Explanatory Text 2" xfId="127" xr:uid="{00000000-0005-0000-0000-00006E000000}"/>
    <cellStyle name="Explanatory Text 3" xfId="266" xr:uid="{00000000-0005-0000-0000-00006F000000}"/>
    <cellStyle name="Good" xfId="44" xr:uid="{00000000-0005-0000-0000-000070000000}"/>
    <cellStyle name="Good 2" xfId="128" xr:uid="{00000000-0005-0000-0000-000071000000}"/>
    <cellStyle name="Good 3" xfId="267" xr:uid="{00000000-0005-0000-0000-000072000000}"/>
    <cellStyle name="Heading 1" xfId="45" xr:uid="{00000000-0005-0000-0000-000073000000}"/>
    <cellStyle name="Heading 1 2" xfId="129" xr:uid="{00000000-0005-0000-0000-000074000000}"/>
    <cellStyle name="Heading 1 3" xfId="268" xr:uid="{00000000-0005-0000-0000-000075000000}"/>
    <cellStyle name="Heading 2" xfId="46" xr:uid="{00000000-0005-0000-0000-000076000000}"/>
    <cellStyle name="Heading 2 2" xfId="130" xr:uid="{00000000-0005-0000-0000-000077000000}"/>
    <cellStyle name="Heading 2 3" xfId="269" xr:uid="{00000000-0005-0000-0000-000078000000}"/>
    <cellStyle name="Heading 3" xfId="47" xr:uid="{00000000-0005-0000-0000-000079000000}"/>
    <cellStyle name="Heading 3 2" xfId="131" xr:uid="{00000000-0005-0000-0000-00007A000000}"/>
    <cellStyle name="Heading 3 3" xfId="270" xr:uid="{00000000-0005-0000-0000-00007B000000}"/>
    <cellStyle name="Heading 4" xfId="48" xr:uid="{00000000-0005-0000-0000-00007C000000}"/>
    <cellStyle name="Heading 4 2" xfId="132" xr:uid="{00000000-0005-0000-0000-00007D000000}"/>
    <cellStyle name="Heading 4 3" xfId="271" xr:uid="{00000000-0005-0000-0000-00007E000000}"/>
    <cellStyle name="Input" xfId="49" xr:uid="{00000000-0005-0000-0000-00007F000000}"/>
    <cellStyle name="Input 2" xfId="133" xr:uid="{00000000-0005-0000-0000-000080000000}"/>
    <cellStyle name="Input 2 2" xfId="272" xr:uid="{00000000-0005-0000-0000-000081000000}"/>
    <cellStyle name="Input 2 2 2" xfId="273" xr:uid="{00000000-0005-0000-0000-000082000000}"/>
    <cellStyle name="Input 2 3" xfId="274" xr:uid="{00000000-0005-0000-0000-000083000000}"/>
    <cellStyle name="Input 2_בחירה מרשימה" xfId="275" xr:uid="{00000000-0005-0000-0000-000084000000}"/>
    <cellStyle name="Input 3" xfId="134" xr:uid="{00000000-0005-0000-0000-000085000000}"/>
    <cellStyle name="Input 3 2" xfId="276" xr:uid="{00000000-0005-0000-0000-000086000000}"/>
    <cellStyle name="Input 3 2 2" xfId="277" xr:uid="{00000000-0005-0000-0000-000087000000}"/>
    <cellStyle name="Input 3 3" xfId="278" xr:uid="{00000000-0005-0000-0000-000088000000}"/>
    <cellStyle name="Input 3_בחירה מרשימה" xfId="279" xr:uid="{00000000-0005-0000-0000-000089000000}"/>
    <cellStyle name="Input 4" xfId="280" xr:uid="{00000000-0005-0000-0000-00008A000000}"/>
    <cellStyle name="Input_בחירה מרשימה" xfId="281" xr:uid="{00000000-0005-0000-0000-00008B000000}"/>
    <cellStyle name="Linked Cell" xfId="50" xr:uid="{00000000-0005-0000-0000-00008C000000}"/>
    <cellStyle name="Linked Cell 2" xfId="135" xr:uid="{00000000-0005-0000-0000-00008D000000}"/>
    <cellStyle name="Linked Cell 3" xfId="282" xr:uid="{00000000-0005-0000-0000-00008E000000}"/>
    <cellStyle name="Neutral" xfId="51" xr:uid="{00000000-0005-0000-0000-00008F000000}"/>
    <cellStyle name="Neutral 2" xfId="136" xr:uid="{00000000-0005-0000-0000-000090000000}"/>
    <cellStyle name="Neutral 3" xfId="283" xr:uid="{00000000-0005-0000-0000-000091000000}"/>
    <cellStyle name="Normal" xfId="0" builtinId="0"/>
    <cellStyle name="Normal 10" xfId="137" xr:uid="{00000000-0005-0000-0000-000093000000}"/>
    <cellStyle name="Normal 10 2" xfId="138" xr:uid="{00000000-0005-0000-0000-000094000000}"/>
    <cellStyle name="Normal 10 2 2" xfId="284" xr:uid="{00000000-0005-0000-0000-000095000000}"/>
    <cellStyle name="Normal 10 3" xfId="285" xr:uid="{00000000-0005-0000-0000-000096000000}"/>
    <cellStyle name="Normal 10_בחירה מרשימה" xfId="286" xr:uid="{00000000-0005-0000-0000-000097000000}"/>
    <cellStyle name="Normal 11" xfId="139" xr:uid="{00000000-0005-0000-0000-000098000000}"/>
    <cellStyle name="Normal 12" xfId="140" xr:uid="{00000000-0005-0000-0000-000099000000}"/>
    <cellStyle name="Normal 12 2" xfId="287" xr:uid="{00000000-0005-0000-0000-00009A000000}"/>
    <cellStyle name="Normal 13" xfId="141" xr:uid="{00000000-0005-0000-0000-00009B000000}"/>
    <cellStyle name="Normal 13 2" xfId="288" xr:uid="{00000000-0005-0000-0000-00009C000000}"/>
    <cellStyle name="Normal 14" xfId="142" xr:uid="{00000000-0005-0000-0000-00009D000000}"/>
    <cellStyle name="Normal 14 2" xfId="289" xr:uid="{00000000-0005-0000-0000-00009E000000}"/>
    <cellStyle name="Normal 15" xfId="143" xr:uid="{00000000-0005-0000-0000-00009F000000}"/>
    <cellStyle name="Normal 15 2" xfId="290" xr:uid="{00000000-0005-0000-0000-0000A0000000}"/>
    <cellStyle name="Normal 15 2 2" xfId="550" xr:uid="{00000000-0005-0000-0000-0000A1000000}"/>
    <cellStyle name="Normal 15 3" xfId="500" xr:uid="{00000000-0005-0000-0000-0000A2000000}"/>
    <cellStyle name="Normal 16" xfId="144" xr:uid="{00000000-0005-0000-0000-0000A3000000}"/>
    <cellStyle name="Normal 16 2" xfId="291" xr:uid="{00000000-0005-0000-0000-0000A4000000}"/>
    <cellStyle name="Normal 17" xfId="292" xr:uid="{00000000-0005-0000-0000-0000A5000000}"/>
    <cellStyle name="Normal 18" xfId="602" xr:uid="{0D454F97-F474-4662-A3FB-818DA4FBAE2F}"/>
    <cellStyle name="Normal 2" xfId="2" xr:uid="{00000000-0005-0000-0000-0000A6000000}"/>
    <cellStyle name="Normal 2 2" xfId="6" xr:uid="{00000000-0005-0000-0000-0000A7000000}"/>
    <cellStyle name="Normal 2 2 2" xfId="145" xr:uid="{00000000-0005-0000-0000-0000A8000000}"/>
    <cellStyle name="Normal 2 2 3" xfId="293" xr:uid="{00000000-0005-0000-0000-0000A9000000}"/>
    <cellStyle name="Normal 2 2_בחירה מרשימה" xfId="294" xr:uid="{00000000-0005-0000-0000-0000AA000000}"/>
    <cellStyle name="Normal 2 3" xfId="146" xr:uid="{00000000-0005-0000-0000-0000AB000000}"/>
    <cellStyle name="Normal 2 4" xfId="295" xr:uid="{00000000-0005-0000-0000-0000AC000000}"/>
    <cellStyle name="Normal 2 5" xfId="147" xr:uid="{00000000-0005-0000-0000-0000AD000000}"/>
    <cellStyle name="Normal 2 5 2" xfId="296" xr:uid="{00000000-0005-0000-0000-0000AE000000}"/>
    <cellStyle name="Normal 2_בחירה מרשימה" xfId="297" xr:uid="{00000000-0005-0000-0000-0000AF000000}"/>
    <cellStyle name="Normal 23" xfId="603" xr:uid="{3D8011B5-3429-4DA4-87C5-792017CCDB79}"/>
    <cellStyle name="Normal 3" xfId="52" xr:uid="{00000000-0005-0000-0000-0000B0000000}"/>
    <cellStyle name="Normal 3 2" xfId="53" xr:uid="{00000000-0005-0000-0000-0000B1000000}"/>
    <cellStyle name="Normal 3 2 10" xfId="601" xr:uid="{691B60D3-80B5-4D52-8ABC-C8E5CF4F6678}"/>
    <cellStyle name="Normal 3 2 2" xfId="54" xr:uid="{00000000-0005-0000-0000-0000B2000000}"/>
    <cellStyle name="Normal 3 2 2 2" xfId="7" xr:uid="{00000000-0005-0000-0000-0000B3000000}"/>
    <cellStyle name="Normal 3 2 2 2 2" xfId="148" xr:uid="{00000000-0005-0000-0000-0000B4000000}"/>
    <cellStyle name="Normal 3 2 2 2 3" xfId="298" xr:uid="{00000000-0005-0000-0000-0000B5000000}"/>
    <cellStyle name="Normal 3 2 2 2_בחירה מרשימה" xfId="299" xr:uid="{00000000-0005-0000-0000-0000B6000000}"/>
    <cellStyle name="Normal 3 2 2 3" xfId="149" xr:uid="{00000000-0005-0000-0000-0000B7000000}"/>
    <cellStyle name="Normal 3 2 2 3 2" xfId="300" xr:uid="{00000000-0005-0000-0000-0000B8000000}"/>
    <cellStyle name="Normal 3 2 2 4" xfId="301" xr:uid="{00000000-0005-0000-0000-0000B9000000}"/>
    <cellStyle name="Normal 3 2 2 4 2" xfId="302" xr:uid="{00000000-0005-0000-0000-0000BA000000}"/>
    <cellStyle name="Normal 3 2 2 5" xfId="303" xr:uid="{00000000-0005-0000-0000-0000BB000000}"/>
    <cellStyle name="Normal 3 2 2_בחירה מרשימה" xfId="304" xr:uid="{00000000-0005-0000-0000-0000BC000000}"/>
    <cellStyle name="Normal 3 2 3" xfId="55" xr:uid="{00000000-0005-0000-0000-0000BD000000}"/>
    <cellStyle name="Normal 3 2 3 2" xfId="150" xr:uid="{00000000-0005-0000-0000-0000BE000000}"/>
    <cellStyle name="Normal 3 2 3 3" xfId="305" xr:uid="{00000000-0005-0000-0000-0000BF000000}"/>
    <cellStyle name="Normal 3 2 3_בחירה מרשימה" xfId="306" xr:uid="{00000000-0005-0000-0000-0000C0000000}"/>
    <cellStyle name="Normal 3 2 4" xfId="151" xr:uid="{00000000-0005-0000-0000-0000C1000000}"/>
    <cellStyle name="Normal 3 2 5" xfId="307" xr:uid="{00000000-0005-0000-0000-0000C2000000}"/>
    <cellStyle name="Normal 3 2_בחירה מרשימה" xfId="308" xr:uid="{00000000-0005-0000-0000-0000C3000000}"/>
    <cellStyle name="Normal 3 3" xfId="56" xr:uid="{00000000-0005-0000-0000-0000C4000000}"/>
    <cellStyle name="Normal 3 3 2" xfId="152" xr:uid="{00000000-0005-0000-0000-0000C5000000}"/>
    <cellStyle name="Normal 3 3 2 2" xfId="153" xr:uid="{00000000-0005-0000-0000-0000C6000000}"/>
    <cellStyle name="Normal 3 3 2 2 2" xfId="309" xr:uid="{00000000-0005-0000-0000-0000C7000000}"/>
    <cellStyle name="Normal 3 3 2 2 2 2" xfId="551" xr:uid="{00000000-0005-0000-0000-0000C8000000}"/>
    <cellStyle name="Normal 3 3 2 2 3" xfId="502" xr:uid="{00000000-0005-0000-0000-0000C9000000}"/>
    <cellStyle name="Normal 3 3 2 3" xfId="310" xr:uid="{00000000-0005-0000-0000-0000CA000000}"/>
    <cellStyle name="Normal 3 3 2 3 2" xfId="552" xr:uid="{00000000-0005-0000-0000-0000CB000000}"/>
    <cellStyle name="Normal 3 3 2 4" xfId="501" xr:uid="{00000000-0005-0000-0000-0000CC000000}"/>
    <cellStyle name="Normal 3 3 2_בחירה מרשימה" xfId="311" xr:uid="{00000000-0005-0000-0000-0000CD000000}"/>
    <cellStyle name="Normal 3 3 3" xfId="154" xr:uid="{00000000-0005-0000-0000-0000CE000000}"/>
    <cellStyle name="Normal 3 3 3 2" xfId="312" xr:uid="{00000000-0005-0000-0000-0000CF000000}"/>
    <cellStyle name="Normal 3 3 3 2 2" xfId="553" xr:uid="{00000000-0005-0000-0000-0000D0000000}"/>
    <cellStyle name="Normal 3 3 3 3" xfId="503" xr:uid="{00000000-0005-0000-0000-0000D1000000}"/>
    <cellStyle name="Normal 3 3 4" xfId="313" xr:uid="{00000000-0005-0000-0000-0000D2000000}"/>
    <cellStyle name="Normal 3 3 4 2" xfId="554" xr:uid="{00000000-0005-0000-0000-0000D3000000}"/>
    <cellStyle name="Normal 3 3 5" xfId="484" xr:uid="{00000000-0005-0000-0000-0000D4000000}"/>
    <cellStyle name="Normal 3 3_בחירה מרשימה" xfId="314" xr:uid="{00000000-0005-0000-0000-0000D5000000}"/>
    <cellStyle name="Normal 3 4" xfId="155" xr:uid="{00000000-0005-0000-0000-0000D6000000}"/>
    <cellStyle name="Normal 3 5" xfId="315" xr:uid="{00000000-0005-0000-0000-0000D7000000}"/>
    <cellStyle name="Normal 3 6" xfId="483" xr:uid="{00000000-0005-0000-0000-0000D8000000}"/>
    <cellStyle name="Normal 3_בחירה מרשימה" xfId="316" xr:uid="{00000000-0005-0000-0000-0000D9000000}"/>
    <cellStyle name="Normal 4" xfId="57" xr:uid="{00000000-0005-0000-0000-0000DA000000}"/>
    <cellStyle name="Normal 4 2" xfId="58" xr:uid="{00000000-0005-0000-0000-0000DB000000}"/>
    <cellStyle name="Normal 4 2 2" xfId="59" xr:uid="{00000000-0005-0000-0000-0000DC000000}"/>
    <cellStyle name="Normal 4 2 2 2" xfId="60" xr:uid="{00000000-0005-0000-0000-0000DD000000}"/>
    <cellStyle name="Normal 4 2 2 2 2" xfId="156" xr:uid="{00000000-0005-0000-0000-0000DE000000}"/>
    <cellStyle name="Normal 4 2 2 2 2 2" xfId="157" xr:uid="{00000000-0005-0000-0000-0000DF000000}"/>
    <cellStyle name="Normal 4 2 2 2 2 2 2" xfId="317" xr:uid="{00000000-0005-0000-0000-0000E0000000}"/>
    <cellStyle name="Normal 4 2 2 2 2 2 2 2" xfId="555" xr:uid="{00000000-0005-0000-0000-0000E1000000}"/>
    <cellStyle name="Normal 4 2 2 2 2 2 3" xfId="505" xr:uid="{00000000-0005-0000-0000-0000E2000000}"/>
    <cellStyle name="Normal 4 2 2 2 2 3" xfId="318" xr:uid="{00000000-0005-0000-0000-0000E3000000}"/>
    <cellStyle name="Normal 4 2 2 2 2 3 2" xfId="556" xr:uid="{00000000-0005-0000-0000-0000E4000000}"/>
    <cellStyle name="Normal 4 2 2 2 2 4" xfId="504" xr:uid="{00000000-0005-0000-0000-0000E5000000}"/>
    <cellStyle name="Normal 4 2 2 2 2_בחירה מרשימה" xfId="319" xr:uid="{00000000-0005-0000-0000-0000E6000000}"/>
    <cellStyle name="Normal 4 2 2 2 3" xfId="158" xr:uid="{00000000-0005-0000-0000-0000E7000000}"/>
    <cellStyle name="Normal 4 2 2 2 3 2" xfId="320" xr:uid="{00000000-0005-0000-0000-0000E8000000}"/>
    <cellStyle name="Normal 4 2 2 2 3 2 2" xfId="557" xr:uid="{00000000-0005-0000-0000-0000E9000000}"/>
    <cellStyle name="Normal 4 2 2 2 3 3" xfId="506" xr:uid="{00000000-0005-0000-0000-0000EA000000}"/>
    <cellStyle name="Normal 4 2 2 2 4" xfId="321" xr:uid="{00000000-0005-0000-0000-0000EB000000}"/>
    <cellStyle name="Normal 4 2 2 2 4 2" xfId="558" xr:uid="{00000000-0005-0000-0000-0000EC000000}"/>
    <cellStyle name="Normal 4 2 2 2 5" xfId="488" xr:uid="{00000000-0005-0000-0000-0000ED000000}"/>
    <cellStyle name="Normal 4 2 2 2_בחירה מרשימה" xfId="322" xr:uid="{00000000-0005-0000-0000-0000EE000000}"/>
    <cellStyle name="Normal 4 2 2 3" xfId="159" xr:uid="{00000000-0005-0000-0000-0000EF000000}"/>
    <cellStyle name="Normal 4 2 2 3 2" xfId="160" xr:uid="{00000000-0005-0000-0000-0000F0000000}"/>
    <cellStyle name="Normal 4 2 2 3 2 2" xfId="323" xr:uid="{00000000-0005-0000-0000-0000F1000000}"/>
    <cellStyle name="Normal 4 2 2 3 2 2 2" xfId="559" xr:uid="{00000000-0005-0000-0000-0000F2000000}"/>
    <cellStyle name="Normal 4 2 2 3 2 3" xfId="508" xr:uid="{00000000-0005-0000-0000-0000F3000000}"/>
    <cellStyle name="Normal 4 2 2 3 3" xfId="324" xr:uid="{00000000-0005-0000-0000-0000F4000000}"/>
    <cellStyle name="Normal 4 2 2 3 3 2" xfId="560" xr:uid="{00000000-0005-0000-0000-0000F5000000}"/>
    <cellStyle name="Normal 4 2 2 3 4" xfId="507" xr:uid="{00000000-0005-0000-0000-0000F6000000}"/>
    <cellStyle name="Normal 4 2 2 3_בחירה מרשימה" xfId="325" xr:uid="{00000000-0005-0000-0000-0000F7000000}"/>
    <cellStyle name="Normal 4 2 2 4" xfId="161" xr:uid="{00000000-0005-0000-0000-0000F8000000}"/>
    <cellStyle name="Normal 4 2 2 4 2" xfId="326" xr:uid="{00000000-0005-0000-0000-0000F9000000}"/>
    <cellStyle name="Normal 4 2 2 4 2 2" xfId="561" xr:uid="{00000000-0005-0000-0000-0000FA000000}"/>
    <cellStyle name="Normal 4 2 2 4 3" xfId="509" xr:uid="{00000000-0005-0000-0000-0000FB000000}"/>
    <cellStyle name="Normal 4 2 2 5" xfId="327" xr:uid="{00000000-0005-0000-0000-0000FC000000}"/>
    <cellStyle name="Normal 4 2 2 5 2" xfId="562" xr:uid="{00000000-0005-0000-0000-0000FD000000}"/>
    <cellStyle name="Normal 4 2 2 6" xfId="487" xr:uid="{00000000-0005-0000-0000-0000FE000000}"/>
    <cellStyle name="Normal 4 2 2_בחירה מרשימה" xfId="328" xr:uid="{00000000-0005-0000-0000-0000FF000000}"/>
    <cellStyle name="Normal 4 2 3" xfId="61" xr:uid="{00000000-0005-0000-0000-000000010000}"/>
    <cellStyle name="Normal 4 2 3 2" xfId="162" xr:uid="{00000000-0005-0000-0000-000001010000}"/>
    <cellStyle name="Normal 4 2 3 2 2" xfId="163" xr:uid="{00000000-0005-0000-0000-000002010000}"/>
    <cellStyle name="Normal 4 2 3 2 2 2" xfId="329" xr:uid="{00000000-0005-0000-0000-000003010000}"/>
    <cellStyle name="Normal 4 2 3 2 2 2 2" xfId="563" xr:uid="{00000000-0005-0000-0000-000004010000}"/>
    <cellStyle name="Normal 4 2 3 2 2 3" xfId="511" xr:uid="{00000000-0005-0000-0000-000005010000}"/>
    <cellStyle name="Normal 4 2 3 2 3" xfId="330" xr:uid="{00000000-0005-0000-0000-000006010000}"/>
    <cellStyle name="Normal 4 2 3 2 3 2" xfId="564" xr:uid="{00000000-0005-0000-0000-000007010000}"/>
    <cellStyle name="Normal 4 2 3 2 4" xfId="510" xr:uid="{00000000-0005-0000-0000-000008010000}"/>
    <cellStyle name="Normal 4 2 3 2_בחירה מרשימה" xfId="331" xr:uid="{00000000-0005-0000-0000-000009010000}"/>
    <cellStyle name="Normal 4 2 3 3" xfId="164" xr:uid="{00000000-0005-0000-0000-00000A010000}"/>
    <cellStyle name="Normal 4 2 3 3 2" xfId="332" xr:uid="{00000000-0005-0000-0000-00000B010000}"/>
    <cellStyle name="Normal 4 2 3 3 2 2" xfId="565" xr:uid="{00000000-0005-0000-0000-00000C010000}"/>
    <cellStyle name="Normal 4 2 3 3 3" xfId="512" xr:uid="{00000000-0005-0000-0000-00000D010000}"/>
    <cellStyle name="Normal 4 2 3 4" xfId="333" xr:uid="{00000000-0005-0000-0000-00000E010000}"/>
    <cellStyle name="Normal 4 2 3 4 2" xfId="566" xr:uid="{00000000-0005-0000-0000-00000F010000}"/>
    <cellStyle name="Normal 4 2 3 5" xfId="489" xr:uid="{00000000-0005-0000-0000-000010010000}"/>
    <cellStyle name="Normal 4 2 3_בחירה מרשימה" xfId="334" xr:uid="{00000000-0005-0000-0000-000011010000}"/>
    <cellStyle name="Normal 4 2 4" xfId="165" xr:uid="{00000000-0005-0000-0000-000012010000}"/>
    <cellStyle name="Normal 4 2 4 2" xfId="166" xr:uid="{00000000-0005-0000-0000-000013010000}"/>
    <cellStyle name="Normal 4 2 4 2 2" xfId="335" xr:uid="{00000000-0005-0000-0000-000014010000}"/>
    <cellStyle name="Normal 4 2 4 2 2 2" xfId="567" xr:uid="{00000000-0005-0000-0000-000015010000}"/>
    <cellStyle name="Normal 4 2 4 2 3" xfId="514" xr:uid="{00000000-0005-0000-0000-000016010000}"/>
    <cellStyle name="Normal 4 2 4 3" xfId="336" xr:uid="{00000000-0005-0000-0000-000017010000}"/>
    <cellStyle name="Normal 4 2 4 3 2" xfId="568" xr:uid="{00000000-0005-0000-0000-000018010000}"/>
    <cellStyle name="Normal 4 2 4 4" xfId="513" xr:uid="{00000000-0005-0000-0000-000019010000}"/>
    <cellStyle name="Normal 4 2 4_בחירה מרשימה" xfId="337" xr:uid="{00000000-0005-0000-0000-00001A010000}"/>
    <cellStyle name="Normal 4 2 5" xfId="167" xr:uid="{00000000-0005-0000-0000-00001B010000}"/>
    <cellStyle name="Normal 4 2 5 2" xfId="338" xr:uid="{00000000-0005-0000-0000-00001C010000}"/>
    <cellStyle name="Normal 4 2 5 2 2" xfId="569" xr:uid="{00000000-0005-0000-0000-00001D010000}"/>
    <cellStyle name="Normal 4 2 5 3" xfId="515" xr:uid="{00000000-0005-0000-0000-00001E010000}"/>
    <cellStyle name="Normal 4 2 6" xfId="339" xr:uid="{00000000-0005-0000-0000-00001F010000}"/>
    <cellStyle name="Normal 4 2 6 2" xfId="570" xr:uid="{00000000-0005-0000-0000-000020010000}"/>
    <cellStyle name="Normal 4 2 7" xfId="486" xr:uid="{00000000-0005-0000-0000-000021010000}"/>
    <cellStyle name="Normal 4 2_בחירה מרשימה" xfId="340" xr:uid="{00000000-0005-0000-0000-000022010000}"/>
    <cellStyle name="Normal 4 3" xfId="62" xr:uid="{00000000-0005-0000-0000-000023010000}"/>
    <cellStyle name="Normal 4 3 2" xfId="63" xr:uid="{00000000-0005-0000-0000-000024010000}"/>
    <cellStyle name="Normal 4 3 2 2" xfId="168" xr:uid="{00000000-0005-0000-0000-000025010000}"/>
    <cellStyle name="Normal 4 3 2 3" xfId="341" xr:uid="{00000000-0005-0000-0000-000026010000}"/>
    <cellStyle name="Normal 4 3 2_בחירה מרשימה" xfId="342" xr:uid="{00000000-0005-0000-0000-000027010000}"/>
    <cellStyle name="Normal 4 3 3" xfId="169" xr:uid="{00000000-0005-0000-0000-000028010000}"/>
    <cellStyle name="Normal 4 3 4" xfId="343" xr:uid="{00000000-0005-0000-0000-000029010000}"/>
    <cellStyle name="Normal 4 3_בחירה מרשימה" xfId="344" xr:uid="{00000000-0005-0000-0000-00002A010000}"/>
    <cellStyle name="Normal 4 4" xfId="64" xr:uid="{00000000-0005-0000-0000-00002B010000}"/>
    <cellStyle name="Normal 4 4 2" xfId="65" xr:uid="{00000000-0005-0000-0000-00002C010000}"/>
    <cellStyle name="Normal 4 4 2 2" xfId="170" xr:uid="{00000000-0005-0000-0000-00002D010000}"/>
    <cellStyle name="Normal 4 4 2 2 2" xfId="171" xr:uid="{00000000-0005-0000-0000-00002E010000}"/>
    <cellStyle name="Normal 4 4 2 2 2 2" xfId="345" xr:uid="{00000000-0005-0000-0000-00002F010000}"/>
    <cellStyle name="Normal 4 4 2 2 2 2 2" xfId="571" xr:uid="{00000000-0005-0000-0000-000030010000}"/>
    <cellStyle name="Normal 4 4 2 2 2 3" xfId="517" xr:uid="{00000000-0005-0000-0000-000031010000}"/>
    <cellStyle name="Normal 4 4 2 2 3" xfId="346" xr:uid="{00000000-0005-0000-0000-000032010000}"/>
    <cellStyle name="Normal 4 4 2 2 3 2" xfId="572" xr:uid="{00000000-0005-0000-0000-000033010000}"/>
    <cellStyle name="Normal 4 4 2 2 4" xfId="516" xr:uid="{00000000-0005-0000-0000-000034010000}"/>
    <cellStyle name="Normal 4 4 2 2_בחירה מרשימה" xfId="347" xr:uid="{00000000-0005-0000-0000-000035010000}"/>
    <cellStyle name="Normal 4 4 2 3" xfId="172" xr:uid="{00000000-0005-0000-0000-000036010000}"/>
    <cellStyle name="Normal 4 4 2 3 2" xfId="348" xr:uid="{00000000-0005-0000-0000-000037010000}"/>
    <cellStyle name="Normal 4 4 2 3 2 2" xfId="573" xr:uid="{00000000-0005-0000-0000-000038010000}"/>
    <cellStyle name="Normal 4 4 2 3 3" xfId="518" xr:uid="{00000000-0005-0000-0000-000039010000}"/>
    <cellStyle name="Normal 4 4 2 4" xfId="349" xr:uid="{00000000-0005-0000-0000-00003A010000}"/>
    <cellStyle name="Normal 4 4 2 4 2" xfId="574" xr:uid="{00000000-0005-0000-0000-00003B010000}"/>
    <cellStyle name="Normal 4 4 2 5" xfId="491" xr:uid="{00000000-0005-0000-0000-00003C010000}"/>
    <cellStyle name="Normal 4 4 2_בחירה מרשימה" xfId="350" xr:uid="{00000000-0005-0000-0000-00003D010000}"/>
    <cellStyle name="Normal 4 4 3" xfId="173" xr:uid="{00000000-0005-0000-0000-00003E010000}"/>
    <cellStyle name="Normal 4 4 3 2" xfId="174" xr:uid="{00000000-0005-0000-0000-00003F010000}"/>
    <cellStyle name="Normal 4 4 3 2 2" xfId="351" xr:uid="{00000000-0005-0000-0000-000040010000}"/>
    <cellStyle name="Normal 4 4 3 2 2 2" xfId="575" xr:uid="{00000000-0005-0000-0000-000041010000}"/>
    <cellStyle name="Normal 4 4 3 2 3" xfId="520" xr:uid="{00000000-0005-0000-0000-000042010000}"/>
    <cellStyle name="Normal 4 4 3 3" xfId="352" xr:uid="{00000000-0005-0000-0000-000043010000}"/>
    <cellStyle name="Normal 4 4 3 3 2" xfId="576" xr:uid="{00000000-0005-0000-0000-000044010000}"/>
    <cellStyle name="Normal 4 4 3 4" xfId="519" xr:uid="{00000000-0005-0000-0000-000045010000}"/>
    <cellStyle name="Normal 4 4 3_בחירה מרשימה" xfId="353" xr:uid="{00000000-0005-0000-0000-000046010000}"/>
    <cellStyle name="Normal 4 4 4" xfId="175" xr:uid="{00000000-0005-0000-0000-000047010000}"/>
    <cellStyle name="Normal 4 4 4 2" xfId="354" xr:uid="{00000000-0005-0000-0000-000048010000}"/>
    <cellStyle name="Normal 4 4 4 2 2" xfId="577" xr:uid="{00000000-0005-0000-0000-000049010000}"/>
    <cellStyle name="Normal 4 4 4 3" xfId="521" xr:uid="{00000000-0005-0000-0000-00004A010000}"/>
    <cellStyle name="Normal 4 4 5" xfId="355" xr:uid="{00000000-0005-0000-0000-00004B010000}"/>
    <cellStyle name="Normal 4 4 5 2" xfId="578" xr:uid="{00000000-0005-0000-0000-00004C010000}"/>
    <cellStyle name="Normal 4 4 6" xfId="490" xr:uid="{00000000-0005-0000-0000-00004D010000}"/>
    <cellStyle name="Normal 4 4_בחירה מרשימה" xfId="356" xr:uid="{00000000-0005-0000-0000-00004E010000}"/>
    <cellStyle name="Normal 4 5" xfId="66" xr:uid="{00000000-0005-0000-0000-00004F010000}"/>
    <cellStyle name="Normal 4 5 2" xfId="176" xr:uid="{00000000-0005-0000-0000-000050010000}"/>
    <cellStyle name="Normal 4 5 2 2" xfId="177" xr:uid="{00000000-0005-0000-0000-000051010000}"/>
    <cellStyle name="Normal 4 5 2 2 2" xfId="357" xr:uid="{00000000-0005-0000-0000-000052010000}"/>
    <cellStyle name="Normal 4 5 2 2 2 2" xfId="579" xr:uid="{00000000-0005-0000-0000-000053010000}"/>
    <cellStyle name="Normal 4 5 2 2 3" xfId="523" xr:uid="{00000000-0005-0000-0000-000054010000}"/>
    <cellStyle name="Normal 4 5 2 3" xfId="358" xr:uid="{00000000-0005-0000-0000-000055010000}"/>
    <cellStyle name="Normal 4 5 2 3 2" xfId="580" xr:uid="{00000000-0005-0000-0000-000056010000}"/>
    <cellStyle name="Normal 4 5 2 4" xfId="522" xr:uid="{00000000-0005-0000-0000-000057010000}"/>
    <cellStyle name="Normal 4 5 2_בחירה מרשימה" xfId="359" xr:uid="{00000000-0005-0000-0000-000058010000}"/>
    <cellStyle name="Normal 4 5 3" xfId="178" xr:uid="{00000000-0005-0000-0000-000059010000}"/>
    <cellStyle name="Normal 4 5 3 2" xfId="360" xr:uid="{00000000-0005-0000-0000-00005A010000}"/>
    <cellStyle name="Normal 4 5 3 2 2" xfId="581" xr:uid="{00000000-0005-0000-0000-00005B010000}"/>
    <cellStyle name="Normal 4 5 3 3" xfId="524" xr:uid="{00000000-0005-0000-0000-00005C010000}"/>
    <cellStyle name="Normal 4 5 4" xfId="361" xr:uid="{00000000-0005-0000-0000-00005D010000}"/>
    <cellStyle name="Normal 4 5 4 2" xfId="582" xr:uid="{00000000-0005-0000-0000-00005E010000}"/>
    <cellStyle name="Normal 4 5 5" xfId="492" xr:uid="{00000000-0005-0000-0000-00005F010000}"/>
    <cellStyle name="Normal 4 5_בחירה מרשימה" xfId="362" xr:uid="{00000000-0005-0000-0000-000060010000}"/>
    <cellStyle name="Normal 4 6" xfId="179" xr:uid="{00000000-0005-0000-0000-000061010000}"/>
    <cellStyle name="Normal 4 6 2" xfId="363" xr:uid="{00000000-0005-0000-0000-000062010000}"/>
    <cellStyle name="Normal 4 6 2 2" xfId="364" xr:uid="{00000000-0005-0000-0000-000063010000}"/>
    <cellStyle name="Normal 4 6 2 2 2" xfId="584" xr:uid="{00000000-0005-0000-0000-000064010000}"/>
    <cellStyle name="Normal 4 6 2 3" xfId="583" xr:uid="{00000000-0005-0000-0000-000065010000}"/>
    <cellStyle name="Normal 4 6_בחירה מרשימה" xfId="365" xr:uid="{00000000-0005-0000-0000-000066010000}"/>
    <cellStyle name="Normal 4 7" xfId="366" xr:uid="{00000000-0005-0000-0000-000067010000}"/>
    <cellStyle name="Normal 4 8" xfId="485" xr:uid="{00000000-0005-0000-0000-000068010000}"/>
    <cellStyle name="Normal 4_בחירה מרשימה" xfId="367" xr:uid="{00000000-0005-0000-0000-000069010000}"/>
    <cellStyle name="Normal 5" xfId="67" xr:uid="{00000000-0005-0000-0000-00006A010000}"/>
    <cellStyle name="Normal 5 2" xfId="68" xr:uid="{00000000-0005-0000-0000-00006B010000}"/>
    <cellStyle name="Normal 5 2 10" xfId="476" xr:uid="{00000000-0005-0000-0000-00006C010000}"/>
    <cellStyle name="Normal 5 2 2" xfId="5" xr:uid="{00000000-0005-0000-0000-00006D010000}"/>
    <cellStyle name="Normal 5 2 2 2" xfId="8" xr:uid="{00000000-0005-0000-0000-00006E010000}"/>
    <cellStyle name="Normal 5 2 2 2 2" xfId="93" xr:uid="{00000000-0005-0000-0000-00006F010000}"/>
    <cellStyle name="Normal 5 2 2 2 2 2" xfId="94" xr:uid="{00000000-0005-0000-0000-000070010000}"/>
    <cellStyle name="Normal 5 2 2 2 2 3" xfId="368" xr:uid="{00000000-0005-0000-0000-000071010000}"/>
    <cellStyle name="Normal 5 2 2 2 2_בחירה מרשימה" xfId="369" xr:uid="{00000000-0005-0000-0000-000072010000}"/>
    <cellStyle name="Normal 5 2 2 2 3" xfId="180" xr:uid="{00000000-0005-0000-0000-000073010000}"/>
    <cellStyle name="Normal 5 2 2 2 4" xfId="370" xr:uid="{00000000-0005-0000-0000-000074010000}"/>
    <cellStyle name="Normal 5 2 2 2_בחירה מרשימה" xfId="371" xr:uid="{00000000-0005-0000-0000-000075010000}"/>
    <cellStyle name="Normal 5 2 2 3" xfId="69" xr:uid="{00000000-0005-0000-0000-000076010000}"/>
    <cellStyle name="Normal 5 2 2 3 2" xfId="181" xr:uid="{00000000-0005-0000-0000-000077010000}"/>
    <cellStyle name="Normal 5 2 2 3 3" xfId="372" xr:uid="{00000000-0005-0000-0000-000078010000}"/>
    <cellStyle name="Normal 5 2 2 3_בחירה מרשימה" xfId="373" xr:uid="{00000000-0005-0000-0000-000079010000}"/>
    <cellStyle name="Normal 5 2 2 4" xfId="182" xr:uid="{00000000-0005-0000-0000-00007A010000}"/>
    <cellStyle name="Normal 5 2 2 5" xfId="374" xr:uid="{00000000-0005-0000-0000-00007B010000}"/>
    <cellStyle name="Normal 5 2 2_בחירה מרשימה" xfId="375" xr:uid="{00000000-0005-0000-0000-00007C010000}"/>
    <cellStyle name="Normal 5 2 3" xfId="183" xr:uid="{00000000-0005-0000-0000-00007D010000}"/>
    <cellStyle name="Normal 5 2 4" xfId="376" xr:uid="{00000000-0005-0000-0000-00007E010000}"/>
    <cellStyle name="Normal 5 2_בחירה מרשימה" xfId="377" xr:uid="{00000000-0005-0000-0000-00007F010000}"/>
    <cellStyle name="Normal 5 3" xfId="70" xr:uid="{00000000-0005-0000-0000-000080010000}"/>
    <cellStyle name="Normal 5 3 2" xfId="71" xr:uid="{00000000-0005-0000-0000-000081010000}"/>
    <cellStyle name="Normal 5 3 2 2" xfId="184" xr:uid="{00000000-0005-0000-0000-000082010000}"/>
    <cellStyle name="Normal 5 3 2 3" xfId="378" xr:uid="{00000000-0005-0000-0000-000083010000}"/>
    <cellStyle name="Normal 5 3 2_בחירה מרשימה" xfId="379" xr:uid="{00000000-0005-0000-0000-000084010000}"/>
    <cellStyle name="Normal 5 3 3" xfId="185" xr:uid="{00000000-0005-0000-0000-000085010000}"/>
    <cellStyle name="Normal 5 3 4" xfId="380" xr:uid="{00000000-0005-0000-0000-000086010000}"/>
    <cellStyle name="Normal 5 3_בחירה מרשימה" xfId="381" xr:uid="{00000000-0005-0000-0000-000087010000}"/>
    <cellStyle name="Normal 5 4" xfId="72" xr:uid="{00000000-0005-0000-0000-000088010000}"/>
    <cellStyle name="Normal 5 4 2" xfId="73" xr:uid="{00000000-0005-0000-0000-000089010000}"/>
    <cellStyle name="Normal 5 4 2 2" xfId="186" xr:uid="{00000000-0005-0000-0000-00008A010000}"/>
    <cellStyle name="Normal 5 4 2 3" xfId="382" xr:uid="{00000000-0005-0000-0000-00008B010000}"/>
    <cellStyle name="Normal 5 4 2_בחירה מרשימה" xfId="383" xr:uid="{00000000-0005-0000-0000-00008C010000}"/>
    <cellStyle name="Normal 5 4 3" xfId="187" xr:uid="{00000000-0005-0000-0000-00008D010000}"/>
    <cellStyle name="Normal 5 4 4" xfId="384" xr:uid="{00000000-0005-0000-0000-00008E010000}"/>
    <cellStyle name="Normal 5 4_בחירה מרשימה" xfId="385" xr:uid="{00000000-0005-0000-0000-00008F010000}"/>
    <cellStyle name="Normal 5 5" xfId="74" xr:uid="{00000000-0005-0000-0000-000090010000}"/>
    <cellStyle name="Normal 5 5 2" xfId="188" xr:uid="{00000000-0005-0000-0000-000091010000}"/>
    <cellStyle name="Normal 5 5 3" xfId="386" xr:uid="{00000000-0005-0000-0000-000092010000}"/>
    <cellStyle name="Normal 5 5_בחירה מרשימה" xfId="387" xr:uid="{00000000-0005-0000-0000-000093010000}"/>
    <cellStyle name="Normal 5 6" xfId="75" xr:uid="{00000000-0005-0000-0000-000094010000}"/>
    <cellStyle name="Normal 5 6 2" xfId="189" xr:uid="{00000000-0005-0000-0000-000095010000}"/>
    <cellStyle name="Normal 5 6 3" xfId="388" xr:uid="{00000000-0005-0000-0000-000096010000}"/>
    <cellStyle name="Normal 5 6_בחירה מרשימה" xfId="389" xr:uid="{00000000-0005-0000-0000-000097010000}"/>
    <cellStyle name="Normal 5 7" xfId="190" xr:uid="{00000000-0005-0000-0000-000098010000}"/>
    <cellStyle name="Normal 5 7 2" xfId="191" xr:uid="{00000000-0005-0000-0000-000099010000}"/>
    <cellStyle name="Normal 5 7 2 2" xfId="390" xr:uid="{00000000-0005-0000-0000-00009A010000}"/>
    <cellStyle name="Normal 5 7 2 2 2" xfId="585" xr:uid="{00000000-0005-0000-0000-00009B010000}"/>
    <cellStyle name="Normal 5 7 2 3" xfId="526" xr:uid="{00000000-0005-0000-0000-00009C010000}"/>
    <cellStyle name="Normal 5 7 3" xfId="391" xr:uid="{00000000-0005-0000-0000-00009D010000}"/>
    <cellStyle name="Normal 5 7 3 2" xfId="586" xr:uid="{00000000-0005-0000-0000-00009E010000}"/>
    <cellStyle name="Normal 5 7 4" xfId="525" xr:uid="{00000000-0005-0000-0000-00009F010000}"/>
    <cellStyle name="Normal 5 7_בחירה מרשימה" xfId="392" xr:uid="{00000000-0005-0000-0000-0000A0010000}"/>
    <cellStyle name="Normal 5 8" xfId="192" xr:uid="{00000000-0005-0000-0000-0000A1010000}"/>
    <cellStyle name="Normal 5 8 2" xfId="393" xr:uid="{00000000-0005-0000-0000-0000A2010000}"/>
    <cellStyle name="Normal 5 8 2 2" xfId="587" xr:uid="{00000000-0005-0000-0000-0000A3010000}"/>
    <cellStyle name="Normal 5 8 3" xfId="527" xr:uid="{00000000-0005-0000-0000-0000A4010000}"/>
    <cellStyle name="Normal 5 9" xfId="394" xr:uid="{00000000-0005-0000-0000-0000A5010000}"/>
    <cellStyle name="Normal 5 9 2" xfId="588" xr:uid="{00000000-0005-0000-0000-0000A6010000}"/>
    <cellStyle name="Normal 5_בחירה מרשימה" xfId="395" xr:uid="{00000000-0005-0000-0000-0000A7010000}"/>
    <cellStyle name="Normal 6" xfId="76" xr:uid="{00000000-0005-0000-0000-0000A8010000}"/>
    <cellStyle name="Normal 6 2" xfId="193" xr:uid="{00000000-0005-0000-0000-0000A9010000}"/>
    <cellStyle name="Normal 6 3" xfId="396" xr:uid="{00000000-0005-0000-0000-0000AA010000}"/>
    <cellStyle name="Normal 6_בחירה מרשימה" xfId="397" xr:uid="{00000000-0005-0000-0000-0000AB010000}"/>
    <cellStyle name="Normal 7" xfId="77" xr:uid="{00000000-0005-0000-0000-0000AC010000}"/>
    <cellStyle name="Normal 7 2" xfId="194" xr:uid="{00000000-0005-0000-0000-0000AD010000}"/>
    <cellStyle name="Normal 7 2 2" xfId="195" xr:uid="{00000000-0005-0000-0000-0000AE010000}"/>
    <cellStyle name="Normal 7 2 2 2" xfId="398" xr:uid="{00000000-0005-0000-0000-0000AF010000}"/>
    <cellStyle name="Normal 7 2 2 2 2" xfId="589" xr:uid="{00000000-0005-0000-0000-0000B0010000}"/>
    <cellStyle name="Normal 7 2 2 3" xfId="529" xr:uid="{00000000-0005-0000-0000-0000B1010000}"/>
    <cellStyle name="Normal 7 2 3" xfId="399" xr:uid="{00000000-0005-0000-0000-0000B2010000}"/>
    <cellStyle name="Normal 7 2 3 2" xfId="590" xr:uid="{00000000-0005-0000-0000-0000B3010000}"/>
    <cellStyle name="Normal 7 2 4" xfId="528" xr:uid="{00000000-0005-0000-0000-0000B4010000}"/>
    <cellStyle name="Normal 7 2_בחירה מרשימה" xfId="400" xr:uid="{00000000-0005-0000-0000-0000B5010000}"/>
    <cellStyle name="Normal 7 3" xfId="196" xr:uid="{00000000-0005-0000-0000-0000B6010000}"/>
    <cellStyle name="Normal 7 3 2" xfId="401" xr:uid="{00000000-0005-0000-0000-0000B7010000}"/>
    <cellStyle name="Normal 7 3 2 2" xfId="402" xr:uid="{00000000-0005-0000-0000-0000B8010000}"/>
    <cellStyle name="Normal 7 3 3" xfId="403" xr:uid="{00000000-0005-0000-0000-0000B9010000}"/>
    <cellStyle name="Normal 7 3 3 2" xfId="591" xr:uid="{00000000-0005-0000-0000-0000BA010000}"/>
    <cellStyle name="Normal 7 3 4" xfId="530" xr:uid="{00000000-0005-0000-0000-0000BB010000}"/>
    <cellStyle name="Normal 7 3_בחירה מרשימה" xfId="404" xr:uid="{00000000-0005-0000-0000-0000BC010000}"/>
    <cellStyle name="Normal 7 4" xfId="405" xr:uid="{00000000-0005-0000-0000-0000BD010000}"/>
    <cellStyle name="Normal 7 4 2" xfId="406" xr:uid="{00000000-0005-0000-0000-0000BE010000}"/>
    <cellStyle name="Normal 7 4 2 2" xfId="593" xr:uid="{00000000-0005-0000-0000-0000BF010000}"/>
    <cellStyle name="Normal 7 4 3" xfId="592" xr:uid="{00000000-0005-0000-0000-0000C0010000}"/>
    <cellStyle name="Normal 7 5" xfId="407" xr:uid="{00000000-0005-0000-0000-0000C1010000}"/>
    <cellStyle name="Normal 7 5 2" xfId="408" xr:uid="{00000000-0005-0000-0000-0000C2010000}"/>
    <cellStyle name="Normal 7 6" xfId="409" xr:uid="{00000000-0005-0000-0000-0000C3010000}"/>
    <cellStyle name="Normal 7 6 2" xfId="594" xr:uid="{00000000-0005-0000-0000-0000C4010000}"/>
    <cellStyle name="Normal 7_בחירה מרשימה" xfId="410" xr:uid="{00000000-0005-0000-0000-0000C5010000}"/>
    <cellStyle name="Normal 8" xfId="78" xr:uid="{00000000-0005-0000-0000-0000C6010000}"/>
    <cellStyle name="Normal 8 2" xfId="197" xr:uid="{00000000-0005-0000-0000-0000C7010000}"/>
    <cellStyle name="Normal 8 2 2" xfId="198" xr:uid="{00000000-0005-0000-0000-0000C8010000}"/>
    <cellStyle name="Normal 8 2 2 2" xfId="411" xr:uid="{00000000-0005-0000-0000-0000C9010000}"/>
    <cellStyle name="Normal 8 2 2 2 2" xfId="595" xr:uid="{00000000-0005-0000-0000-0000CA010000}"/>
    <cellStyle name="Normal 8 2 2 3" xfId="532" xr:uid="{00000000-0005-0000-0000-0000CB010000}"/>
    <cellStyle name="Normal 8 2 3" xfId="412" xr:uid="{00000000-0005-0000-0000-0000CC010000}"/>
    <cellStyle name="Normal 8 2 3 2" xfId="596" xr:uid="{00000000-0005-0000-0000-0000CD010000}"/>
    <cellStyle name="Normal 8 2 4" xfId="531" xr:uid="{00000000-0005-0000-0000-0000CE010000}"/>
    <cellStyle name="Normal 8 2_בחירה מרשימה" xfId="413" xr:uid="{00000000-0005-0000-0000-0000CF010000}"/>
    <cellStyle name="Normal 8 3" xfId="199" xr:uid="{00000000-0005-0000-0000-0000D0010000}"/>
    <cellStyle name="Normal 8 3 2" xfId="414" xr:uid="{00000000-0005-0000-0000-0000D1010000}"/>
    <cellStyle name="Normal 8 3 2 2" xfId="597" xr:uid="{00000000-0005-0000-0000-0000D2010000}"/>
    <cellStyle name="Normal 8 3 3" xfId="533" xr:uid="{00000000-0005-0000-0000-0000D3010000}"/>
    <cellStyle name="Normal 8 4" xfId="415" xr:uid="{00000000-0005-0000-0000-0000D4010000}"/>
    <cellStyle name="Normal 8 4 2" xfId="598" xr:uid="{00000000-0005-0000-0000-0000D5010000}"/>
    <cellStyle name="Normal 8 5" xfId="493" xr:uid="{00000000-0005-0000-0000-0000D6010000}"/>
    <cellStyle name="Normal 8_בחירה מרשימה" xfId="416" xr:uid="{00000000-0005-0000-0000-0000D7010000}"/>
    <cellStyle name="Normal 9" xfId="79" xr:uid="{00000000-0005-0000-0000-0000D8010000}"/>
    <cellStyle name="Normal 9 2" xfId="200" xr:uid="{00000000-0005-0000-0000-0000D9010000}"/>
    <cellStyle name="Normal 9 2 2" xfId="201" xr:uid="{00000000-0005-0000-0000-0000DA010000}"/>
    <cellStyle name="Normal 9 2 2 2" xfId="417" xr:uid="{00000000-0005-0000-0000-0000DB010000}"/>
    <cellStyle name="Normal 9 2 2 2 2" xfId="418" xr:uid="{00000000-0005-0000-0000-0000DC010000}"/>
    <cellStyle name="Normal 9 2 2 3" xfId="419" xr:uid="{00000000-0005-0000-0000-0000DD010000}"/>
    <cellStyle name="Normal 9 2 2_בחירה מרשימה" xfId="420" xr:uid="{00000000-0005-0000-0000-0000DE010000}"/>
    <cellStyle name="Normal 9 2 3" xfId="202" xr:uid="{00000000-0005-0000-0000-0000DF010000}"/>
    <cellStyle name="Normal 9 2 3 2" xfId="421" xr:uid="{00000000-0005-0000-0000-0000E0010000}"/>
    <cellStyle name="Normal 9 2 3 2 2" xfId="422" xr:uid="{00000000-0005-0000-0000-0000E1010000}"/>
    <cellStyle name="Normal 9 2 3 3" xfId="423" xr:uid="{00000000-0005-0000-0000-0000E2010000}"/>
    <cellStyle name="Normal 9 2 3_בחירה מרשימה" xfId="424" xr:uid="{00000000-0005-0000-0000-0000E3010000}"/>
    <cellStyle name="Normal 9 2 4" xfId="425" xr:uid="{00000000-0005-0000-0000-0000E4010000}"/>
    <cellStyle name="Normal 9 2 4 2" xfId="426" xr:uid="{00000000-0005-0000-0000-0000E5010000}"/>
    <cellStyle name="Normal 9 2 5" xfId="427" xr:uid="{00000000-0005-0000-0000-0000E6010000}"/>
    <cellStyle name="Normal 9 2_בחירה מרשימה" xfId="428" xr:uid="{00000000-0005-0000-0000-0000E7010000}"/>
    <cellStyle name="Normal 9 3" xfId="203" xr:uid="{00000000-0005-0000-0000-0000E8010000}"/>
    <cellStyle name="Normal 9 3 2" xfId="429" xr:uid="{00000000-0005-0000-0000-0000E9010000}"/>
    <cellStyle name="Normal 9 3 2 2" xfId="430" xr:uid="{00000000-0005-0000-0000-0000EA010000}"/>
    <cellStyle name="Normal 9 3 3" xfId="431" xr:uid="{00000000-0005-0000-0000-0000EB010000}"/>
    <cellStyle name="Normal 9 3_בחירה מרשימה" xfId="432" xr:uid="{00000000-0005-0000-0000-0000EC010000}"/>
    <cellStyle name="Normal 9 4" xfId="204" xr:uid="{00000000-0005-0000-0000-0000ED010000}"/>
    <cellStyle name="Normal 9 4 2" xfId="433" xr:uid="{00000000-0005-0000-0000-0000EE010000}"/>
    <cellStyle name="Normal 9 4 2 2" xfId="434" xr:uid="{00000000-0005-0000-0000-0000EF010000}"/>
    <cellStyle name="Normal 9 4 3" xfId="435" xr:uid="{00000000-0005-0000-0000-0000F0010000}"/>
    <cellStyle name="Normal 9 4_בחירה מרשימה" xfId="436" xr:uid="{00000000-0005-0000-0000-0000F1010000}"/>
    <cellStyle name="Normal 9 5" xfId="437" xr:uid="{00000000-0005-0000-0000-0000F2010000}"/>
    <cellStyle name="Normal 9 5 2" xfId="438" xr:uid="{00000000-0005-0000-0000-0000F3010000}"/>
    <cellStyle name="Normal 9 6" xfId="439" xr:uid="{00000000-0005-0000-0000-0000F4010000}"/>
    <cellStyle name="Normal 9_בחירה מרשימה" xfId="440" xr:uid="{00000000-0005-0000-0000-0000F5010000}"/>
    <cellStyle name="Note" xfId="80" xr:uid="{00000000-0005-0000-0000-0000F6010000}"/>
    <cellStyle name="Note 2" xfId="205" xr:uid="{00000000-0005-0000-0000-0000F7010000}"/>
    <cellStyle name="Note 2 2" xfId="441" xr:uid="{00000000-0005-0000-0000-0000F8010000}"/>
    <cellStyle name="Note 2 2 2" xfId="442" xr:uid="{00000000-0005-0000-0000-0000F9010000}"/>
    <cellStyle name="Note 2 3" xfId="443" xr:uid="{00000000-0005-0000-0000-0000FA010000}"/>
    <cellStyle name="Note 2_בחירה מרשימה" xfId="444" xr:uid="{00000000-0005-0000-0000-0000FB010000}"/>
    <cellStyle name="Note 3" xfId="206" xr:uid="{00000000-0005-0000-0000-0000FC010000}"/>
    <cellStyle name="Note 3 2" xfId="445" xr:uid="{00000000-0005-0000-0000-0000FD010000}"/>
    <cellStyle name="Note 3 2 2" xfId="446" xr:uid="{00000000-0005-0000-0000-0000FE010000}"/>
    <cellStyle name="Note 3 3" xfId="447" xr:uid="{00000000-0005-0000-0000-0000FF010000}"/>
    <cellStyle name="Note 3_בחירה מרשימה" xfId="448" xr:uid="{00000000-0005-0000-0000-000000020000}"/>
    <cellStyle name="Note 4" xfId="449" xr:uid="{00000000-0005-0000-0000-000001020000}"/>
    <cellStyle name="Note_בחירה מרשימה" xfId="450" xr:uid="{00000000-0005-0000-0000-000002020000}"/>
    <cellStyle name="Output" xfId="81" xr:uid="{00000000-0005-0000-0000-000003020000}"/>
    <cellStyle name="Output 2" xfId="207" xr:uid="{00000000-0005-0000-0000-000004020000}"/>
    <cellStyle name="Output 2 2" xfId="451" xr:uid="{00000000-0005-0000-0000-000005020000}"/>
    <cellStyle name="Output 2 2 2" xfId="452" xr:uid="{00000000-0005-0000-0000-000006020000}"/>
    <cellStyle name="Output 2 3" xfId="453" xr:uid="{00000000-0005-0000-0000-000007020000}"/>
    <cellStyle name="Output 2_בחירה מרשימה" xfId="454" xr:uid="{00000000-0005-0000-0000-000008020000}"/>
    <cellStyle name="Output 3" xfId="208" xr:uid="{00000000-0005-0000-0000-000009020000}"/>
    <cellStyle name="Output 3 2" xfId="455" xr:uid="{00000000-0005-0000-0000-00000A020000}"/>
    <cellStyle name="Output 3 2 2" xfId="456" xr:uid="{00000000-0005-0000-0000-00000B020000}"/>
    <cellStyle name="Output 3 3" xfId="457" xr:uid="{00000000-0005-0000-0000-00000C020000}"/>
    <cellStyle name="Output 3_בחירה מרשימה" xfId="458" xr:uid="{00000000-0005-0000-0000-00000D020000}"/>
    <cellStyle name="Output 4" xfId="459" xr:uid="{00000000-0005-0000-0000-00000E020000}"/>
    <cellStyle name="Output_בחירה מרשימה" xfId="460" xr:uid="{00000000-0005-0000-0000-00000F020000}"/>
    <cellStyle name="Percent" xfId="1" builtinId="5"/>
    <cellStyle name="Percent 2" xfId="3" xr:uid="{00000000-0005-0000-0000-000011020000}"/>
    <cellStyle name="Percent 2 2" xfId="10" xr:uid="{00000000-0005-0000-0000-000012020000}"/>
    <cellStyle name="Percent 2 3" xfId="82" xr:uid="{00000000-0005-0000-0000-000013020000}"/>
    <cellStyle name="Percent 2 3 2" xfId="11" xr:uid="{00000000-0005-0000-0000-000014020000}"/>
    <cellStyle name="Percent 3" xfId="12" xr:uid="{00000000-0005-0000-0000-000015020000}"/>
    <cellStyle name="Percent 3 2" xfId="83" xr:uid="{00000000-0005-0000-0000-000016020000}"/>
    <cellStyle name="Percent 3 3" xfId="479" xr:uid="{00000000-0005-0000-0000-000017020000}"/>
    <cellStyle name="Percent 4" xfId="84" xr:uid="{00000000-0005-0000-0000-000018020000}"/>
    <cellStyle name="Percent 4 2" xfId="85" xr:uid="{00000000-0005-0000-0000-000019020000}"/>
    <cellStyle name="Percent 4 2 2" xfId="86" xr:uid="{00000000-0005-0000-0000-00001A020000}"/>
    <cellStyle name="Percent 4 3" xfId="87" xr:uid="{00000000-0005-0000-0000-00001B020000}"/>
    <cellStyle name="Percent 4 4" xfId="209" xr:uid="{00000000-0005-0000-0000-00001C020000}"/>
    <cellStyle name="Percent 5" xfId="88" xr:uid="{00000000-0005-0000-0000-00001D020000}"/>
    <cellStyle name="Percent 5 2" xfId="210" xr:uid="{00000000-0005-0000-0000-00001E020000}"/>
    <cellStyle name="Percent 5 2 2" xfId="211" xr:uid="{00000000-0005-0000-0000-00001F020000}"/>
    <cellStyle name="Percent 5 2 2 2" xfId="535" xr:uid="{00000000-0005-0000-0000-000020020000}"/>
    <cellStyle name="Percent 5 2 3" xfId="534" xr:uid="{00000000-0005-0000-0000-000021020000}"/>
    <cellStyle name="Percent 5 3" xfId="212" xr:uid="{00000000-0005-0000-0000-000022020000}"/>
    <cellStyle name="Percent 5 3 2" xfId="536" xr:uid="{00000000-0005-0000-0000-000023020000}"/>
    <cellStyle name="Percent 5 4" xfId="461" xr:uid="{00000000-0005-0000-0000-000024020000}"/>
    <cellStyle name="Percent 5 5" xfId="494" xr:uid="{00000000-0005-0000-0000-000025020000}"/>
    <cellStyle name="Percent 6" xfId="89" xr:uid="{00000000-0005-0000-0000-000026020000}"/>
    <cellStyle name="Percent 6 2" xfId="213" xr:uid="{00000000-0005-0000-0000-000027020000}"/>
    <cellStyle name="Percent 6 2 2" xfId="214" xr:uid="{00000000-0005-0000-0000-000028020000}"/>
    <cellStyle name="Percent 6 2 2 2" xfId="538" xr:uid="{00000000-0005-0000-0000-000029020000}"/>
    <cellStyle name="Percent 6 2 3" xfId="537" xr:uid="{00000000-0005-0000-0000-00002A020000}"/>
    <cellStyle name="Percent 6 3" xfId="215" xr:uid="{00000000-0005-0000-0000-00002B020000}"/>
    <cellStyle name="Percent 6 3 2" xfId="539" xr:uid="{00000000-0005-0000-0000-00002C020000}"/>
    <cellStyle name="Percent 6 4" xfId="495" xr:uid="{00000000-0005-0000-0000-00002D020000}"/>
    <cellStyle name="Percent 7" xfId="216" xr:uid="{00000000-0005-0000-0000-00002E020000}"/>
    <cellStyle name="Percent 7 2" xfId="217" xr:uid="{00000000-0005-0000-0000-00002F020000}"/>
    <cellStyle name="Percent 7 2 2" xfId="218" xr:uid="{00000000-0005-0000-0000-000030020000}"/>
    <cellStyle name="Percent 7 2 2 2" xfId="542" xr:uid="{00000000-0005-0000-0000-000031020000}"/>
    <cellStyle name="Percent 7 2 3" xfId="541" xr:uid="{00000000-0005-0000-0000-000032020000}"/>
    <cellStyle name="Percent 7 3" xfId="219" xr:uid="{00000000-0005-0000-0000-000033020000}"/>
    <cellStyle name="Percent 7 3 2" xfId="543" xr:uid="{00000000-0005-0000-0000-000034020000}"/>
    <cellStyle name="Percent 7 4" xfId="540" xr:uid="{00000000-0005-0000-0000-000035020000}"/>
    <cellStyle name="Percent 8" xfId="220" xr:uid="{00000000-0005-0000-0000-000036020000}"/>
    <cellStyle name="Percent 8 2" xfId="221" xr:uid="{00000000-0005-0000-0000-000037020000}"/>
    <cellStyle name="Percent 8 2 2" xfId="222" xr:uid="{00000000-0005-0000-0000-000038020000}"/>
    <cellStyle name="Percent 8 2 2 2" xfId="546" xr:uid="{00000000-0005-0000-0000-000039020000}"/>
    <cellStyle name="Percent 8 2 3" xfId="545" xr:uid="{00000000-0005-0000-0000-00003A020000}"/>
    <cellStyle name="Percent 8 3" xfId="223" xr:uid="{00000000-0005-0000-0000-00003B020000}"/>
    <cellStyle name="Percent 8 3 2" xfId="547" xr:uid="{00000000-0005-0000-0000-00003C020000}"/>
    <cellStyle name="Percent 8 4" xfId="544" xr:uid="{00000000-0005-0000-0000-00003D020000}"/>
    <cellStyle name="Percent 9" xfId="224" xr:uid="{00000000-0005-0000-0000-00003E020000}"/>
    <cellStyle name="Percent 9 2" xfId="225" xr:uid="{00000000-0005-0000-0000-00003F020000}"/>
    <cellStyle name="Percent 9 2 2" xfId="549" xr:uid="{00000000-0005-0000-0000-000040020000}"/>
    <cellStyle name="Percent 9 3" xfId="548" xr:uid="{00000000-0005-0000-0000-000041020000}"/>
    <cellStyle name="Title" xfId="90" xr:uid="{00000000-0005-0000-0000-000042020000}"/>
    <cellStyle name="Title 2" xfId="226" xr:uid="{00000000-0005-0000-0000-000043020000}"/>
    <cellStyle name="Title 3" xfId="462" xr:uid="{00000000-0005-0000-0000-000044020000}"/>
    <cellStyle name="Total" xfId="91" xr:uid="{00000000-0005-0000-0000-000045020000}"/>
    <cellStyle name="Total 2" xfId="227" xr:uid="{00000000-0005-0000-0000-000046020000}"/>
    <cellStyle name="Total 2 2" xfId="463" xr:uid="{00000000-0005-0000-0000-000047020000}"/>
    <cellStyle name="Total 2 2 2" xfId="464" xr:uid="{00000000-0005-0000-0000-000048020000}"/>
    <cellStyle name="Total 2 3" xfId="465" xr:uid="{00000000-0005-0000-0000-000049020000}"/>
    <cellStyle name="Total 2_בחירה מרשימה" xfId="466" xr:uid="{00000000-0005-0000-0000-00004A020000}"/>
    <cellStyle name="Total 3" xfId="228" xr:uid="{00000000-0005-0000-0000-00004B020000}"/>
    <cellStyle name="Total 3 2" xfId="467" xr:uid="{00000000-0005-0000-0000-00004C020000}"/>
    <cellStyle name="Total 3 2 2" xfId="468" xr:uid="{00000000-0005-0000-0000-00004D020000}"/>
    <cellStyle name="Total 3 3" xfId="469" xr:uid="{00000000-0005-0000-0000-00004E020000}"/>
    <cellStyle name="Total 3_בחירה מרשימה" xfId="470" xr:uid="{00000000-0005-0000-0000-00004F020000}"/>
    <cellStyle name="Total 4" xfId="471" xr:uid="{00000000-0005-0000-0000-000050020000}"/>
    <cellStyle name="Total_בחירה מרשימה" xfId="472" xr:uid="{00000000-0005-0000-0000-000051020000}"/>
    <cellStyle name="Warning Text" xfId="92" xr:uid="{00000000-0005-0000-0000-000052020000}"/>
    <cellStyle name="Warning Text 2" xfId="229" xr:uid="{00000000-0005-0000-0000-000053020000}"/>
    <cellStyle name="Warning Text 2 2" xfId="473" xr:uid="{00000000-0005-0000-0000-000054020000}"/>
    <cellStyle name="Warning Text 2 2 2" xfId="474" xr:uid="{00000000-0005-0000-0000-000055020000}"/>
    <cellStyle name="Warning Text 3" xfId="475" xr:uid="{00000000-0005-0000-0000-000056020000}"/>
  </cellStyles>
  <dxfs count="1035">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fgColor auto="1"/>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fgColor auto="1"/>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ill>
        <patternFill patternType="solid">
          <bgColor theme="0"/>
        </patternFill>
      </fill>
    </dxf>
    <dxf>
      <fill>
        <patternFill>
          <fgColor auto="1"/>
          <bgColor rgb="FFFF000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ill>
        <patternFill patternType="solid">
          <bgColor theme="0"/>
        </patternFill>
      </fill>
    </dxf>
    <dxf>
      <fill>
        <patternFill>
          <fgColor auto="1"/>
          <bgColor rgb="FFFF0000"/>
        </patternFill>
      </fill>
    </dxf>
    <dxf>
      <fill>
        <patternFill patternType="solid">
          <bgColor theme="0"/>
        </patternFill>
      </fill>
    </dxf>
    <dxf>
      <fill>
        <patternFill>
          <bgColor rgb="FFFFFFCC"/>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fgColor auto="1"/>
          <bgColor rgb="FFFF0000"/>
        </patternFill>
      </fill>
    </dxf>
    <dxf>
      <fill>
        <patternFill patternType="solid">
          <bgColor theme="0"/>
        </patternFill>
      </fill>
    </dxf>
    <dxf>
      <fill>
        <patternFill>
          <bgColor rgb="FFFFFFCC"/>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ont>
        <color rgb="FF9C0006"/>
      </font>
      <fill>
        <patternFill>
          <bgColor rgb="FFFFC7CE"/>
        </patternFill>
      </fill>
    </dxf>
    <dxf>
      <font>
        <condense val="0"/>
        <extend val="0"/>
        <color indexed="10"/>
      </font>
    </dxf>
    <dxf>
      <font>
        <strike/>
        <condense val="0"/>
        <extend val="0"/>
      </font>
    </dxf>
    <dxf>
      <font>
        <strike/>
        <condense val="0"/>
        <extend val="0"/>
      </font>
    </dxf>
    <dxf>
      <font>
        <strike/>
        <condense val="0"/>
        <extend val="0"/>
      </font>
    </dxf>
    <dxf>
      <font>
        <color rgb="FFFF0000"/>
      </font>
    </dxf>
    <dxf>
      <font>
        <condense val="0"/>
        <extend val="0"/>
        <color indexed="12"/>
      </font>
    </dxf>
    <dxf>
      <font>
        <condense val="0"/>
        <extend val="0"/>
        <color indexed="10"/>
      </font>
    </dxf>
    <dxf>
      <fill>
        <patternFill>
          <bgColor rgb="FFFF0000"/>
        </patternFill>
      </fill>
    </dxf>
    <dxf>
      <fill>
        <patternFill>
          <bgColor rgb="FFFFFFCC"/>
        </patternFill>
      </fill>
    </dxf>
    <dxf>
      <fill>
        <patternFill patternType="solid">
          <bgColor theme="0"/>
        </patternFill>
      </fill>
    </dxf>
    <dxf>
      <fill>
        <patternFill>
          <bgColor rgb="FFFF0000"/>
        </patternFill>
      </fill>
    </dxf>
    <dxf>
      <font>
        <condense val="0"/>
        <extend val="0"/>
        <color indexed="10"/>
      </font>
    </dxf>
    <dxf>
      <font>
        <condense val="0"/>
        <extend val="0"/>
        <color indexed="10"/>
      </font>
    </dxf>
    <dxf>
      <font>
        <condense val="0"/>
        <extend val="0"/>
        <color indexed="10"/>
      </font>
    </dxf>
    <dxf>
      <font>
        <condense val="0"/>
        <extend val="0"/>
        <color indexed="10"/>
      </font>
    </dxf>
    <dxf>
      <font>
        <color theme="0"/>
      </font>
      <fill>
        <patternFill>
          <bgColor rgb="FFC00000"/>
        </patternFill>
      </fill>
    </dxf>
    <dxf>
      <font>
        <condense val="0"/>
        <extend val="0"/>
        <color indexed="10"/>
      </font>
    </dxf>
    <dxf>
      <font>
        <condense val="0"/>
        <extend val="0"/>
        <color indexed="1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dxf>
    <dxf>
      <font>
        <color rgb="FFFF0000"/>
      </font>
    </dxf>
    <dxf>
      <fill>
        <patternFill>
          <bgColor theme="1"/>
        </patternFill>
      </fill>
    </dxf>
    <dxf>
      <font>
        <color rgb="FFFF0000"/>
      </font>
    </dxf>
    <dxf>
      <fill>
        <patternFill>
          <bgColor theme="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FFCC9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1.xml"/><Relationship Id="rId77"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75"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HON\&#1502;&#1497;&#1504;&#1492;&#1500;%20&#1514;&#1512;&#1489;&#1493;&#1514;\&#1488;.%20&#1502;&#1488;&#1505;&#1496;&#1512;&#1497;&#1501;\&#1502;&#1488;&#1505;&#1496;&#1512;%20&#1499;&#1500;&#1500;&#1497;%20&#1492;&#1495;&#1491;&#1513;%2007.04.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נחיות לשימוש במאסטר"/>
      <sheetName val="שינויים במסטר"/>
      <sheetName val="דגשים לגיליונות פרטניים"/>
      <sheetName val="הדרכה למשתמש"/>
      <sheetName val="פרמטרים לקריטריונים"/>
      <sheetName val="הוראת שעה"/>
      <sheetName val="תנאי סף"/>
      <sheetName val="סיווג"/>
      <sheetName val="משתנה א"/>
      <sheetName val="משתנה ב"/>
      <sheetName val="משתנה ג"/>
      <sheetName val="משתנה ד"/>
      <sheetName val="משתנה ה"/>
      <sheetName val="משתנה ו"/>
      <sheetName val="משתנה ז"/>
      <sheetName val="משתנה ח"/>
      <sheetName val="משתנה ט"/>
      <sheetName val="משתנה י"/>
      <sheetName val="משתנה יא"/>
      <sheetName val="משתנה יב"/>
      <sheetName val="משתנה יג"/>
      <sheetName val="משתנה יד"/>
      <sheetName val="חיבור לגיליונות עזר"/>
      <sheetName val="ניקוד ליח עם מקסימום"/>
      <sheetName val="ניקוד לפי כמות &quot;לפחות&quot;"/>
      <sheetName val="בחירה מרשימה"/>
      <sheetName val="התחשיב הבסיסי"/>
      <sheetName val="פרמטרים לעקרונות חישוב התמיכה"/>
      <sheetName val="מוסדי"/>
      <sheetName val="תמיכה ממקורות אחרים"/>
      <sheetName val="ייצוב"/>
      <sheetName val="הגנה"/>
      <sheetName val="הגנה (לפי סכום)"/>
      <sheetName val="גירעון"/>
      <sheetName val="חריגות שכר"/>
      <sheetName val="הרכב חברי הוועדה"/>
      <sheetName val="פעילות יחידה"/>
      <sheetName val="תמיכה מינימלית"/>
      <sheetName val="תמיכה מקסימלית"/>
      <sheetName val="רשות"/>
      <sheetName val="סיכום"/>
      <sheetName val="הגבלה לסכום מבוקש (1)"/>
      <sheetName val="קיזוזים בגין איחורים"/>
      <sheetName val="קיזוזים- החלטות ועדה"/>
      <sheetName val="הגבלה לסכום מבוקש (2)"/>
      <sheetName val="סיכום לועדה- הזנת נתונים"/>
      <sheetName val="סיכום לועדה - תוצאות"/>
      <sheetName val="ריכוז גיליונות עזר"/>
      <sheetName val="1"/>
      <sheetName val="2"/>
      <sheetName val="3"/>
      <sheetName val="4"/>
      <sheetName val="5"/>
      <sheetName val="6"/>
      <sheetName val="7"/>
      <sheetName val="8"/>
      <sheetName val="9"/>
      <sheetName val="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B1" t="str">
            <v>שנה</v>
          </cell>
        </row>
        <row r="2">
          <cell r="B2" t="str">
            <v>תקציב</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61.bin"/></Relationships>
</file>

<file path=xl/worksheets/_rels/sheet65.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62.bin"/></Relationships>
</file>

<file path=xl/worksheets/_rels/sheet66.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63.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64.bin"/></Relationships>
</file>

<file path=xl/worksheets/_rels/sheet68.xml.rels><?xml version="1.0" encoding="UTF-8" standalone="yes"?>
<Relationships xmlns="http://schemas.openxmlformats.org/package/2006/relationships"><Relationship Id="rId3" Type="http://schemas.openxmlformats.org/officeDocument/2006/relationships/comments" Target="../comments41.xml"/><Relationship Id="rId2" Type="http://schemas.openxmlformats.org/officeDocument/2006/relationships/vmlDrawing" Target="../drawings/vmlDrawing41.vml"/><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tabColor indexed="10"/>
  </sheetPr>
  <dimension ref="A1:B9"/>
  <sheetViews>
    <sheetView rightToLeft="1" workbookViewId="0"/>
  </sheetViews>
  <sheetFormatPr defaultRowHeight="12.75" x14ac:dyDescent="0.2"/>
  <sheetData>
    <row r="1" spans="1:2" x14ac:dyDescent="0.2">
      <c r="B1">
        <v>2.2241473197937012E-3</v>
      </c>
    </row>
    <row r="2" spans="1:2" x14ac:dyDescent="0.2">
      <c r="B2" s="320">
        <v>45481.512152777781</v>
      </c>
    </row>
    <row r="6" spans="1:2" x14ac:dyDescent="0.2">
      <c r="A6" t="s">
        <v>0</v>
      </c>
    </row>
    <row r="7" spans="1:2" x14ac:dyDescent="0.2">
      <c r="A7" t="s">
        <v>1</v>
      </c>
    </row>
    <row r="8" spans="1:2" x14ac:dyDescent="0.2">
      <c r="A8" t="s">
        <v>2</v>
      </c>
      <c r="B8" t="b">
        <v>1</v>
      </c>
    </row>
    <row r="9" spans="1:2" x14ac:dyDescent="0.2">
      <c r="A9" t="s">
        <v>3</v>
      </c>
      <c r="B9" t="b">
        <v>1</v>
      </c>
    </row>
  </sheetData>
  <sheetProtection algorithmName="SHA-512" hashValue="bNXe/bnNz2W+2vXm4I65RbzGWh4WcgjzcJA0HFhlZX4NNmF/amDSHC6/oIPARyM6qrLut76xxT2r48rPnCE9aw==" saltValue="NvsiT5ewFKDanUtZzSheV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8">
    <tabColor theme="9" tint="-0.249977111117893"/>
  </sheetPr>
  <dimension ref="A1:H37"/>
  <sheetViews>
    <sheetView rightToLeft="1" view="pageBreakPreview" topLeftCell="B1" zoomScaleNormal="100" zoomScaleSheetLayoutView="100" workbookViewId="0">
      <selection activeCell="B1" sqref="B1"/>
    </sheetView>
  </sheetViews>
  <sheetFormatPr defaultColWidth="9.140625" defaultRowHeight="15.75" x14ac:dyDescent="0.25"/>
  <cols>
    <col min="1" max="1" width="2.42578125" style="351" hidden="1" customWidth="1"/>
    <col min="2" max="2" width="20.42578125" style="351" customWidth="1"/>
    <col min="3" max="3" width="21.42578125" style="351" customWidth="1"/>
    <col min="4" max="4" width="41.140625" style="351" customWidth="1"/>
    <col min="5" max="7" width="16.85546875" style="351" customWidth="1"/>
    <col min="8" max="8" width="23.5703125" style="446" customWidth="1"/>
    <col min="9" max="10" width="9.140625" style="351"/>
    <col min="11" max="11" width="32.85546875" style="351" customWidth="1"/>
    <col min="12" max="16384" width="9.140625" style="351"/>
  </cols>
  <sheetData>
    <row r="1" spans="1:8" ht="16.5" thickBot="1" x14ac:dyDescent="0.3">
      <c r="H1" s="351"/>
    </row>
    <row r="2" spans="1:8" ht="32.25" thickBot="1" x14ac:dyDescent="0.3">
      <c r="B2" s="560" t="s">
        <v>4</v>
      </c>
      <c r="C2" s="561"/>
      <c r="D2" s="561"/>
      <c r="E2" s="561"/>
      <c r="F2" s="561"/>
      <c r="G2" s="561"/>
      <c r="H2" s="562"/>
    </row>
    <row r="3" spans="1:8" ht="15.75" customHeight="1" x14ac:dyDescent="0.25">
      <c r="H3" s="351"/>
    </row>
    <row r="4" spans="1:8" ht="15.75" customHeight="1" x14ac:dyDescent="0.3">
      <c r="B4" s="431" t="s">
        <v>5</v>
      </c>
      <c r="C4" s="432">
        <v>44643</v>
      </c>
      <c r="D4" s="433"/>
      <c r="E4" s="433"/>
      <c r="F4" s="433"/>
      <c r="G4" s="433"/>
      <c r="H4" s="433"/>
    </row>
    <row r="5" spans="1:8" ht="15.75" customHeight="1" x14ac:dyDescent="0.3">
      <c r="B5" s="431" t="s">
        <v>6</v>
      </c>
      <c r="C5" s="432">
        <v>44780</v>
      </c>
      <c r="D5" s="433"/>
      <c r="E5" s="433"/>
      <c r="F5" s="433"/>
      <c r="G5" s="433"/>
      <c r="H5" s="433"/>
    </row>
    <row r="6" spans="1:8" ht="15.75" customHeight="1" thickBot="1" x14ac:dyDescent="0.35">
      <c r="A6" s="433"/>
      <c r="B6" s="433"/>
      <c r="C6" s="433"/>
      <c r="D6" s="433"/>
      <c r="E6" s="433"/>
      <c r="F6" s="433"/>
      <c r="G6" s="433"/>
      <c r="H6" s="433"/>
    </row>
    <row r="7" spans="1:8" ht="48.75" customHeight="1" thickBot="1" x14ac:dyDescent="0.3">
      <c r="B7" s="563" t="s">
        <v>7</v>
      </c>
      <c r="C7" s="564"/>
      <c r="D7" s="564"/>
      <c r="E7" s="564"/>
      <c r="F7" s="564"/>
      <c r="G7" s="564"/>
      <c r="H7" s="565"/>
    </row>
    <row r="8" spans="1:8" ht="15.75" customHeight="1" x14ac:dyDescent="0.25">
      <c r="H8" s="351"/>
    </row>
    <row r="9" spans="1:8" ht="15.75" customHeight="1" x14ac:dyDescent="0.3">
      <c r="B9" s="434" t="s">
        <v>8</v>
      </c>
      <c r="C9" s="435"/>
      <c r="H9" s="351"/>
    </row>
    <row r="10" spans="1:8" ht="15.75" customHeight="1" x14ac:dyDescent="0.25">
      <c r="H10" s="351"/>
    </row>
    <row r="11" spans="1:8" ht="23.25" x14ac:dyDescent="0.35">
      <c r="B11" s="566" t="s">
        <v>9</v>
      </c>
      <c r="C11" s="566"/>
      <c r="D11" s="566"/>
      <c r="E11" s="566"/>
      <c r="F11" s="566"/>
      <c r="G11" s="566"/>
      <c r="H11" s="566"/>
    </row>
    <row r="12" spans="1:8" ht="18.75" x14ac:dyDescent="0.3">
      <c r="B12" s="436" t="s">
        <v>10</v>
      </c>
      <c r="C12" s="436" t="s">
        <v>11</v>
      </c>
      <c r="D12" s="567" t="s">
        <v>12</v>
      </c>
      <c r="E12" s="568"/>
      <c r="F12" s="568"/>
      <c r="G12" s="568"/>
      <c r="H12" s="569"/>
    </row>
    <row r="13" spans="1:8" ht="27.75" customHeight="1" x14ac:dyDescent="0.25">
      <c r="B13" s="437" t="s">
        <v>13</v>
      </c>
      <c r="C13" s="438" t="s">
        <v>14</v>
      </c>
      <c r="D13" s="570" t="s">
        <v>15</v>
      </c>
      <c r="E13" s="571"/>
      <c r="F13" s="571"/>
      <c r="G13" s="571"/>
      <c r="H13" s="572"/>
    </row>
    <row r="14" spans="1:8" x14ac:dyDescent="0.25">
      <c r="B14" s="439" t="s">
        <v>16</v>
      </c>
      <c r="C14" s="438" t="s">
        <v>17</v>
      </c>
      <c r="D14" s="557" t="s">
        <v>18</v>
      </c>
      <c r="E14" s="558"/>
      <c r="F14" s="558"/>
      <c r="G14" s="558"/>
      <c r="H14" s="559"/>
    </row>
    <row r="15" spans="1:8" x14ac:dyDescent="0.25">
      <c r="B15" s="440" t="s">
        <v>19</v>
      </c>
      <c r="C15" s="438" t="s">
        <v>20</v>
      </c>
      <c r="D15" s="557" t="s">
        <v>21</v>
      </c>
      <c r="E15" s="558"/>
      <c r="F15" s="558"/>
      <c r="G15" s="558"/>
      <c r="H15" s="559"/>
    </row>
    <row r="16" spans="1:8" x14ac:dyDescent="0.25">
      <c r="B16" s="441"/>
      <c r="C16" s="441"/>
      <c r="D16" s="442"/>
      <c r="E16" s="442"/>
      <c r="F16" s="442"/>
      <c r="G16" s="442"/>
      <c r="H16" s="442"/>
    </row>
    <row r="17" spans="2:8" ht="139.5" x14ac:dyDescent="0.25">
      <c r="B17" s="443" t="s">
        <v>22</v>
      </c>
      <c r="C17" s="443"/>
      <c r="D17" s="443"/>
      <c r="E17" s="443"/>
      <c r="F17" s="443"/>
      <c r="G17" s="443"/>
      <c r="H17" s="443"/>
    </row>
    <row r="18" spans="2:8" ht="15" hidden="1" customHeight="1" x14ac:dyDescent="0.25">
      <c r="B18" s="444"/>
      <c r="C18" s="444"/>
      <c r="D18" s="444"/>
      <c r="E18" s="444"/>
      <c r="F18" s="444"/>
      <c r="G18" s="444"/>
      <c r="H18" s="444"/>
    </row>
    <row r="19" spans="2:8" ht="23.25" x14ac:dyDescent="0.25">
      <c r="B19" s="445"/>
      <c r="C19" s="445"/>
      <c r="D19" s="445"/>
      <c r="E19" s="445"/>
      <c r="F19" s="445"/>
      <c r="G19" s="445"/>
      <c r="H19" s="445"/>
    </row>
    <row r="20" spans="2:8" ht="23.25" x14ac:dyDescent="0.25">
      <c r="B20" s="445"/>
      <c r="C20" s="445"/>
      <c r="D20" s="445"/>
      <c r="E20" s="445"/>
      <c r="F20" s="445"/>
      <c r="G20" s="445"/>
      <c r="H20" s="445"/>
    </row>
    <row r="21" spans="2:8" ht="23.25" x14ac:dyDescent="0.25">
      <c r="B21" s="445"/>
      <c r="C21" s="445"/>
      <c r="D21" s="445"/>
      <c r="E21" s="445"/>
      <c r="F21" s="445"/>
      <c r="G21" s="445"/>
      <c r="H21" s="445"/>
    </row>
    <row r="22" spans="2:8" ht="23.25" x14ac:dyDescent="0.25">
      <c r="B22" s="445"/>
      <c r="C22" s="445"/>
      <c r="D22" s="445"/>
      <c r="E22" s="445"/>
      <c r="F22" s="445"/>
      <c r="G22" s="445"/>
      <c r="H22" s="445"/>
    </row>
    <row r="23" spans="2:8" ht="23.25" x14ac:dyDescent="0.25">
      <c r="B23" s="445"/>
      <c r="C23" s="445"/>
      <c r="D23" s="445"/>
      <c r="E23" s="445"/>
      <c r="F23" s="445"/>
      <c r="G23" s="445"/>
      <c r="H23" s="445"/>
    </row>
    <row r="24" spans="2:8" ht="23.25" x14ac:dyDescent="0.25">
      <c r="B24" s="445"/>
      <c r="C24" s="445"/>
      <c r="D24" s="445"/>
      <c r="E24" s="445"/>
      <c r="F24" s="445"/>
      <c r="G24" s="445"/>
      <c r="H24" s="445"/>
    </row>
    <row r="25" spans="2:8" ht="23.25" x14ac:dyDescent="0.25">
      <c r="B25" s="445"/>
      <c r="C25" s="445"/>
      <c r="D25" s="445"/>
      <c r="E25" s="445"/>
      <c r="F25" s="445"/>
      <c r="G25" s="445"/>
      <c r="H25" s="445"/>
    </row>
    <row r="26" spans="2:8" ht="23.25" x14ac:dyDescent="0.25">
      <c r="B26" s="445"/>
      <c r="C26" s="445"/>
      <c r="D26" s="445"/>
      <c r="E26" s="445"/>
      <c r="F26" s="445"/>
      <c r="G26" s="445"/>
      <c r="H26" s="445"/>
    </row>
    <row r="27" spans="2:8" ht="23.25" x14ac:dyDescent="0.25">
      <c r="B27" s="445"/>
      <c r="C27" s="445"/>
      <c r="D27" s="445"/>
      <c r="E27" s="445"/>
      <c r="F27" s="445"/>
      <c r="G27" s="445"/>
      <c r="H27" s="445"/>
    </row>
    <row r="28" spans="2:8" ht="23.25" x14ac:dyDescent="0.25">
      <c r="B28" s="445"/>
      <c r="C28" s="445"/>
      <c r="D28" s="445"/>
      <c r="E28" s="445"/>
      <c r="F28" s="445"/>
      <c r="G28" s="445"/>
      <c r="H28" s="445"/>
    </row>
    <row r="29" spans="2:8" ht="23.25" x14ac:dyDescent="0.25">
      <c r="B29" s="445"/>
      <c r="C29" s="445"/>
      <c r="D29" s="445"/>
      <c r="E29" s="445"/>
      <c r="F29" s="445"/>
      <c r="G29" s="445"/>
      <c r="H29" s="445"/>
    </row>
    <row r="30" spans="2:8" ht="23.25" x14ac:dyDescent="0.25">
      <c r="B30" s="445"/>
      <c r="C30" s="445"/>
      <c r="D30" s="445"/>
      <c r="E30" s="445"/>
      <c r="F30" s="445"/>
      <c r="G30" s="445"/>
      <c r="H30" s="445"/>
    </row>
    <row r="31" spans="2:8" ht="23.25" x14ac:dyDescent="0.25">
      <c r="B31" s="445"/>
      <c r="C31" s="445"/>
      <c r="D31" s="445"/>
      <c r="E31" s="445"/>
      <c r="F31" s="445"/>
      <c r="G31" s="445"/>
      <c r="H31" s="445"/>
    </row>
    <row r="32" spans="2:8" ht="23.25" x14ac:dyDescent="0.25">
      <c r="B32" s="445"/>
      <c r="C32" s="445"/>
      <c r="D32" s="445"/>
      <c r="E32" s="445"/>
      <c r="F32" s="445"/>
      <c r="G32" s="445"/>
      <c r="H32" s="445"/>
    </row>
    <row r="33" spans="8:8" x14ac:dyDescent="0.25">
      <c r="H33" s="351"/>
    </row>
    <row r="34" spans="8:8" x14ac:dyDescent="0.25">
      <c r="H34" s="351"/>
    </row>
    <row r="35" spans="8:8" ht="49.5" customHeight="1" x14ac:dyDescent="0.25">
      <c r="H35" s="351"/>
    </row>
    <row r="36" spans="8:8" x14ac:dyDescent="0.25">
      <c r="H36" s="351"/>
    </row>
    <row r="37" spans="8:8" x14ac:dyDescent="0.25">
      <c r="H37" s="351"/>
    </row>
  </sheetData>
  <sheetProtection algorithmName="SHA-512" hashValue="kaKJ4KhruS2pOi6SQnR+1zXgS4TdXqInFk0ZUFybI77r6I3m+ttXrgNnIKoqvizbOBjaKaz0m3jszQxYb80AFA==" saltValue="sO8MoSvYbcSveoMybt8DIA==" spinCount="100000" sheet="1" scenarios="1" formatColumns="0" formatRows="0"/>
  <mergeCells count="7">
    <mergeCell ref="D15:H15"/>
    <mergeCell ref="B2:H2"/>
    <mergeCell ref="B7:H7"/>
    <mergeCell ref="B11:H11"/>
    <mergeCell ref="D12:H12"/>
    <mergeCell ref="D13:H13"/>
    <mergeCell ref="D14:H14"/>
  </mergeCell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indexed="10"/>
    <pageSetUpPr fitToPage="1"/>
  </sheetPr>
  <dimension ref="A1:J48"/>
  <sheetViews>
    <sheetView rightToLeft="1" view="pageBreakPreview" zoomScale="90" zoomScaleNormal="77" zoomScaleSheetLayoutView="90" workbookViewId="0"/>
  </sheetViews>
  <sheetFormatPr defaultColWidth="9.140625" defaultRowHeight="12.75" x14ac:dyDescent="0.2"/>
  <cols>
    <col min="1" max="1" width="36.5703125" style="90" bestFit="1" customWidth="1"/>
    <col min="2" max="2" width="34.28515625" style="90" bestFit="1" customWidth="1"/>
    <col min="3" max="3" width="17.42578125" style="90" bestFit="1" customWidth="1"/>
    <col min="4" max="4" width="26.28515625" style="90" customWidth="1"/>
    <col min="5" max="5" width="26.85546875" style="90" customWidth="1"/>
    <col min="6" max="6" width="21.5703125" style="90" customWidth="1"/>
    <col min="7" max="7" width="16.5703125" style="90" customWidth="1"/>
    <col min="8" max="8" width="15.5703125" style="90" customWidth="1"/>
    <col min="9" max="9" width="32.28515625" style="90" customWidth="1"/>
    <col min="10" max="10" width="9.140625" style="90"/>
    <col min="11" max="11" width="9.140625" style="90" customWidth="1"/>
    <col min="12" max="16384" width="9.140625" style="90"/>
  </cols>
  <sheetData>
    <row r="1" spans="1:10" ht="20.25" thickTop="1" thickBot="1" x14ac:dyDescent="0.25">
      <c r="B1" s="88" t="s">
        <v>23</v>
      </c>
      <c r="C1" s="117">
        <v>2025</v>
      </c>
    </row>
    <row r="2" spans="1:10" ht="19.5" thickBot="1" x14ac:dyDescent="0.25">
      <c r="B2" s="91" t="s">
        <v>24</v>
      </c>
      <c r="C2" s="268">
        <v>1906914</v>
      </c>
    </row>
    <row r="3" spans="1:10" ht="14.25" thickTop="1" thickBot="1" x14ac:dyDescent="0.25"/>
    <row r="4" spans="1:10" ht="20.25" thickTop="1" thickBot="1" x14ac:dyDescent="0.25">
      <c r="A4" s="595" t="s">
        <v>25</v>
      </c>
      <c r="B4" s="596"/>
      <c r="C4" s="596"/>
      <c r="D4" s="597"/>
      <c r="F4" s="577" t="s">
        <v>26</v>
      </c>
      <c r="G4" s="578"/>
      <c r="H4" s="579"/>
      <c r="I4" s="413"/>
    </row>
    <row r="5" spans="1:10" ht="17.25" customHeight="1" thickTop="1" thickBot="1" x14ac:dyDescent="0.3">
      <c r="A5" s="599">
        <v>6</v>
      </c>
      <c r="B5" s="600"/>
      <c r="C5" s="600"/>
      <c r="D5" s="601"/>
      <c r="F5" s="414" t="s">
        <v>27</v>
      </c>
      <c r="G5" s="414" t="s">
        <v>28</v>
      </c>
      <c r="H5" s="415" t="s">
        <v>29</v>
      </c>
      <c r="I5" s="413"/>
    </row>
    <row r="6" spans="1:10" ht="15.75" x14ac:dyDescent="0.25">
      <c r="A6" s="603" t="s">
        <v>30</v>
      </c>
      <c r="B6" s="602" t="s">
        <v>31</v>
      </c>
      <c r="C6" s="602"/>
      <c r="D6" s="605" t="s">
        <v>32</v>
      </c>
      <c r="F6" s="420" t="s">
        <v>33</v>
      </c>
      <c r="G6" s="416">
        <f>DATE($C$1,1,1)</f>
        <v>45658</v>
      </c>
      <c r="H6" s="417">
        <f>DATE($C$1,12,31)</f>
        <v>46022</v>
      </c>
      <c r="I6" s="598"/>
    </row>
    <row r="7" spans="1:10" ht="16.5" thickBot="1" x14ac:dyDescent="0.3">
      <c r="A7" s="604"/>
      <c r="B7" s="45" t="s">
        <v>34</v>
      </c>
      <c r="C7" s="45" t="s">
        <v>35</v>
      </c>
      <c r="D7" s="606"/>
      <c r="F7" s="421" t="s">
        <v>36</v>
      </c>
      <c r="G7" s="418">
        <f>DATE($C$1-3,10,1)</f>
        <v>44835</v>
      </c>
      <c r="H7" s="419">
        <f>DATE($C$1-2,9,30)</f>
        <v>45199</v>
      </c>
      <c r="I7" s="598"/>
      <c r="J7" s="519">
        <v>45483</v>
      </c>
    </row>
    <row r="8" spans="1:10" s="509" customFormat="1" ht="18.75" customHeight="1" x14ac:dyDescent="0.25">
      <c r="A8" s="507" t="s">
        <v>37</v>
      </c>
      <c r="B8" s="200">
        <v>32</v>
      </c>
      <c r="C8" s="200">
        <v>47</v>
      </c>
      <c r="D8" s="508">
        <v>1</v>
      </c>
      <c r="F8" s="421" t="s">
        <v>38</v>
      </c>
      <c r="G8" s="418">
        <f>DATE($C$1-3,1,1)</f>
        <v>44562</v>
      </c>
      <c r="H8" s="419">
        <f>DATE($C$1-2,12,31)</f>
        <v>45291</v>
      </c>
      <c r="I8" s="510"/>
    </row>
    <row r="9" spans="1:10" s="509" customFormat="1" ht="18.75" customHeight="1" thickBot="1" x14ac:dyDescent="0.25">
      <c r="A9" s="511" t="s">
        <v>39</v>
      </c>
      <c r="B9" s="203">
        <v>48</v>
      </c>
      <c r="C9" s="203">
        <v>63</v>
      </c>
      <c r="D9" s="212">
        <v>2</v>
      </c>
      <c r="F9" s="422" t="s">
        <v>40</v>
      </c>
      <c r="G9" s="512">
        <f>DATE($C$1-1,1,1)</f>
        <v>45292</v>
      </c>
      <c r="H9" s="513">
        <f>DATE($C$1-1,12,31)</f>
        <v>45657</v>
      </c>
      <c r="I9" s="510"/>
    </row>
    <row r="10" spans="1:10" ht="15.75" x14ac:dyDescent="0.25">
      <c r="A10" s="97" t="s">
        <v>41</v>
      </c>
      <c r="B10" s="203">
        <v>64</v>
      </c>
      <c r="C10" s="204">
        <v>79</v>
      </c>
      <c r="D10" s="205">
        <v>3</v>
      </c>
    </row>
    <row r="11" spans="1:10" ht="15.75" x14ac:dyDescent="0.25">
      <c r="A11" s="142" t="s">
        <v>42</v>
      </c>
      <c r="B11" s="206">
        <v>80</v>
      </c>
      <c r="C11" s="207">
        <v>95</v>
      </c>
      <c r="D11" s="208">
        <v>4</v>
      </c>
    </row>
    <row r="12" spans="1:10" ht="16.5" thickBot="1" x14ac:dyDescent="0.3">
      <c r="A12" s="101" t="s">
        <v>43</v>
      </c>
      <c r="B12" s="209">
        <v>96</v>
      </c>
      <c r="C12" s="210">
        <v>1000000</v>
      </c>
      <c r="D12" s="211">
        <v>5</v>
      </c>
    </row>
    <row r="13" spans="1:10" ht="16.5" thickTop="1" x14ac:dyDescent="0.25">
      <c r="A13" s="56" t="s">
        <v>44</v>
      </c>
      <c r="B13" s="140">
        <v>15</v>
      </c>
      <c r="C13" s="141"/>
      <c r="D13" s="56"/>
    </row>
    <row r="14" spans="1:10" ht="16.5" thickBot="1" x14ac:dyDescent="0.3">
      <c r="A14" s="105"/>
      <c r="B14" s="106"/>
      <c r="C14" s="56"/>
    </row>
    <row r="15" spans="1:10" ht="20.25" thickTop="1" thickBot="1" x14ac:dyDescent="0.35">
      <c r="A15" s="582" t="s">
        <v>45</v>
      </c>
      <c r="B15" s="583"/>
      <c r="C15" s="107"/>
      <c r="E15" s="593" t="s">
        <v>46</v>
      </c>
      <c r="F15" s="594"/>
    </row>
    <row r="16" spans="1:10" ht="17.25" thickTop="1" thickBot="1" x14ac:dyDescent="0.3">
      <c r="A16" s="584" t="s">
        <v>47</v>
      </c>
      <c r="B16" s="585"/>
      <c r="E16" s="43" t="s">
        <v>48</v>
      </c>
      <c r="F16" s="44" t="s">
        <v>49</v>
      </c>
    </row>
    <row r="17" spans="1:6" ht="15.75" x14ac:dyDescent="0.2">
      <c r="A17" s="71" t="s">
        <v>50</v>
      </c>
      <c r="B17" s="72" t="s">
        <v>32</v>
      </c>
      <c r="E17" s="108" t="str">
        <f ca="1">MID(CELL("filename",'היקף החוברות'!A9),FIND("]",CELL("filename",'היקף החוברות'!A9),1)+1,99)</f>
        <v>היקף החוברות</v>
      </c>
      <c r="F17" s="214">
        <v>0.35</v>
      </c>
    </row>
    <row r="18" spans="1:6" ht="31.5" x14ac:dyDescent="0.25">
      <c r="A18" s="109" t="s">
        <v>51</v>
      </c>
      <c r="B18" s="212">
        <v>1</v>
      </c>
      <c r="E18" s="108" t="str">
        <f ca="1">MID(CELL("filename",'רמה הפקתית'!C10),FIND("]",CELL("filename",'רמה הפקתית'!C10),1)+1,99)</f>
        <v>רמה הפקתית</v>
      </c>
      <c r="F18" s="214">
        <v>0.2</v>
      </c>
    </row>
    <row r="19" spans="1:6" ht="31.5" x14ac:dyDescent="0.25">
      <c r="A19" s="109" t="s">
        <v>52</v>
      </c>
      <c r="B19" s="212">
        <v>6</v>
      </c>
      <c r="E19" s="108" t="str">
        <f ca="1">MID(CELL("filename",'תמורה ליוצרים'!C13),FIND("]",CELL("filename",'תמורה ליוצרים'!C13),1)+1,99)</f>
        <v>תמורה ליוצרים</v>
      </c>
      <c r="F19" s="214">
        <v>0.2</v>
      </c>
    </row>
    <row r="20" spans="1:6" ht="32.25" thickBot="1" x14ac:dyDescent="0.3">
      <c r="A20" s="110" t="s">
        <v>53</v>
      </c>
      <c r="B20" s="213">
        <v>1.5</v>
      </c>
      <c r="E20" s="111" t="str">
        <f ca="1">MID(CELL("filename",'הפצת כתב העת'!C16),FIND("]",CELL("filename",'הפצת כתב העת'!C16),1)+1,99)</f>
        <v>הפצת כתב העת</v>
      </c>
      <c r="F20" s="214">
        <v>0.25</v>
      </c>
    </row>
    <row r="21" spans="1:6" ht="17.25" thickTop="1" thickBot="1" x14ac:dyDescent="0.25">
      <c r="E21" s="112" t="s">
        <v>54</v>
      </c>
      <c r="F21" s="113">
        <f>SUM(F17:F20)</f>
        <v>1</v>
      </c>
    </row>
    <row r="22" spans="1:6" ht="14.25" thickTop="1" thickBot="1" x14ac:dyDescent="0.25"/>
    <row r="23" spans="1:6" ht="20.25" thickTop="1" thickBot="1" x14ac:dyDescent="0.25">
      <c r="E23" s="593" t="s">
        <v>55</v>
      </c>
      <c r="F23" s="594"/>
    </row>
    <row r="24" spans="1:6" ht="17.25" thickTop="1" thickBot="1" x14ac:dyDescent="0.25">
      <c r="E24" s="43" t="s">
        <v>56</v>
      </c>
      <c r="F24" s="44" t="s">
        <v>57</v>
      </c>
    </row>
    <row r="25" spans="1:6" ht="20.25" thickTop="1" thickBot="1" x14ac:dyDescent="0.35">
      <c r="A25" s="582" t="s">
        <v>58</v>
      </c>
      <c r="B25" s="583"/>
      <c r="E25" s="108" t="s">
        <v>59</v>
      </c>
      <c r="F25" s="215">
        <v>1</v>
      </c>
    </row>
    <row r="26" spans="1:6" ht="15" customHeight="1" thickTop="1" thickBot="1" x14ac:dyDescent="0.3">
      <c r="A26" s="591" t="s">
        <v>60</v>
      </c>
      <c r="B26" s="592"/>
      <c r="E26" s="108" t="s">
        <v>61</v>
      </c>
      <c r="F26" s="215">
        <v>1.075</v>
      </c>
    </row>
    <row r="27" spans="1:6" ht="33" thickTop="1" thickBot="1" x14ac:dyDescent="0.25">
      <c r="A27" s="46" t="s">
        <v>50</v>
      </c>
      <c r="B27" s="47" t="s">
        <v>62</v>
      </c>
      <c r="E27" s="108" t="s">
        <v>63</v>
      </c>
      <c r="F27" s="215">
        <v>1.1499999999999999</v>
      </c>
    </row>
    <row r="28" spans="1:6" ht="17.25" thickTop="1" thickBot="1" x14ac:dyDescent="0.3">
      <c r="A28" s="114" t="s">
        <v>64</v>
      </c>
      <c r="B28" s="115">
        <f>1-B29</f>
        <v>0.19999999999999996</v>
      </c>
      <c r="D28" s="588" t="s">
        <v>65</v>
      </c>
      <c r="E28" s="589"/>
      <c r="F28" s="590"/>
    </row>
    <row r="29" spans="1:6" ht="16.5" thickBot="1" x14ac:dyDescent="0.3">
      <c r="A29" s="116" t="s">
        <v>66</v>
      </c>
      <c r="B29" s="267">
        <v>0.8</v>
      </c>
      <c r="D29" s="257" t="s">
        <v>50</v>
      </c>
      <c r="E29" s="235" t="s">
        <v>67</v>
      </c>
      <c r="F29" s="258" t="s">
        <v>68</v>
      </c>
    </row>
    <row r="30" spans="1:6" ht="32.25" customHeight="1" thickTop="1" thickBot="1" x14ac:dyDescent="0.25">
      <c r="D30" s="259" t="s">
        <v>69</v>
      </c>
      <c r="E30" s="236">
        <v>0</v>
      </c>
      <c r="F30" s="586" t="s">
        <v>70</v>
      </c>
    </row>
    <row r="31" spans="1:6" ht="18.75" thickBot="1" x14ac:dyDescent="0.25">
      <c r="A31" s="573" t="s">
        <v>71</v>
      </c>
      <c r="B31" s="574"/>
      <c r="D31" s="260" t="s">
        <v>72</v>
      </c>
      <c r="E31" s="237">
        <v>0.2</v>
      </c>
      <c r="F31" s="587"/>
    </row>
    <row r="32" spans="1:6" ht="17.25" thickTop="1" thickBot="1" x14ac:dyDescent="0.3">
      <c r="A32" s="580" t="s">
        <v>73</v>
      </c>
      <c r="B32" s="581"/>
      <c r="D32" s="261" t="s">
        <v>74</v>
      </c>
      <c r="E32" s="262">
        <v>0.03</v>
      </c>
      <c r="F32" s="263"/>
    </row>
    <row r="33" spans="1:2" ht="16.5" thickBot="1" x14ac:dyDescent="0.25">
      <c r="A33" s="255" t="s">
        <v>75</v>
      </c>
      <c r="B33" s="256">
        <v>5</v>
      </c>
    </row>
    <row r="35" spans="1:2" ht="13.5" thickBot="1" x14ac:dyDescent="0.25"/>
    <row r="36" spans="1:2" ht="18.75" thickBot="1" x14ac:dyDescent="0.25">
      <c r="A36" s="573" t="s">
        <v>76</v>
      </c>
      <c r="B36" s="574"/>
    </row>
    <row r="37" spans="1:2" ht="17.25" thickTop="1" thickBot="1" x14ac:dyDescent="0.3">
      <c r="A37" s="580" t="s">
        <v>50</v>
      </c>
      <c r="B37" s="581" t="s">
        <v>62</v>
      </c>
    </row>
    <row r="38" spans="1:2" ht="16.5" thickBot="1" x14ac:dyDescent="0.25">
      <c r="A38" s="255" t="s">
        <v>77</v>
      </c>
      <c r="B38" s="349">
        <v>0.02</v>
      </c>
    </row>
    <row r="40" spans="1:2" ht="13.5" thickBot="1" x14ac:dyDescent="0.25"/>
    <row r="41" spans="1:2" ht="18.75" thickBot="1" x14ac:dyDescent="0.25">
      <c r="A41" s="573" t="s">
        <v>78</v>
      </c>
      <c r="B41" s="574"/>
    </row>
    <row r="42" spans="1:2" ht="16.5" thickTop="1" x14ac:dyDescent="0.2">
      <c r="A42" s="71" t="s">
        <v>50</v>
      </c>
      <c r="B42" s="72" t="s">
        <v>79</v>
      </c>
    </row>
    <row r="43" spans="1:2" ht="15.75" x14ac:dyDescent="0.25">
      <c r="A43" s="109" t="s">
        <v>80</v>
      </c>
      <c r="B43" s="212">
        <f>IF($C$1=2022,1,2)</f>
        <v>2</v>
      </c>
    </row>
    <row r="44" spans="1:2" ht="15.75" x14ac:dyDescent="0.25">
      <c r="A44" s="109" t="s">
        <v>81</v>
      </c>
      <c r="B44" s="212">
        <v>32</v>
      </c>
    </row>
    <row r="45" spans="1:2" ht="48.6" customHeight="1" x14ac:dyDescent="0.25">
      <c r="A45" s="109" t="s">
        <v>82</v>
      </c>
      <c r="B45" s="212">
        <v>200</v>
      </c>
    </row>
    <row r="46" spans="1:2" ht="94.5" x14ac:dyDescent="0.25">
      <c r="A46" s="109" t="s">
        <v>83</v>
      </c>
      <c r="B46" s="391">
        <v>0.7</v>
      </c>
    </row>
    <row r="47" spans="1:2" ht="45.6" customHeight="1" x14ac:dyDescent="0.25">
      <c r="A47" s="575" t="s">
        <v>84</v>
      </c>
      <c r="B47" s="576"/>
    </row>
    <row r="48" spans="1:2" ht="31.15" customHeight="1" x14ac:dyDescent="0.25">
      <c r="A48" s="575" t="s">
        <v>85</v>
      </c>
      <c r="B48" s="576"/>
    </row>
  </sheetData>
  <sheetProtection algorithmName="SHA-512" hashValue="EtzFrED2u9IYq+wAXdc9wvkOSPRDVi+jv03jNryMCkpP//KZ6XzXA47or77xYNgDSzW3Xwz4dqHurn9Lb+0kqw==" saltValue="+cLEKe1uUFJVff/doZU7Zg==" spinCount="100000" sheet="1" scenarios="1" formatColumns="0" formatRows="0"/>
  <mergeCells count="22">
    <mergeCell ref="I6:I7"/>
    <mergeCell ref="A5:D5"/>
    <mergeCell ref="E15:F15"/>
    <mergeCell ref="B6:C6"/>
    <mergeCell ref="A6:A7"/>
    <mergeCell ref="D6:D7"/>
    <mergeCell ref="A41:B41"/>
    <mergeCell ref="A47:B47"/>
    <mergeCell ref="A48:B48"/>
    <mergeCell ref="F4:H4"/>
    <mergeCell ref="A36:B36"/>
    <mergeCell ref="A37:B37"/>
    <mergeCell ref="A25:B25"/>
    <mergeCell ref="A15:B15"/>
    <mergeCell ref="A16:B16"/>
    <mergeCell ref="A31:B31"/>
    <mergeCell ref="A32:B32"/>
    <mergeCell ref="F30:F31"/>
    <mergeCell ref="D28:F28"/>
    <mergeCell ref="A26:B26"/>
    <mergeCell ref="E23:F23"/>
    <mergeCell ref="A4:D4"/>
  </mergeCells>
  <phoneticPr fontId="0" type="noConversion"/>
  <dataValidations count="1">
    <dataValidation type="whole" allowBlank="1" showInputMessage="1" showErrorMessage="1" sqref="C1" xr:uid="{00000000-0002-0000-0200-000000000000}">
      <formula1>2019</formula1>
      <formula2>2030</formula2>
    </dataValidation>
  </dataValidations>
  <pageMargins left="0.27559055118110237" right="0.19685039370078741" top="0.51181102362204722" bottom="0.39370078740157483" header="0.15748031496062992" footer="0.19685039370078741"/>
  <pageSetup paperSize="9" scale="49" orientation="landscape"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&amp;L&amp;"Arial,מודגש"&amp;12א. חפץ ושות'
יעוץ כלכלי&amp;Cעמוד &amp;P מתוך &amp;N&amp;R&amp;A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גיליון2">
    <tabColor indexed="46"/>
  </sheetPr>
  <dimension ref="A1:CA53"/>
  <sheetViews>
    <sheetView rightToLeft="1" zoomScale="80" zoomScaleNormal="80" workbookViewId="0">
      <pane xSplit="3" ySplit="10" topLeftCell="D11" activePane="bottomRight" state="frozen"/>
      <selection pane="topRight" activeCell="H39" sqref="H39"/>
      <selection pane="bottomLeft" activeCell="H39" sqref="H39"/>
      <selection pane="bottomRight" activeCell="D11" sqref="D11"/>
    </sheetView>
  </sheetViews>
  <sheetFormatPr defaultColWidth="9.140625" defaultRowHeight="12.75" outlineLevelRow="1" x14ac:dyDescent="0.2"/>
  <cols>
    <col min="1" max="1" width="7.5703125" customWidth="1"/>
    <col min="2" max="2" width="30.5703125" customWidth="1"/>
    <col min="3" max="3" width="9" style="266" customWidth="1"/>
    <col min="4" max="4" width="11" customWidth="1"/>
    <col min="5" max="5" width="15.140625" customWidth="1"/>
    <col min="6" max="6" width="16.140625" customWidth="1"/>
    <col min="7" max="7" width="16.140625" hidden="1" customWidth="1"/>
    <col min="8" max="8" width="16.28515625" customWidth="1"/>
    <col min="9" max="9" width="17.140625" customWidth="1"/>
    <col min="10" max="10" width="15" bestFit="1" customWidth="1"/>
    <col min="11" max="16" width="16.140625" customWidth="1"/>
    <col min="17" max="17" width="19.140625" hidden="1" customWidth="1"/>
    <col min="18" max="18" width="9.28515625" hidden="1" customWidth="1"/>
    <col min="19" max="20" width="7.5703125" hidden="1" customWidth="1"/>
    <col min="21" max="21" width="9.28515625" hidden="1" customWidth="1"/>
    <col min="22" max="24" width="0" hidden="1" customWidth="1"/>
    <col min="25" max="25" width="11.140625" customWidth="1"/>
    <col min="26" max="26" width="22.140625" customWidth="1"/>
    <col min="27" max="27" width="16.28515625" customWidth="1"/>
    <col min="28" max="28" width="17.85546875" customWidth="1"/>
    <col min="29" max="29" width="8.5703125" customWidth="1"/>
    <col min="30" max="30" width="11.7109375" customWidth="1"/>
    <col min="32" max="32" width="8.5703125" customWidth="1"/>
    <col min="33" max="33" width="22.28515625" customWidth="1"/>
    <col min="34" max="34" width="17.7109375" customWidth="1"/>
    <col min="35" max="35" width="8.5703125" customWidth="1"/>
    <col min="36" max="36" width="20.28515625" customWidth="1"/>
    <col min="37" max="37" width="33.85546875" customWidth="1"/>
    <col min="38" max="38" width="13.28515625" bestFit="1" customWidth="1"/>
    <col min="39" max="39" width="33.140625" style="219" customWidth="1"/>
    <col min="40" max="40" width="14.28515625" hidden="1" customWidth="1"/>
    <col min="41" max="41" width="10.5703125" hidden="1" customWidth="1"/>
    <col min="42" max="42" width="9.42578125" hidden="1" customWidth="1"/>
    <col min="43" max="44" width="5.42578125" hidden="1" customWidth="1"/>
    <col min="45" max="45" width="5.28515625" hidden="1" customWidth="1"/>
    <col min="46" max="50" width="4.7109375" hidden="1" customWidth="1"/>
    <col min="51" max="55" width="5.5703125" hidden="1" customWidth="1"/>
    <col min="56" max="66" width="2.42578125" hidden="1" customWidth="1"/>
    <col min="67" max="67" width="2" hidden="1" customWidth="1"/>
    <col min="68" max="70" width="4" hidden="1" customWidth="1"/>
    <col min="71" max="71" width="2" hidden="1" customWidth="1"/>
    <col min="72" max="79" width="9.140625" hidden="1" customWidth="1"/>
    <col min="80" max="106" width="9.140625" customWidth="1"/>
  </cols>
  <sheetData>
    <row r="1" spans="1:79" ht="16.899999999999999" customHeight="1" outlineLevel="1" thickTop="1" thickBot="1" x14ac:dyDescent="0.3">
      <c r="A1" s="599">
        <f>פרמטרים!A5</f>
        <v>6</v>
      </c>
      <c r="B1" s="600">
        <f>פרמטרים!B5</f>
        <v>0</v>
      </c>
      <c r="C1" s="600">
        <f>פרמטרים!C5</f>
        <v>0</v>
      </c>
      <c r="D1" s="601">
        <f>פרמטרים!D5</f>
        <v>0</v>
      </c>
      <c r="R1" s="56"/>
      <c r="S1" s="56"/>
      <c r="T1" s="56"/>
      <c r="U1" s="56"/>
      <c r="V1" s="56"/>
      <c r="AC1" s="56"/>
      <c r="AD1" s="56"/>
      <c r="AE1" s="56"/>
      <c r="AF1" s="56"/>
      <c r="AI1" s="56"/>
      <c r="AP1" s="152" t="s">
        <v>86</v>
      </c>
    </row>
    <row r="2" spans="1:79" ht="16.149999999999999" customHeight="1" outlineLevel="1" thickBot="1" x14ac:dyDescent="0.3">
      <c r="A2" s="603" t="str">
        <f>פרמטרים!A6</f>
        <v>סימול</v>
      </c>
      <c r="B2" s="602" t="str">
        <f>פרמטרים!B6</f>
        <v>מספר העמודים</v>
      </c>
      <c r="C2" s="602">
        <f>פרמטרים!C6</f>
        <v>0</v>
      </c>
      <c r="D2" s="605" t="str">
        <f>פרמטרים!D6</f>
        <v>ניקוד</v>
      </c>
      <c r="R2" s="56"/>
      <c r="S2" s="56"/>
      <c r="T2" s="56"/>
      <c r="U2" s="56"/>
      <c r="V2" s="56"/>
      <c r="AC2" s="56"/>
      <c r="AD2" s="56"/>
      <c r="AE2" s="56"/>
      <c r="AF2" s="56"/>
      <c r="AI2" s="56"/>
    </row>
    <row r="3" spans="1:79" ht="16.899999999999999" customHeight="1" outlineLevel="1" thickTop="1" thickBot="1" x14ac:dyDescent="0.3">
      <c r="A3" s="604">
        <f>פרמטרים!A7</f>
        <v>0</v>
      </c>
      <c r="B3" s="45" t="str">
        <f>פרמטרים!B7</f>
        <v>מ-</v>
      </c>
      <c r="C3" s="45" t="str">
        <f>פרמטרים!C7</f>
        <v xml:space="preserve">עד - </v>
      </c>
      <c r="D3" s="606">
        <f>פרמטרים!D7</f>
        <v>0</v>
      </c>
      <c r="I3" s="19" t="str">
        <f>פרמטרים!B1</f>
        <v>שנת התקציב</v>
      </c>
      <c r="J3" s="38">
        <f>פרמטרים!C1</f>
        <v>2025</v>
      </c>
      <c r="R3" s="56"/>
    </row>
    <row r="4" spans="1:79" ht="18" customHeight="1" outlineLevel="1" thickBot="1" x14ac:dyDescent="0.3">
      <c r="A4" s="93" t="str">
        <f>פרמטרים!A8</f>
        <v>א'</v>
      </c>
      <c r="B4" s="200">
        <f>פרמטרים!B8</f>
        <v>32</v>
      </c>
      <c r="C4" s="201">
        <f>פרמטרים!C8</f>
        <v>47</v>
      </c>
      <c r="D4" s="202">
        <f>פרמטרים!D8</f>
        <v>1</v>
      </c>
      <c r="I4" s="20" t="str">
        <f>פרמטרים!B2</f>
        <v>תקציב</v>
      </c>
      <c r="J4" s="39">
        <f>פרמטרים!C2</f>
        <v>1906914</v>
      </c>
      <c r="R4" s="56"/>
    </row>
    <row r="5" spans="1:79" ht="16.149999999999999" customHeight="1" outlineLevel="1" thickTop="1" x14ac:dyDescent="0.25">
      <c r="A5" s="97" t="str">
        <f>פרמטרים!A9</f>
        <v>ב'</v>
      </c>
      <c r="B5" s="203">
        <f>פרמטרים!B9</f>
        <v>48</v>
      </c>
      <c r="C5" s="204">
        <f>פרמטרים!C9</f>
        <v>63</v>
      </c>
      <c r="D5" s="205">
        <f>פרמטרים!D9</f>
        <v>2</v>
      </c>
      <c r="R5" s="56"/>
      <c r="S5" s="56"/>
      <c r="T5" s="56"/>
      <c r="U5" s="56"/>
      <c r="V5" s="56"/>
      <c r="AC5" s="56"/>
      <c r="AD5" s="56"/>
      <c r="AE5" s="56"/>
      <c r="AF5" s="56"/>
      <c r="AI5" s="56"/>
    </row>
    <row r="6" spans="1:79" ht="15.6" customHeight="1" outlineLevel="1" x14ac:dyDescent="0.25">
      <c r="A6" s="97" t="str">
        <f>פרמטרים!A10</f>
        <v>ג'</v>
      </c>
      <c r="B6" s="203">
        <f>פרמטרים!B10</f>
        <v>64</v>
      </c>
      <c r="C6" s="204">
        <f>פרמטרים!C10</f>
        <v>79</v>
      </c>
      <c r="D6" s="205">
        <f>פרמטרים!D10</f>
        <v>3</v>
      </c>
      <c r="R6" s="56"/>
      <c r="S6" s="56"/>
      <c r="T6" s="56"/>
      <c r="U6" s="56"/>
      <c r="V6" s="56"/>
      <c r="AC6" s="56"/>
      <c r="AD6" s="56"/>
      <c r="AE6" s="56"/>
      <c r="AF6" s="56"/>
      <c r="AI6" s="56"/>
    </row>
    <row r="7" spans="1:79" ht="15.6" customHeight="1" outlineLevel="1" x14ac:dyDescent="0.25">
      <c r="A7" s="142" t="str">
        <f>פרמטרים!A11</f>
        <v>ד'</v>
      </c>
      <c r="B7" s="206">
        <f>פרמטרים!B11</f>
        <v>80</v>
      </c>
      <c r="C7" s="207">
        <f>פרמטרים!C11</f>
        <v>95</v>
      </c>
      <c r="D7" s="208">
        <f>פרמטרים!D11</f>
        <v>4</v>
      </c>
      <c r="R7" s="56"/>
      <c r="S7" s="56"/>
      <c r="T7" s="56"/>
      <c r="U7" s="56"/>
      <c r="V7" s="56"/>
      <c r="AC7" s="56"/>
      <c r="AD7" s="56"/>
      <c r="AE7" s="56"/>
      <c r="AF7" s="56"/>
      <c r="AI7" s="56"/>
    </row>
    <row r="8" spans="1:79" ht="16.149999999999999" customHeight="1" outlineLevel="1" thickBot="1" x14ac:dyDescent="0.3">
      <c r="A8" s="101" t="str">
        <f>פרמטרים!A12</f>
        <v>ה'</v>
      </c>
      <c r="B8" s="209">
        <f>פרמטרים!B12</f>
        <v>96</v>
      </c>
      <c r="C8" s="210">
        <f>פרמטרים!C12</f>
        <v>1000000</v>
      </c>
      <c r="D8" s="211">
        <f>פרמטרים!D12</f>
        <v>5</v>
      </c>
      <c r="R8" s="56"/>
      <c r="S8" s="56"/>
      <c r="T8" s="56"/>
      <c r="U8" s="56"/>
      <c r="V8" s="56"/>
      <c r="AC8" s="56"/>
      <c r="AD8" s="56"/>
      <c r="AE8" s="56"/>
      <c r="AF8" s="56"/>
      <c r="AI8" s="56"/>
    </row>
    <row r="9" spans="1:79" ht="17.25" thickTop="1" thickBot="1" x14ac:dyDescent="0.3">
      <c r="A9" s="406" t="str">
        <f ca="1">"בחינת עמידה ב"&amp;MID(CELL("filename",AL9),FIND("]",CELL("filename",AL9),1)+1,99)</f>
        <v>בחינת עמידה בתנאי סף</v>
      </c>
      <c r="B9" s="407"/>
      <c r="C9" s="408" t="s">
        <v>87</v>
      </c>
      <c r="D9" s="408" t="s">
        <v>88</v>
      </c>
      <c r="E9" s="408" t="s">
        <v>89</v>
      </c>
      <c r="F9" s="408" t="s">
        <v>90</v>
      </c>
      <c r="G9" s="408"/>
      <c r="H9" s="408" t="s">
        <v>91</v>
      </c>
      <c r="I9" s="408" t="s">
        <v>92</v>
      </c>
      <c r="J9" s="408" t="s">
        <v>93</v>
      </c>
      <c r="K9" s="408" t="s">
        <v>94</v>
      </c>
      <c r="L9" s="408" t="s">
        <v>94</v>
      </c>
      <c r="M9" s="408" t="s">
        <v>94</v>
      </c>
      <c r="N9" s="408" t="s">
        <v>95</v>
      </c>
      <c r="O9" s="408" t="s">
        <v>95</v>
      </c>
      <c r="P9" s="408" t="s">
        <v>95</v>
      </c>
      <c r="Q9" s="408"/>
      <c r="R9" s="408"/>
      <c r="S9" s="408"/>
      <c r="T9" s="408"/>
      <c r="U9" s="408"/>
      <c r="V9" s="408"/>
      <c r="Y9" s="408" t="s">
        <v>96</v>
      </c>
      <c r="Z9" s="408" t="s">
        <v>98</v>
      </c>
      <c r="AA9" s="408" t="s">
        <v>99</v>
      </c>
      <c r="AB9" s="408" t="s">
        <v>100</v>
      </c>
      <c r="AC9" s="408" t="s">
        <v>97</v>
      </c>
      <c r="AD9" s="408"/>
      <c r="AE9" s="408" t="s">
        <v>96</v>
      </c>
      <c r="AF9" s="408" t="s">
        <v>97</v>
      </c>
      <c r="AG9" s="408" t="s">
        <v>100</v>
      </c>
      <c r="AH9" s="408" t="s">
        <v>101</v>
      </c>
      <c r="AI9" s="408" t="s">
        <v>97</v>
      </c>
      <c r="AJ9" s="408" t="s">
        <v>101</v>
      </c>
      <c r="AK9" s="408"/>
      <c r="AL9" s="408"/>
      <c r="AM9" s="408"/>
      <c r="AN9" s="408"/>
      <c r="AO9" s="408"/>
    </row>
    <row r="10" spans="1:79" ht="130.5" customHeight="1" thickTop="1" thickBot="1" x14ac:dyDescent="0.25">
      <c r="A10" s="185" t="s">
        <v>102</v>
      </c>
      <c r="B10" s="186" t="s">
        <v>103</v>
      </c>
      <c r="C10" s="186" t="s">
        <v>104</v>
      </c>
      <c r="D10" s="186" t="s">
        <v>105</v>
      </c>
      <c r="E10" s="186" t="s">
        <v>106</v>
      </c>
      <c r="F10" s="186" t="str">
        <f>"המוסד השלים את הגשת כל הדוחות הנדרשים לצורך ניקודו, כשהם מלאים ותקינים, במועד הנדרש "&amp;" (0/1)"</f>
        <v>המוסד השלים את הגשת כל הדוחות הנדרשים לצורך ניקודו, כשהם מלאים ותקינים, במועד הנדרש  (0/1)</v>
      </c>
      <c r="G10" s="186"/>
      <c r="H10" s="186" t="str">
        <f>"המוסד הגיש תוכנית עבודה כללית לשנת "&amp;YEAR(פרמטרים!$H$6)&amp;"
 (0/1)"</f>
        <v>המוסד הגיש תוכנית עבודה כללית לשנת 2025
 (0/1)</v>
      </c>
      <c r="I10" s="186" t="str">
        <f>IF(J3=2022,"המוסד התחייב להוציא לאור חוברת חדשה אחת לפחות בשנת ","המוסד התחייב להוציא לאור 2 חוברות חדשות לפחות בשנת ")&amp;YEAR(פרמטרים!$H$6)&amp;" 
(0/1)"</f>
        <v>המוסד התחייב להוציא לאור 2 חוברות חדשות לפחות בשנת 2025 
(0/1)</v>
      </c>
      <c r="J10" s="186" t="s">
        <v>107</v>
      </c>
      <c r="K10" s="186" t="s">
        <v>108</v>
      </c>
      <c r="L10" s="186" t="s">
        <v>109</v>
      </c>
      <c r="M10" s="186" t="s">
        <v>110</v>
      </c>
      <c r="N10" s="186" t="s">
        <v>111</v>
      </c>
      <c r="O10" s="186" t="str">
        <f>"המוסד הודיע למינהל התרבות על כוונתו להגיש בקשה לא יאוחר מיום 1 במאי "&amp;פרמטרים!$C$1-1&amp;"
  (0/1)"</f>
        <v>המוסד הודיע למינהל התרבות על כוונתו להגיש בקשה לא יאוחר מיום 1 במאי 2024
  (0/1)</v>
      </c>
      <c r="P10" s="186" t="s">
        <v>112</v>
      </c>
      <c r="Q10" s="186"/>
      <c r="R10" s="186"/>
      <c r="S10" s="186"/>
      <c r="T10" s="186"/>
      <c r="U10" s="186"/>
      <c r="V10" s="186"/>
      <c r="Y10" s="186" t="s">
        <v>114</v>
      </c>
      <c r="Z10" s="186" t="s">
        <v>115</v>
      </c>
      <c r="AA10" s="186" t="s">
        <v>116</v>
      </c>
      <c r="AB10" s="186" t="s">
        <v>117</v>
      </c>
      <c r="AC10" s="186" t="s">
        <v>113</v>
      </c>
      <c r="AD10" s="186" t="s">
        <v>404</v>
      </c>
      <c r="AE10" s="186" t="s">
        <v>405</v>
      </c>
      <c r="AF10" s="186" t="s">
        <v>113</v>
      </c>
      <c r="AG10" s="186" t="s">
        <v>118</v>
      </c>
      <c r="AH10" s="186" t="s">
        <v>119</v>
      </c>
      <c r="AI10" s="186" t="s">
        <v>113</v>
      </c>
      <c r="AJ10" s="186" t="s">
        <v>120</v>
      </c>
      <c r="AK10" s="186" t="s">
        <v>401</v>
      </c>
      <c r="AL10" s="217" t="s">
        <v>121</v>
      </c>
      <c r="AM10" s="1" t="s">
        <v>68</v>
      </c>
      <c r="AN10" s="218"/>
      <c r="AO10" s="4"/>
      <c r="AP10" s="60"/>
      <c r="AQ10" s="61"/>
      <c r="AR10" s="61"/>
      <c r="AS10" s="64"/>
      <c r="AT10" s="66"/>
      <c r="AU10" s="143" t="s">
        <v>123</v>
      </c>
      <c r="AV10" s="143" t="s">
        <v>124</v>
      </c>
      <c r="AW10" s="145" t="s">
        <v>125</v>
      </c>
      <c r="AX10" s="145" t="s">
        <v>126</v>
      </c>
      <c r="AY10" s="146" t="s">
        <v>127</v>
      </c>
      <c r="AZ10" s="447" t="s">
        <v>127</v>
      </c>
      <c r="BA10" s="145" t="s">
        <v>126</v>
      </c>
      <c r="BB10" s="145" t="s">
        <v>125</v>
      </c>
      <c r="BC10" s="144" t="s">
        <v>124</v>
      </c>
      <c r="BD10" s="144" t="s">
        <v>123</v>
      </c>
      <c r="BE10">
        <v>0</v>
      </c>
      <c r="BF10">
        <v>1</v>
      </c>
      <c r="BW10" s="447" t="s">
        <v>127</v>
      </c>
      <c r="BX10" s="145" t="s">
        <v>126</v>
      </c>
      <c r="BY10" s="145" t="s">
        <v>125</v>
      </c>
      <c r="BZ10" s="144" t="s">
        <v>124</v>
      </c>
      <c r="CA10" s="144" t="s">
        <v>123</v>
      </c>
    </row>
    <row r="11" spans="1:79" x14ac:dyDescent="0.2">
      <c r="A11" s="21">
        <v>1</v>
      </c>
      <c r="B11" s="493" t="str">
        <f ca="1">IF('1280 מעלות (אמנים יוצרים)'!$F$1="1","",'1280 מעלות (אמנים יוצרים)'!$F$1)</f>
        <v>1280 מעלות (אמנים יוצרים)</v>
      </c>
      <c r="C11" s="265">
        <v>36526</v>
      </c>
      <c r="D11" s="155">
        <f t="shared" ref="D11:D50" ca="1" si="0">IF(OR(B11="",C11=""),"",((DATE($J$3,1,1)-C11)/365))</f>
        <v>25.019178082191782</v>
      </c>
      <c r="E11" s="25">
        <v>1</v>
      </c>
      <c r="F11" s="25">
        <v>1</v>
      </c>
      <c r="G11" s="25"/>
      <c r="H11" s="22">
        <v>1</v>
      </c>
      <c r="I11" s="22">
        <v>1</v>
      </c>
      <c r="J11" s="22">
        <v>1</v>
      </c>
      <c r="K11" s="25">
        <v>0</v>
      </c>
      <c r="L11" s="25"/>
      <c r="M11" s="28">
        <f t="shared" ref="M11:M48" ca="1" si="1">IF(B11="","",IF(OR(K11=0,AND(K11=1,L11=1)),1,0))</f>
        <v>1</v>
      </c>
      <c r="N11" s="25">
        <v>0</v>
      </c>
      <c r="O11" s="25"/>
      <c r="P11" s="28">
        <f t="shared" ref="P11:P48" ca="1" si="2">IF(B11="","",IF(OR(N11=0,AND(N11=1,O11=1)),1,0))</f>
        <v>1</v>
      </c>
      <c r="Q11" s="25"/>
      <c r="R11" s="404"/>
      <c r="S11" s="404"/>
      <c r="T11" s="404"/>
      <c r="U11" s="404"/>
      <c r="V11" s="404"/>
      <c r="Y11" s="28">
        <f ca="1">IF(B11="","",IF(AF11=1,1,IF(AND($J$3=2022,Q11=1,AD11&gt;=1),1,IF(AD11&gt;=2,1,0))))</f>
        <v>1</v>
      </c>
      <c r="Z11" s="28">
        <f ca="1">'ריכוז גיליונות עזר'!S11</f>
        <v>2</v>
      </c>
      <c r="AA11" s="28">
        <f ca="1">'ריכוז גיליונות עזר'!R11</f>
        <v>2</v>
      </c>
      <c r="AB11" s="28">
        <f ca="1">'ריכוז גיליונות עזר'!T11</f>
        <v>2</v>
      </c>
      <c r="AC11" s="216"/>
      <c r="AD11" s="28">
        <f ca="1">IF($B11="","",SUM(INDIRECT("'"&amp;SUBSTITUTE($B11,"'","''")&amp;"'"&amp;"!L2:P2")))</f>
        <v>2</v>
      </c>
      <c r="AE11" s="405" cm="1">
        <f t="array" aca="1" ref="AE11" ca="1">IF($B11="","",IF($F11="","",INDIRECT("'"&amp;SUBSTITUTE($B11,"'","''")&amp;"'"&amp;"!L6")))</f>
        <v>0</v>
      </c>
      <c r="AF11" s="216"/>
      <c r="AG11" s="28">
        <f ca="1">IF(B11="","",IF(AC11=1,1,IF(AD11+AE11*AF11&lt;=AB11,1,0)))</f>
        <v>1</v>
      </c>
      <c r="AH11" s="410">
        <f ca="1">'ריכוז גיליונות עזר'!U11</f>
        <v>0.93908629441624369</v>
      </c>
      <c r="AI11" s="216"/>
      <c r="AJ11" s="28">
        <f ca="1">IF(B11="","",IF(AI11=1,1,IF(AH11&gt;=פרמטרים!$B$46,1,0)))</f>
        <v>1</v>
      </c>
      <c r="AK11" s="25">
        <v>1</v>
      </c>
      <c r="AL11" s="28">
        <f ca="1">IFERROR(IF(B11="","",IF(SUM(BG11:BU11)=COUNT(BG11:BU11),1,0)),$AP$1)</f>
        <v>1</v>
      </c>
      <c r="AM11" s="492"/>
      <c r="AN11" s="28"/>
      <c r="AO11" s="26"/>
      <c r="AP11" s="62">
        <f t="shared" ref="AP11:AS12" ca="1" si="3">IF(ISERR(ROUND(R11,0)),0,IF(OR(R11&lt;0,$B11="",R11&lt;&gt;ROUND(R11,0)),0,1))</f>
        <v>1</v>
      </c>
      <c r="AQ11" s="57">
        <f t="shared" ca="1" si="3"/>
        <v>1</v>
      </c>
      <c r="AR11" s="57">
        <f t="shared" ca="1" si="3"/>
        <v>1</v>
      </c>
      <c r="AS11" s="58">
        <f t="shared" ca="1" si="3"/>
        <v>1</v>
      </c>
      <c r="AT11" s="67">
        <f t="array" aca="1" ref="AT11" ca="1">IF(OR(AP11:AS11=0),0,1)</f>
        <v>1</v>
      </c>
      <c r="AU11" s="65">
        <f t="shared" ref="AU11:AU50" si="4">IF(V11&lt;$A$1,V11,$A$1)</f>
        <v>0</v>
      </c>
      <c r="AV11" s="57">
        <f>IF(SUM($AU11:AU11)&lt;$A$1,IF(SUM($U11:V11)&lt;$A$1,U11,$A$1-SUM($AU11:AU11)),0)</f>
        <v>0</v>
      </c>
      <c r="AW11" s="57">
        <f>IF(SUM($AU11:AV11)&lt;$A$1,IF(SUM($T11:V11)&lt;$A$1,T11,$A$1-SUM($AU11:AV11)),0)</f>
        <v>0</v>
      </c>
      <c r="AX11" s="57">
        <f>IF(SUM($AU11:AW11)&lt;$A$1,IF(SUM($S11:V11)&lt;$A$1,S11,$A$1-SUM($AU11:AW11)),0)</f>
        <v>0</v>
      </c>
      <c r="AY11" s="57">
        <f>IF(SUM($AU11:AX11)&lt;$A$1,IF(SUM($R11:V11)&lt;$A$1,R11,$A$1-SUM($AU11:AX11)),0)</f>
        <v>0</v>
      </c>
      <c r="AZ11" s="59">
        <f t="shared" ref="AZ11:AZ12" si="5">AY11</f>
        <v>0</v>
      </c>
      <c r="BA11" s="57">
        <f t="shared" ref="BA11:BA12" si="6">AX11</f>
        <v>0</v>
      </c>
      <c r="BB11" s="57">
        <f t="shared" ref="BB11:BB12" si="7">AW11</f>
        <v>0</v>
      </c>
      <c r="BC11" s="63">
        <f t="shared" ref="BC11:BC12" si="8">AV11</f>
        <v>0</v>
      </c>
      <c r="BD11" s="63">
        <f t="shared" ref="BD11:BD12" si="9">AU11</f>
        <v>0</v>
      </c>
      <c r="BE11">
        <f ca="1">IF($B12="","",BE$10)</f>
        <v>0</v>
      </c>
      <c r="BF11">
        <f ca="1">IF($B12="","",BF$10)</f>
        <v>1</v>
      </c>
      <c r="BG11">
        <f t="shared" ref="BG11" ca="1" si="10">IF(D11="",0,IF(D11&lt;2,0,1))</f>
        <v>1</v>
      </c>
      <c r="BH11">
        <f t="shared" ref="BH11" si="11">IF(E11="",0,E11)</f>
        <v>1</v>
      </c>
      <c r="BI11">
        <f t="shared" ref="BI11" si="12">IF(F11="",0,F11)</f>
        <v>1</v>
      </c>
      <c r="BK11">
        <f t="shared" ref="BK11" si="13">IF(H11="",0,H11)</f>
        <v>1</v>
      </c>
      <c r="BL11">
        <f t="shared" ref="BL11" si="14">IF(I11="",0,I11)</f>
        <v>1</v>
      </c>
      <c r="BM11">
        <f t="shared" ref="BM11" si="15">IF(J11="",0,J11)</f>
        <v>1</v>
      </c>
      <c r="BN11">
        <f t="shared" ref="BN11" ca="1" si="16">IF(M11="",0,M11)</f>
        <v>1</v>
      </c>
      <c r="BO11">
        <f t="shared" ref="BO11" ca="1" si="17">IF(P11="",0,P11)</f>
        <v>1</v>
      </c>
      <c r="BP11">
        <f t="shared" ref="BP11" ca="1" si="18">IF(Y11="",0,Y11)</f>
        <v>1</v>
      </c>
      <c r="BQ11">
        <f ca="1">IF(AC11=1,1,IF(Z11="",0,IF('ריכוז גיליונות עזר'!W11=1,1,0)))</f>
        <v>1</v>
      </c>
      <c r="BR11">
        <f ca="1">IF(AC11=1,1,IF(AA11="",0,IF('ריכוז גיליונות עזר'!W11=1,1,0)))</f>
        <v>1</v>
      </c>
      <c r="BS11">
        <f t="shared" ref="BS11" ca="1" si="19">IF(AG11="",0,AG11)</f>
        <v>1</v>
      </c>
      <c r="BT11">
        <f t="shared" ref="BT11" ca="1" si="20">IF(AJ11="",0,AJ11)</f>
        <v>1</v>
      </c>
      <c r="BU11">
        <f t="shared" ref="BU11" si="21">IF(AK11="",0,AK11)</f>
        <v>1</v>
      </c>
      <c r="BW11" t="e">
        <f>IF(R11*#REF!&lt;200,0,1)</f>
        <v>#REF!</v>
      </c>
      <c r="BX11" t="e">
        <f>IF(S11*#REF!&lt;200,0,1)</f>
        <v>#REF!</v>
      </c>
      <c r="BY11" t="e">
        <f>IF(T11*#REF!&lt;200,0,1)</f>
        <v>#REF!</v>
      </c>
      <c r="BZ11" t="e">
        <f>IF(U11*#REF!&lt;200,0,1)</f>
        <v>#REF!</v>
      </c>
      <c r="CA11" t="e">
        <f>IF(V11*#REF!&lt;200,0,1)</f>
        <v>#REF!</v>
      </c>
    </row>
    <row r="12" spans="1:79" x14ac:dyDescent="0.2">
      <c r="A12" s="24">
        <f t="shared" ref="A12:A50" si="22">A11+1</f>
        <v>2</v>
      </c>
      <c r="B12" s="493" t="str">
        <f ca="1">IF('יהי (אורי צבי גרינברג)'!$F$1="2","",'יהי (אורי צבי גרינברג)'!$F$1)</f>
        <v>יהי (אורי צבי גרינברג)</v>
      </c>
      <c r="C12" s="265">
        <v>43466</v>
      </c>
      <c r="D12" s="155">
        <f t="shared" ca="1" si="0"/>
        <v>6.0054794520547947</v>
      </c>
      <c r="E12" s="25">
        <v>1</v>
      </c>
      <c r="F12" s="25">
        <v>1</v>
      </c>
      <c r="G12" s="25"/>
      <c r="H12" s="25">
        <v>1</v>
      </c>
      <c r="I12" s="25">
        <v>1</v>
      </c>
      <c r="J12" s="25">
        <v>1</v>
      </c>
      <c r="K12" s="25">
        <v>1</v>
      </c>
      <c r="L12" s="25">
        <v>1</v>
      </c>
      <c r="M12" s="28">
        <f t="shared" ca="1" si="1"/>
        <v>1</v>
      </c>
      <c r="N12" s="25">
        <v>0</v>
      </c>
      <c r="O12" s="25">
        <v>1</v>
      </c>
      <c r="P12" s="28">
        <f t="shared" ca="1" si="2"/>
        <v>1</v>
      </c>
      <c r="Q12" s="25"/>
      <c r="R12" s="405"/>
      <c r="S12" s="405"/>
      <c r="T12" s="405"/>
      <c r="U12" s="405"/>
      <c r="V12" s="405"/>
      <c r="Y12" s="28">
        <f t="shared" ref="Y12:Y50" ca="1" si="23">IF(B12="","",IF(AF12=1,1,IF(AND($J$3=2022,Q12=1,AD12&gt;=1),1,IF(AD12&gt;=2,1,0))))</f>
        <v>1</v>
      </c>
      <c r="Z12" s="28">
        <f ca="1">'ריכוז גיליונות עזר'!S12</f>
        <v>3</v>
      </c>
      <c r="AA12" s="28">
        <f ca="1">'ריכוז גיליונות עזר'!R12</f>
        <v>3</v>
      </c>
      <c r="AB12" s="28">
        <f ca="1">'ריכוז גיליונות עזר'!T12</f>
        <v>3</v>
      </c>
      <c r="AC12" s="25"/>
      <c r="AD12" s="28">
        <f t="shared" ref="AD12:AD50" ca="1" si="24">IF($B12="","",SUM(INDIRECT("'"&amp;SUBSTITUTE($B12,"'","''")&amp;"'"&amp;"!L2:P2")))</f>
        <v>3</v>
      </c>
      <c r="AE12" s="405" cm="1">
        <f t="array" aca="1" ref="AE12" ca="1">IF($B12="","",IF($F12="","",INDIRECT("'"&amp;SUBSTITUTE($B12,"'","''")&amp;"'"&amp;"!L6")))</f>
        <v>0</v>
      </c>
      <c r="AF12" s="25"/>
      <c r="AG12" s="28">
        <f t="shared" ref="AG12:AG25" ca="1" si="25">IF(B12="","",IF(AC12=1,1,IF(SUM(R12:V12)+AE12*AF12&lt;=AB12,1,0)))</f>
        <v>1</v>
      </c>
      <c r="AH12" s="410">
        <f ca="1">'ריכוז גיליונות עזר'!U12</f>
        <v>1</v>
      </c>
      <c r="AI12" s="25"/>
      <c r="AJ12" s="28">
        <f ca="1">IF(B12="","",IF(AI12=1,1,IF(AH12&gt;=פרמטרים!$B$46,1,0)))</f>
        <v>1</v>
      </c>
      <c r="AK12" s="25">
        <v>1</v>
      </c>
      <c r="AL12" s="28">
        <f t="shared" ref="AL12:AL50" ca="1" si="26">IFERROR(IF(B12="","",IF(SUM(BG12:BU12)=COUNT(BG12:BU12),1,0)),$AP$1)</f>
        <v>1</v>
      </c>
      <c r="AM12" s="220"/>
      <c r="AN12" s="28"/>
      <c r="AO12" s="26"/>
      <c r="AP12" s="62">
        <f t="shared" ca="1" si="3"/>
        <v>1</v>
      </c>
      <c r="AQ12" s="57">
        <f t="shared" ca="1" si="3"/>
        <v>1</v>
      </c>
      <c r="AR12" s="57">
        <f t="shared" ca="1" si="3"/>
        <v>1</v>
      </c>
      <c r="AS12" s="58">
        <f t="shared" ca="1" si="3"/>
        <v>1</v>
      </c>
      <c r="AT12" s="67">
        <f t="array" aca="1" ref="AT12" ca="1">IF(OR(AP12:AS12=0),0,1)</f>
        <v>1</v>
      </c>
      <c r="AU12" s="65">
        <f t="shared" si="4"/>
        <v>0</v>
      </c>
      <c r="AV12" s="57">
        <f>IF(SUM($AU12:AU12)&lt;$A$1,IF(SUM($U12:V12)&lt;$A$1,U12,$A$1-SUM($AU12:AU12)),0)</f>
        <v>0</v>
      </c>
      <c r="AW12" s="57">
        <f>IF(SUM($AU12:AV12)&lt;$A$1,IF(SUM($T12:V12)&lt;$A$1,T12,$A$1-SUM($AU12:AV12)),0)</f>
        <v>0</v>
      </c>
      <c r="AX12" s="57">
        <f>IF(SUM($AU12:AW12)&lt;$A$1,IF(SUM($S12:V12)&lt;$A$1,S12,$A$1-SUM($AU12:AW12)),0)</f>
        <v>0</v>
      </c>
      <c r="AY12" s="57">
        <f>IF(SUM($AU12:AX12)&lt;$A$1,IF(SUM($R12:V12)&lt;$A$1,R12,$A$1-SUM($AU12:AX12)),0)</f>
        <v>0</v>
      </c>
      <c r="AZ12" s="59">
        <f t="shared" si="5"/>
        <v>0</v>
      </c>
      <c r="BA12" s="57">
        <f t="shared" si="6"/>
        <v>0</v>
      </c>
      <c r="BB12" s="57">
        <f t="shared" si="7"/>
        <v>0</v>
      </c>
      <c r="BC12" s="63">
        <f t="shared" si="8"/>
        <v>0</v>
      </c>
      <c r="BD12" s="63">
        <f t="shared" si="9"/>
        <v>0</v>
      </c>
      <c r="BE12">
        <f t="shared" ref="BE12:BF48" ca="1" si="27">IF($B12="","",BE$10)</f>
        <v>0</v>
      </c>
      <c r="BF12">
        <f t="shared" ca="1" si="27"/>
        <v>1</v>
      </c>
      <c r="BG12">
        <f t="shared" ref="BG12:BG50" ca="1" si="28">IF(D12="",0,IF(D12&lt;2,0,1))</f>
        <v>1</v>
      </c>
      <c r="BH12">
        <f t="shared" ref="BH12:BH50" si="29">IF(E12="",0,E12)</f>
        <v>1</v>
      </c>
      <c r="BI12">
        <f t="shared" ref="BI12:BI50" si="30">IF(F12="",0,F12)</f>
        <v>1</v>
      </c>
      <c r="BK12">
        <f t="shared" ref="BK12:BK50" si="31">IF(H12="",0,H12)</f>
        <v>1</v>
      </c>
      <c r="BL12">
        <f t="shared" ref="BL12:BL50" si="32">IF(I12="",0,I12)</f>
        <v>1</v>
      </c>
      <c r="BM12">
        <f t="shared" ref="BM12:BM50" si="33">IF(J12="",0,J12)</f>
        <v>1</v>
      </c>
      <c r="BN12">
        <f t="shared" ref="BN12:BN50" ca="1" si="34">IF(M12="",0,M12)</f>
        <v>1</v>
      </c>
      <c r="BO12">
        <f t="shared" ref="BO12:BO50" ca="1" si="35">IF(P12="",0,P12)</f>
        <v>1</v>
      </c>
      <c r="BP12">
        <f t="shared" ref="BP12:BP50" ca="1" si="36">IF(Y12="",0,Y12)</f>
        <v>1</v>
      </c>
      <c r="BQ12">
        <f ca="1">IF(AC12=1,1,IF(Z12="",0,IF('ריכוז גיליונות עזר'!W12=1,1,0)))</f>
        <v>1</v>
      </c>
      <c r="BR12">
        <f ca="1">IF(AC12=1,1,IF(AA12="",0,IF('ריכוז גיליונות עזר'!W12=1,1,0)))</f>
        <v>1</v>
      </c>
      <c r="BS12">
        <f t="shared" ref="BS12:BS50" ca="1" si="37">IF(AG12="",0,AG12)</f>
        <v>1</v>
      </c>
      <c r="BT12">
        <f t="shared" ref="BT12:BT50" ca="1" si="38">IF(AJ12="",0,AJ12)</f>
        <v>1</v>
      </c>
      <c r="BU12">
        <f t="shared" ref="BU12:BU50" si="39">IF(AK12="",0,AK12)</f>
        <v>1</v>
      </c>
      <c r="BW12" t="e">
        <f>IF(R12*#REF!&lt;200,0,1)</f>
        <v>#REF!</v>
      </c>
      <c r="BX12" t="e">
        <f>IF(S12*#REF!&lt;200,0,1)</f>
        <v>#REF!</v>
      </c>
      <c r="BY12" t="e">
        <f>IF(T12*#REF!&lt;200,0,1)</f>
        <v>#REF!</v>
      </c>
      <c r="BZ12" t="e">
        <f>IF(U12*#REF!&lt;200,0,1)</f>
        <v>#REF!</v>
      </c>
      <c r="CA12" t="e">
        <f>IF(V12*#REF!&lt;200,0,1)</f>
        <v>#REF!</v>
      </c>
    </row>
    <row r="13" spans="1:79" x14ac:dyDescent="0.2">
      <c r="A13" s="24">
        <f t="shared" si="22"/>
        <v>3</v>
      </c>
      <c r="B13" s="493" t="str">
        <f ca="1">IF('3'!$F$1="3","",'3'!$F$1)</f>
        <v/>
      </c>
      <c r="C13" s="265"/>
      <c r="D13" s="155" t="str">
        <f t="shared" ca="1" si="0"/>
        <v/>
      </c>
      <c r="E13" s="25"/>
      <c r="F13" s="25"/>
      <c r="G13" s="25"/>
      <c r="H13" s="25"/>
      <c r="I13" s="25"/>
      <c r="J13" s="25"/>
      <c r="K13" s="25"/>
      <c r="L13" s="25"/>
      <c r="M13" s="28" t="str">
        <f t="shared" ca="1" si="1"/>
        <v/>
      </c>
      <c r="N13" s="25"/>
      <c r="O13" s="25"/>
      <c r="P13" s="28" t="str">
        <f t="shared" ca="1" si="2"/>
        <v/>
      </c>
      <c r="Q13" s="25"/>
      <c r="R13" s="405"/>
      <c r="S13" s="405"/>
      <c r="T13" s="405"/>
      <c r="U13" s="405"/>
      <c r="V13" s="405"/>
      <c r="Y13" s="28" t="str">
        <f t="shared" ca="1" si="23"/>
        <v/>
      </c>
      <c r="Z13" s="28" t="str">
        <f ca="1">'ריכוז גיליונות עזר'!S13</f>
        <v/>
      </c>
      <c r="AA13" s="28" t="str">
        <f ca="1">'ריכוז גיליונות עזר'!R13</f>
        <v/>
      </c>
      <c r="AB13" s="28" t="str">
        <f ca="1">'ריכוז גיליונות עזר'!T13</f>
        <v/>
      </c>
      <c r="AC13" s="25"/>
      <c r="AD13" s="28" t="str">
        <f t="shared" ca="1" si="24"/>
        <v/>
      </c>
      <c r="AE13" s="405" t="str" cm="1">
        <f t="array" aca="1" ref="AE13" ca="1">IF($B13="","",IF($F13="","",INDIRECT("'"&amp;SUBSTITUTE($B13,"'","''")&amp;"'"&amp;"!L6")))</f>
        <v/>
      </c>
      <c r="AF13" s="25"/>
      <c r="AG13" s="28" t="str">
        <f t="shared" ca="1" si="25"/>
        <v/>
      </c>
      <c r="AH13" s="410" t="str">
        <f ca="1">'ריכוז גיליונות עזר'!U13</f>
        <v/>
      </c>
      <c r="AI13" s="25"/>
      <c r="AJ13" s="28" t="str">
        <f ca="1">IF(B13="","",IF(AI13=1,1,IF(AH13&gt;=פרמטרים!$B$46,1,0)))</f>
        <v/>
      </c>
      <c r="AK13" s="25"/>
      <c r="AL13" s="28" t="str">
        <f t="shared" ca="1" si="26"/>
        <v/>
      </c>
      <c r="AM13" s="220"/>
      <c r="AN13" s="28"/>
      <c r="AO13" s="26"/>
      <c r="AP13" s="411" t="s">
        <v>128</v>
      </c>
      <c r="AQ13" s="57">
        <f t="shared" ref="AQ13:AQ48" ca="1" si="40">IF(ISERR(ROUND(S13,0)),0,IF(OR(S13&lt;0,$B13="",S13&lt;&gt;ROUND(S13,0)),0,1))</f>
        <v>0</v>
      </c>
      <c r="AR13" s="57">
        <f t="shared" ref="AR13:AR48" ca="1" si="41">IF(ISERR(ROUND(T13,0)),0,IF(OR(T13&lt;0,$B13="",T13&lt;&gt;ROUND(T13,0)),0,1))</f>
        <v>0</v>
      </c>
      <c r="AS13" s="58">
        <f t="shared" ref="AS13:AS48" ca="1" si="42">IF(ISERR(ROUND(U13,0)),0,IF(OR(U13&lt;0,$B13="",U13&lt;&gt;ROUND(U13,0)),0,1))</f>
        <v>0</v>
      </c>
      <c r="AT13" s="67">
        <f t="array" aca="1" ref="AT13" ca="1">IF(OR(AP13:AS13=0),0,1)</f>
        <v>0</v>
      </c>
      <c r="AU13" s="65">
        <f t="shared" si="4"/>
        <v>0</v>
      </c>
      <c r="AV13" s="57">
        <f>IF(SUM($AU13:AU13)&lt;$A$1,IF(SUM($U13:V13)&lt;$A$1,U13,$A$1-SUM($AU13:AU13)),0)</f>
        <v>0</v>
      </c>
      <c r="AW13" s="57">
        <f>IF(SUM($AU13:AV13)&lt;$A$1,IF(SUM($T13:V13)&lt;$A$1,T13,$A$1-SUM($AU13:AV13)),0)</f>
        <v>0</v>
      </c>
      <c r="AX13" s="57">
        <f>IF(SUM($AU13:AW13)&lt;$A$1,IF(SUM($S13:V13)&lt;$A$1,S13,$A$1-SUM($AU13:AW13)),0)</f>
        <v>0</v>
      </c>
      <c r="AY13" s="57">
        <f>IF(SUM($AU13:AX13)&lt;$A$1,IF(SUM($R13:V13)&lt;$A$1,R13,$A$1-SUM($AU13:AX13)),0)</f>
        <v>0</v>
      </c>
      <c r="AZ13" s="59">
        <f>AY13</f>
        <v>0</v>
      </c>
      <c r="BA13" s="57">
        <f>AX13</f>
        <v>0</v>
      </c>
      <c r="BB13" s="57">
        <f>AW13</f>
        <v>0</v>
      </c>
      <c r="BC13" s="63">
        <f>AV13</f>
        <v>0</v>
      </c>
      <c r="BD13" s="63">
        <f>AU13</f>
        <v>0</v>
      </c>
      <c r="BE13" t="str">
        <f t="shared" ca="1" si="27"/>
        <v/>
      </c>
      <c r="BF13" t="str">
        <f t="shared" ca="1" si="27"/>
        <v/>
      </c>
      <c r="BG13">
        <f t="shared" ca="1" si="28"/>
        <v>0</v>
      </c>
      <c r="BH13">
        <f t="shared" si="29"/>
        <v>0</v>
      </c>
      <c r="BI13">
        <f t="shared" si="30"/>
        <v>0</v>
      </c>
      <c r="BK13">
        <f t="shared" si="31"/>
        <v>0</v>
      </c>
      <c r="BL13">
        <f t="shared" si="32"/>
        <v>0</v>
      </c>
      <c r="BM13">
        <f t="shared" si="33"/>
        <v>0</v>
      </c>
      <c r="BN13">
        <f t="shared" ca="1" si="34"/>
        <v>0</v>
      </c>
      <c r="BO13">
        <f t="shared" ca="1" si="35"/>
        <v>0</v>
      </c>
      <c r="BP13">
        <f t="shared" ca="1" si="36"/>
        <v>0</v>
      </c>
      <c r="BQ13">
        <f ca="1">IF(AC13=1,1,IF(Z13="",0,IF('ריכוז גיליונות עזר'!W13=1,1,0)))</f>
        <v>0</v>
      </c>
      <c r="BR13">
        <f ca="1">IF(AC13=1,1,IF(AA13="",0,IF('ריכוז גיליונות עזר'!W13=1,1,0)))</f>
        <v>0</v>
      </c>
      <c r="BS13">
        <f t="shared" ca="1" si="37"/>
        <v>0</v>
      </c>
      <c r="BT13">
        <f t="shared" ca="1" si="38"/>
        <v>0</v>
      </c>
      <c r="BU13">
        <f t="shared" si="39"/>
        <v>0</v>
      </c>
      <c r="BW13" t="e">
        <f>IF(R13*#REF!&lt;200,0,1)</f>
        <v>#REF!</v>
      </c>
      <c r="BX13" t="e">
        <f>IF(S13*#REF!&lt;200,0,1)</f>
        <v>#REF!</v>
      </c>
      <c r="BY13" t="e">
        <f>IF(T13*#REF!&lt;200,0,1)</f>
        <v>#REF!</v>
      </c>
      <c r="BZ13" t="e">
        <f>IF(U13*#REF!&lt;200,0,1)</f>
        <v>#REF!</v>
      </c>
      <c r="CA13" t="e">
        <f>IF(V13*#REF!&lt;200,0,1)</f>
        <v>#REF!</v>
      </c>
    </row>
    <row r="14" spans="1:79" x14ac:dyDescent="0.2">
      <c r="A14" s="24">
        <f t="shared" si="22"/>
        <v>4</v>
      </c>
      <c r="B14" s="493" t="str">
        <f ca="1">IF('דעות (ברית נאמני תורה ועבודה)'!$F$1="4","",'דעות (ברית נאמני תורה ועבודה)'!$F$1)</f>
        <v>דעות (ברית נאמני תורה ועבודה)</v>
      </c>
      <c r="C14" s="265">
        <v>35796</v>
      </c>
      <c r="D14" s="155">
        <f t="shared" ca="1" si="0"/>
        <v>27.019178082191782</v>
      </c>
      <c r="E14" s="25">
        <v>1</v>
      </c>
      <c r="F14" s="25">
        <v>1</v>
      </c>
      <c r="G14" s="25"/>
      <c r="H14" s="25">
        <v>1</v>
      </c>
      <c r="I14" s="25">
        <v>1</v>
      </c>
      <c r="J14" s="25">
        <v>1</v>
      </c>
      <c r="K14" s="25">
        <v>0</v>
      </c>
      <c r="L14" s="25"/>
      <c r="M14" s="28">
        <f t="shared" ca="1" si="1"/>
        <v>1</v>
      </c>
      <c r="N14" s="25">
        <v>0</v>
      </c>
      <c r="O14" s="25"/>
      <c r="P14" s="28">
        <f t="shared" ca="1" si="2"/>
        <v>1</v>
      </c>
      <c r="Q14" s="25"/>
      <c r="R14" s="405"/>
      <c r="S14" s="405"/>
      <c r="T14" s="405"/>
      <c r="U14" s="405"/>
      <c r="V14" s="405"/>
      <c r="Y14" s="28">
        <f t="shared" ca="1" si="23"/>
        <v>1</v>
      </c>
      <c r="Z14" s="28">
        <f ca="1">'ריכוז גיליונות עזר'!S14</f>
        <v>3</v>
      </c>
      <c r="AA14" s="28">
        <f ca="1">'ריכוז גיליונות עזר'!R14</f>
        <v>3</v>
      </c>
      <c r="AB14" s="28">
        <f ca="1">'ריכוז גיליונות עזר'!T14</f>
        <v>3</v>
      </c>
      <c r="AC14" s="25"/>
      <c r="AD14" s="28">
        <f t="shared" ca="1" si="24"/>
        <v>3</v>
      </c>
      <c r="AE14" s="405" cm="1">
        <f t="array" aca="1" ref="AE14" ca="1">IF($B14="","",IF($F14="","",INDIRECT("'"&amp;SUBSTITUTE($B14,"'","''")&amp;"'"&amp;"!L6")))</f>
        <v>0</v>
      </c>
      <c r="AF14" s="25"/>
      <c r="AG14" s="28">
        <f t="shared" ca="1" si="25"/>
        <v>1</v>
      </c>
      <c r="AH14" s="410">
        <f ca="1">'ריכוז גיליונות עזר'!U14</f>
        <v>1</v>
      </c>
      <c r="AI14" s="25"/>
      <c r="AJ14" s="28">
        <f ca="1">IF(B14="","",IF(AI14=1,1,IF(AH14&gt;=פרמטרים!$B$46,1,0)))</f>
        <v>1</v>
      </c>
      <c r="AK14" s="25">
        <v>1</v>
      </c>
      <c r="AL14" s="28">
        <f t="shared" ca="1" si="26"/>
        <v>1</v>
      </c>
      <c r="AM14" s="220"/>
      <c r="AN14" s="28"/>
      <c r="AO14" s="26"/>
      <c r="AP14" s="62">
        <f t="shared" ref="AP14:AP48" ca="1" si="43">IF(ISERR(ROUND(R14,0)),0,IF(OR(R14&lt;0,$B14="",R14&lt;&gt;ROUND(R14,0)),0,1))</f>
        <v>1</v>
      </c>
      <c r="AQ14" s="57">
        <f t="shared" ca="1" si="40"/>
        <v>1</v>
      </c>
      <c r="AR14" s="57">
        <f t="shared" ca="1" si="41"/>
        <v>1</v>
      </c>
      <c r="AS14" s="58">
        <f t="shared" ca="1" si="42"/>
        <v>1</v>
      </c>
      <c r="AT14" s="67">
        <f t="array" aca="1" ref="AT14" ca="1">IF(OR(AP14:AS14=0),0,1)</f>
        <v>1</v>
      </c>
      <c r="AU14" s="65">
        <f t="shared" si="4"/>
        <v>0</v>
      </c>
      <c r="AV14" s="57">
        <f>IF(SUM($AU14:AU14)&lt;$A$1,IF(SUM($U14:V14)&lt;$A$1,U14,$A$1-SUM($AU14:AU14)),0)</f>
        <v>0</v>
      </c>
      <c r="AW14" s="57">
        <f>IF(SUM($AU14:AV14)&lt;$A$1,IF(SUM($T14:V14)&lt;$A$1,T14,$A$1-SUM($AU14:AV14)),0)</f>
        <v>0</v>
      </c>
      <c r="AX14" s="57">
        <f>IF(SUM($AU14:AW14)&lt;$A$1,IF(SUM($S14:V14)&lt;$A$1,S14,$A$1-SUM($AU14:AW14)),0)</f>
        <v>0</v>
      </c>
      <c r="AY14" s="57">
        <f>IF(SUM($AU14:AX14)&lt;$A$1,IF(SUM($R14:V14)&lt;$A$1,R14,$A$1-SUM($AU14:AX14)),0)</f>
        <v>0</v>
      </c>
      <c r="AZ14" s="59">
        <f>AY14</f>
        <v>0</v>
      </c>
      <c r="BA14" s="57">
        <f>AX14</f>
        <v>0</v>
      </c>
      <c r="BB14" s="57">
        <f>AW14</f>
        <v>0</v>
      </c>
      <c r="BC14" s="63">
        <f>AV14</f>
        <v>0</v>
      </c>
      <c r="BD14" s="63">
        <f>AU14</f>
        <v>0</v>
      </c>
      <c r="BE14">
        <f t="shared" ca="1" si="27"/>
        <v>0</v>
      </c>
      <c r="BF14">
        <f t="shared" ca="1" si="27"/>
        <v>1</v>
      </c>
      <c r="BG14">
        <f t="shared" ca="1" si="28"/>
        <v>1</v>
      </c>
      <c r="BH14">
        <f t="shared" si="29"/>
        <v>1</v>
      </c>
      <c r="BI14">
        <f t="shared" si="30"/>
        <v>1</v>
      </c>
      <c r="BK14">
        <f t="shared" si="31"/>
        <v>1</v>
      </c>
      <c r="BL14">
        <f t="shared" si="32"/>
        <v>1</v>
      </c>
      <c r="BM14">
        <f t="shared" si="33"/>
        <v>1</v>
      </c>
      <c r="BN14">
        <f t="shared" ca="1" si="34"/>
        <v>1</v>
      </c>
      <c r="BO14">
        <f t="shared" ca="1" si="35"/>
        <v>1</v>
      </c>
      <c r="BP14">
        <f t="shared" ca="1" si="36"/>
        <v>1</v>
      </c>
      <c r="BQ14">
        <f ca="1">IF(AC14=1,1,IF(Z14="",0,IF('ריכוז גיליונות עזר'!W14=1,1,0)))</f>
        <v>1</v>
      </c>
      <c r="BR14">
        <f ca="1">IF(AC14=1,1,IF(AA14="",0,IF('ריכוז גיליונות עזר'!W14=1,1,0)))</f>
        <v>1</v>
      </c>
      <c r="BS14">
        <f t="shared" ca="1" si="37"/>
        <v>1</v>
      </c>
      <c r="BT14">
        <f t="shared" ca="1" si="38"/>
        <v>1</v>
      </c>
      <c r="BU14">
        <f t="shared" si="39"/>
        <v>1</v>
      </c>
      <c r="BW14" t="e">
        <f>IF(R14*#REF!&lt;200,0,1)</f>
        <v>#REF!</v>
      </c>
      <c r="BX14" t="e">
        <f>IF(S14*#REF!&lt;200,0,1)</f>
        <v>#REF!</v>
      </c>
      <c r="BY14" t="e">
        <f>IF(T14*#REF!&lt;200,0,1)</f>
        <v>#REF!</v>
      </c>
      <c r="BZ14" t="e">
        <f>IF(U14*#REF!&lt;200,0,1)</f>
        <v>#REF!</v>
      </c>
      <c r="CA14" t="e">
        <f>IF(V14*#REF!&lt;200,0,1)</f>
        <v>#REF!</v>
      </c>
    </row>
    <row r="15" spans="1:79" x14ac:dyDescent="0.2">
      <c r="A15" s="24">
        <f t="shared" si="22"/>
        <v>5</v>
      </c>
      <c r="B15" s="493" t="str">
        <f ca="1">IF(הליקון!$F$1="5","",הליקון!$F$1)</f>
        <v>הליקון</v>
      </c>
      <c r="C15" s="265">
        <v>32874</v>
      </c>
      <c r="D15" s="155">
        <f t="shared" ca="1" si="0"/>
        <v>35.024657534246572</v>
      </c>
      <c r="E15" s="25">
        <v>1</v>
      </c>
      <c r="F15" s="25">
        <v>1</v>
      </c>
      <c r="G15" s="25"/>
      <c r="H15" s="25">
        <v>1</v>
      </c>
      <c r="I15" s="25">
        <v>1</v>
      </c>
      <c r="J15" s="25">
        <v>1</v>
      </c>
      <c r="K15" s="25">
        <v>1</v>
      </c>
      <c r="L15" s="25">
        <v>1</v>
      </c>
      <c r="M15" s="28">
        <f t="shared" ca="1" si="1"/>
        <v>1</v>
      </c>
      <c r="N15" s="25">
        <v>0</v>
      </c>
      <c r="O15" s="25"/>
      <c r="P15" s="28">
        <f t="shared" ca="1" si="2"/>
        <v>1</v>
      </c>
      <c r="Q15" s="25"/>
      <c r="R15" s="405"/>
      <c r="S15" s="405"/>
      <c r="T15" s="405"/>
      <c r="U15" s="405"/>
      <c r="V15" s="405"/>
      <c r="Y15" s="28">
        <f t="shared" ca="1" si="23"/>
        <v>1</v>
      </c>
      <c r="Z15" s="28">
        <f ca="1">'ריכוז גיליונות עזר'!S15</f>
        <v>3</v>
      </c>
      <c r="AA15" s="28">
        <f ca="1">'ריכוז גיליונות עזר'!R15</f>
        <v>3</v>
      </c>
      <c r="AB15" s="28">
        <f ca="1">'ריכוז גיליונות עזר'!T15</f>
        <v>3</v>
      </c>
      <c r="AC15" s="25"/>
      <c r="AD15" s="28">
        <f t="shared" ca="1" si="24"/>
        <v>3</v>
      </c>
      <c r="AE15" s="405" cm="1">
        <f t="array" aca="1" ref="AE15" ca="1">IF($B15="","",IF($F15="","",INDIRECT("'"&amp;SUBSTITUTE($B15,"'","''")&amp;"'"&amp;"!L6")))</f>
        <v>0</v>
      </c>
      <c r="AF15" s="25"/>
      <c r="AG15" s="28">
        <f t="shared" ca="1" si="25"/>
        <v>1</v>
      </c>
      <c r="AH15" s="410">
        <f ca="1">'ריכוז גיליונות עזר'!U15</f>
        <v>0.78761061946902655</v>
      </c>
      <c r="AI15" s="25"/>
      <c r="AJ15" s="28">
        <f ca="1">IF(B15="","",IF(AI15=1,1,IF(AH15&gt;=פרמטרים!$B$46,1,0)))</f>
        <v>1</v>
      </c>
      <c r="AK15" s="25">
        <v>1</v>
      </c>
      <c r="AL15" s="28">
        <f t="shared" ca="1" si="26"/>
        <v>1</v>
      </c>
      <c r="AM15" s="220"/>
      <c r="AN15" s="28"/>
      <c r="AO15" s="26"/>
      <c r="AP15" s="62">
        <f t="shared" ca="1" si="43"/>
        <v>1</v>
      </c>
      <c r="AQ15" s="57">
        <f t="shared" ca="1" si="40"/>
        <v>1</v>
      </c>
      <c r="AR15" s="57">
        <f t="shared" ca="1" si="41"/>
        <v>1</v>
      </c>
      <c r="AS15" s="58">
        <f t="shared" ca="1" si="42"/>
        <v>1</v>
      </c>
      <c r="AT15" s="67">
        <f t="array" aca="1" ref="AT15" ca="1">IF(OR(AP15:AS15=0),0,1)</f>
        <v>1</v>
      </c>
      <c r="AU15" s="65">
        <f t="shared" si="4"/>
        <v>0</v>
      </c>
      <c r="AV15" s="57">
        <f>IF(SUM($AU15:AU15)&lt;$A$1,IF(SUM($U15:V15)&lt;$A$1,U15,$A$1-SUM($AU15:AU15)),0)</f>
        <v>0</v>
      </c>
      <c r="AW15" s="57">
        <f>IF(SUM($AU15:AV15)&lt;$A$1,IF(SUM($T15:V15)&lt;$A$1,T15,$A$1-SUM($AU15:AV15)),0)</f>
        <v>0</v>
      </c>
      <c r="AX15" s="57">
        <f>IF(SUM($AU15:AW15)&lt;$A$1,IF(SUM($S15:V15)&lt;$A$1,S15,$A$1-SUM($AU15:AW15)),0)</f>
        <v>0</v>
      </c>
      <c r="AY15" s="57">
        <f>IF(SUM($AU15:AX15)&lt;$A$1,IF(SUM($R15:V15)&lt;$A$1,R15,$A$1-SUM($AU15:AX15)),0)</f>
        <v>0</v>
      </c>
      <c r="AZ15" s="59">
        <f>AY15</f>
        <v>0</v>
      </c>
      <c r="BA15" s="57">
        <f>AX15</f>
        <v>0</v>
      </c>
      <c r="BB15" s="57">
        <f>AW15</f>
        <v>0</v>
      </c>
      <c r="BC15" s="63">
        <f>AV15</f>
        <v>0</v>
      </c>
      <c r="BD15" s="63">
        <f>AU15</f>
        <v>0</v>
      </c>
      <c r="BE15">
        <f t="shared" ca="1" si="27"/>
        <v>0</v>
      </c>
      <c r="BF15">
        <f t="shared" ca="1" si="27"/>
        <v>1</v>
      </c>
      <c r="BG15">
        <f t="shared" ca="1" si="28"/>
        <v>1</v>
      </c>
      <c r="BH15">
        <f t="shared" si="29"/>
        <v>1</v>
      </c>
      <c r="BI15">
        <f t="shared" si="30"/>
        <v>1</v>
      </c>
      <c r="BK15">
        <f t="shared" si="31"/>
        <v>1</v>
      </c>
      <c r="BL15">
        <f t="shared" si="32"/>
        <v>1</v>
      </c>
      <c r="BM15">
        <f t="shared" si="33"/>
        <v>1</v>
      </c>
      <c r="BN15">
        <f t="shared" ca="1" si="34"/>
        <v>1</v>
      </c>
      <c r="BO15">
        <f t="shared" ca="1" si="35"/>
        <v>1</v>
      </c>
      <c r="BP15">
        <f t="shared" ca="1" si="36"/>
        <v>1</v>
      </c>
      <c r="BQ15">
        <f ca="1">IF(AC15=1,1,IF(Z15="",0,IF('ריכוז גיליונות עזר'!W15=1,1,0)))</f>
        <v>1</v>
      </c>
      <c r="BR15">
        <f ca="1">IF(AC15=1,1,IF(AA15="",0,IF('ריכוז גיליונות עזר'!W15=1,1,0)))</f>
        <v>1</v>
      </c>
      <c r="BS15">
        <f t="shared" ca="1" si="37"/>
        <v>1</v>
      </c>
      <c r="BT15">
        <f t="shared" ca="1" si="38"/>
        <v>1</v>
      </c>
      <c r="BU15">
        <f t="shared" si="39"/>
        <v>1</v>
      </c>
      <c r="BW15" t="e">
        <f>IF(R15*#REF!&lt;200,0,1)</f>
        <v>#REF!</v>
      </c>
      <c r="BX15" t="e">
        <f>IF(S15*#REF!&lt;200,0,1)</f>
        <v>#REF!</v>
      </c>
      <c r="BY15" t="e">
        <f>IF(T15*#REF!&lt;200,0,1)</f>
        <v>#REF!</v>
      </c>
      <c r="BZ15" t="e">
        <f>IF(U15*#REF!&lt;200,0,1)</f>
        <v>#REF!</v>
      </c>
      <c r="CA15" t="e">
        <f>IF(V15*#REF!&lt;200,0,1)</f>
        <v>#REF!</v>
      </c>
    </row>
    <row r="16" spans="1:79" x14ac:dyDescent="0.2">
      <c r="A16" s="24">
        <f t="shared" si="22"/>
        <v>6</v>
      </c>
      <c r="B16" s="493" t="str">
        <f ca="1">IF('6'!$F$1="6","",'6'!$F$1)</f>
        <v/>
      </c>
      <c r="C16" s="265"/>
      <c r="D16" s="155" t="str">
        <f t="shared" ca="1" si="0"/>
        <v/>
      </c>
      <c r="E16" s="25"/>
      <c r="F16" s="25"/>
      <c r="G16" s="25"/>
      <c r="H16" s="25"/>
      <c r="I16" s="25"/>
      <c r="J16" s="25"/>
      <c r="K16" s="25"/>
      <c r="L16" s="25"/>
      <c r="M16" s="28" t="str">
        <f t="shared" ca="1" si="1"/>
        <v/>
      </c>
      <c r="N16" s="25"/>
      <c r="O16" s="25"/>
      <c r="P16" s="28" t="str">
        <f t="shared" ca="1" si="2"/>
        <v/>
      </c>
      <c r="Q16" s="25"/>
      <c r="R16" s="405"/>
      <c r="S16" s="405"/>
      <c r="T16" s="405"/>
      <c r="U16" s="405"/>
      <c r="V16" s="405"/>
      <c r="Y16" s="28" t="str">
        <f t="shared" ca="1" si="23"/>
        <v/>
      </c>
      <c r="Z16" s="28" t="str">
        <f ca="1">'ריכוז גיליונות עזר'!S16</f>
        <v/>
      </c>
      <c r="AA16" s="28" t="str">
        <f ca="1">'ריכוז גיליונות עזר'!R16</f>
        <v/>
      </c>
      <c r="AB16" s="28" t="str">
        <f ca="1">'ריכוז גיליונות עזר'!T16</f>
        <v/>
      </c>
      <c r="AC16" s="25"/>
      <c r="AD16" s="28" t="str">
        <f t="shared" ca="1" si="24"/>
        <v/>
      </c>
      <c r="AE16" s="405" t="str" cm="1">
        <f t="array" aca="1" ref="AE16" ca="1">IF($B16="","",IF($F16="","",INDIRECT("'"&amp;SUBSTITUTE($B16,"'","''")&amp;"'"&amp;"!L6")))</f>
        <v/>
      </c>
      <c r="AF16" s="25"/>
      <c r="AG16" s="28" t="str">
        <f t="shared" ca="1" si="25"/>
        <v/>
      </c>
      <c r="AH16" s="410" t="str">
        <f ca="1">'ריכוז גיליונות עזר'!U16</f>
        <v/>
      </c>
      <c r="AI16" s="25"/>
      <c r="AJ16" s="28" t="str">
        <f ca="1">IF(B16="","",IF(AI16=1,1,IF(AH16&gt;=פרמטרים!$B$46,1,0)))</f>
        <v/>
      </c>
      <c r="AK16" s="25"/>
      <c r="AL16" s="28" t="str">
        <f t="shared" ca="1" si="26"/>
        <v/>
      </c>
      <c r="AM16" s="314"/>
      <c r="AN16" s="28"/>
      <c r="AO16" s="26"/>
      <c r="AP16" s="62">
        <f t="shared" ca="1" si="43"/>
        <v>0</v>
      </c>
      <c r="AQ16" s="57">
        <f t="shared" ca="1" si="40"/>
        <v>0</v>
      </c>
      <c r="AR16" s="57">
        <f t="shared" ca="1" si="41"/>
        <v>0</v>
      </c>
      <c r="AS16" s="58">
        <f t="shared" ca="1" si="42"/>
        <v>0</v>
      </c>
      <c r="AT16" s="67">
        <f t="array" aca="1" ref="AT16" ca="1">IF(OR(AP16:AS16=0),0,1)</f>
        <v>0</v>
      </c>
      <c r="AU16" s="65">
        <f t="shared" si="4"/>
        <v>0</v>
      </c>
      <c r="AV16" s="57">
        <f>IF(SUM($AU16:AU16)&lt;$A$1,IF(SUM($U16:V16)&lt;$A$1,U16,$A$1-SUM($AU16:AU16)),0)</f>
        <v>0</v>
      </c>
      <c r="AW16" s="57">
        <f>IF(SUM($AU16:AV16)&lt;$A$1,IF(SUM($T16:V16)&lt;$A$1,T16,$A$1-SUM($AU16:AV16)),0)</f>
        <v>0</v>
      </c>
      <c r="AX16" s="57">
        <f>IF(SUM($AU16:AW16)&lt;$A$1,IF(SUM($S16:V16)&lt;$A$1,S16,$A$1-SUM($AU16:AW16)),0)</f>
        <v>0</v>
      </c>
      <c r="AY16" s="57">
        <f>IF(SUM($AU16:AX16)&lt;$A$1,IF(SUM($R16:V16)&lt;$A$1,R16,$A$1-SUM($AU16:AX16)),0)</f>
        <v>0</v>
      </c>
      <c r="AZ16" s="59">
        <f t="shared" ref="AZ16:AZ50" si="44">AY16</f>
        <v>0</v>
      </c>
      <c r="BA16" s="57">
        <f t="shared" ref="BA16:BA50" si="45">AX16</f>
        <v>0</v>
      </c>
      <c r="BB16" s="57">
        <f t="shared" ref="BB16:BB50" si="46">AW16</f>
        <v>0</v>
      </c>
      <c r="BC16" s="63">
        <f t="shared" ref="BC16:BC50" si="47">AV16</f>
        <v>0</v>
      </c>
      <c r="BD16" s="63">
        <f t="shared" ref="BD16:BD51" si="48">AU16</f>
        <v>0</v>
      </c>
      <c r="BE16" t="str">
        <f t="shared" ca="1" si="27"/>
        <v/>
      </c>
      <c r="BF16" t="str">
        <f t="shared" ca="1" si="27"/>
        <v/>
      </c>
      <c r="BG16">
        <f t="shared" ca="1" si="28"/>
        <v>0</v>
      </c>
      <c r="BH16">
        <f t="shared" si="29"/>
        <v>0</v>
      </c>
      <c r="BI16">
        <f t="shared" si="30"/>
        <v>0</v>
      </c>
      <c r="BK16">
        <f t="shared" si="31"/>
        <v>0</v>
      </c>
      <c r="BL16">
        <f t="shared" si="32"/>
        <v>0</v>
      </c>
      <c r="BM16">
        <f t="shared" si="33"/>
        <v>0</v>
      </c>
      <c r="BN16">
        <f t="shared" ca="1" si="34"/>
        <v>0</v>
      </c>
      <c r="BO16">
        <f t="shared" ca="1" si="35"/>
        <v>0</v>
      </c>
      <c r="BP16">
        <f t="shared" ca="1" si="36"/>
        <v>0</v>
      </c>
      <c r="BQ16">
        <f ca="1">IF(AC16=1,1,IF(Z16="",0,IF('ריכוז גיליונות עזר'!W16=1,1,0)))</f>
        <v>0</v>
      </c>
      <c r="BR16">
        <f ca="1">IF(AC16=1,1,IF(AA16="",0,IF('ריכוז גיליונות עזר'!W16=1,1,0)))</f>
        <v>0</v>
      </c>
      <c r="BS16">
        <f t="shared" ca="1" si="37"/>
        <v>0</v>
      </c>
      <c r="BT16">
        <f t="shared" ca="1" si="38"/>
        <v>0</v>
      </c>
      <c r="BU16">
        <f t="shared" si="39"/>
        <v>0</v>
      </c>
      <c r="BW16" t="e">
        <f>IF(R16*#REF!&lt;200,0,1)</f>
        <v>#REF!</v>
      </c>
      <c r="BX16" t="e">
        <f>IF(S16*#REF!&lt;200,0,1)</f>
        <v>#REF!</v>
      </c>
      <c r="BY16" t="e">
        <f>IF(T16*#REF!&lt;200,0,1)</f>
        <v>#REF!</v>
      </c>
      <c r="BZ16" t="e">
        <f>IF(U16*#REF!&lt;200,0,1)</f>
        <v>#REF!</v>
      </c>
      <c r="CA16" t="e">
        <f>IF(V16*#REF!&lt;200,0,1)</f>
        <v>#REF!</v>
      </c>
    </row>
    <row r="17" spans="1:79" x14ac:dyDescent="0.2">
      <c r="A17" s="24">
        <f t="shared" si="22"/>
        <v>7</v>
      </c>
      <c r="B17" s="493" t="str">
        <f ca="1">IF('7'!$F$1="7","",'7'!$F$1)</f>
        <v/>
      </c>
      <c r="C17" s="265"/>
      <c r="D17" s="155" t="str">
        <f t="shared" ca="1" si="0"/>
        <v/>
      </c>
      <c r="E17" s="25"/>
      <c r="F17" s="25"/>
      <c r="G17" s="25"/>
      <c r="H17" s="25"/>
      <c r="I17" s="25"/>
      <c r="J17" s="25"/>
      <c r="K17" s="25"/>
      <c r="L17" s="25"/>
      <c r="M17" s="28" t="str">
        <f t="shared" ca="1" si="1"/>
        <v/>
      </c>
      <c r="N17" s="25"/>
      <c r="O17" s="25"/>
      <c r="P17" s="28" t="str">
        <f t="shared" ca="1" si="2"/>
        <v/>
      </c>
      <c r="Q17" s="25"/>
      <c r="R17" s="405"/>
      <c r="S17" s="405"/>
      <c r="T17" s="405"/>
      <c r="U17" s="405"/>
      <c r="V17" s="405"/>
      <c r="Y17" s="28" t="str">
        <f t="shared" ca="1" si="23"/>
        <v/>
      </c>
      <c r="Z17" s="28" t="str">
        <f ca="1">'ריכוז גיליונות עזר'!S17</f>
        <v/>
      </c>
      <c r="AA17" s="28" t="str">
        <f ca="1">'ריכוז גיליונות עזר'!R17</f>
        <v/>
      </c>
      <c r="AB17" s="28" t="str">
        <f ca="1">'ריכוז גיליונות עזר'!T17</f>
        <v/>
      </c>
      <c r="AC17" s="25"/>
      <c r="AD17" s="28" t="str">
        <f t="shared" ca="1" si="24"/>
        <v/>
      </c>
      <c r="AE17" s="405" t="str" cm="1">
        <f t="array" aca="1" ref="AE17" ca="1">IF($B17="","",IF($F17="","",INDIRECT("'"&amp;SUBSTITUTE($B17,"'","''")&amp;"'"&amp;"!L6")))</f>
        <v/>
      </c>
      <c r="AF17" s="25"/>
      <c r="AG17" s="28" t="str">
        <f t="shared" ca="1" si="25"/>
        <v/>
      </c>
      <c r="AH17" s="410" t="str">
        <f ca="1">'ריכוז גיליונות עזר'!U17</f>
        <v/>
      </c>
      <c r="AI17" s="25"/>
      <c r="AJ17" s="28" t="str">
        <f ca="1">IF(B17="","",IF(AI17=1,1,IF(AH17&gt;=פרמטרים!$B$46,1,0)))</f>
        <v/>
      </c>
      <c r="AK17" s="25"/>
      <c r="AL17" s="28" t="str">
        <f t="shared" ca="1" si="26"/>
        <v/>
      </c>
      <c r="AM17" s="220"/>
      <c r="AN17" s="28"/>
      <c r="AO17" s="26"/>
      <c r="AP17" s="62">
        <f t="shared" ca="1" si="43"/>
        <v>0</v>
      </c>
      <c r="AQ17" s="57">
        <f t="shared" ca="1" si="40"/>
        <v>0</v>
      </c>
      <c r="AR17" s="57">
        <f t="shared" ca="1" si="41"/>
        <v>0</v>
      </c>
      <c r="AS17" s="58">
        <f t="shared" ca="1" si="42"/>
        <v>0</v>
      </c>
      <c r="AT17" s="67">
        <f t="array" aca="1" ref="AT17" ca="1">IF(OR(AP17:AS17=0),0,1)</f>
        <v>0</v>
      </c>
      <c r="AU17" s="65">
        <f t="shared" si="4"/>
        <v>0</v>
      </c>
      <c r="AV17" s="57">
        <f>IF(SUM($AU17:AU17)&lt;$A$1,IF(SUM($U17:V17)&lt;$A$1,U17,$A$1-SUM($AU17:AU17)),0)</f>
        <v>0</v>
      </c>
      <c r="AW17" s="57">
        <f>IF(SUM($AU17:AV17)&lt;$A$1,IF(SUM($T17:V17)&lt;$A$1,T17,$A$1-SUM($AU17:AV17)),0)</f>
        <v>0</v>
      </c>
      <c r="AX17" s="57">
        <f>IF(SUM($AU17:AW17)&lt;$A$1,IF(SUM($S17:V17)&lt;$A$1,S17,$A$1-SUM($AU17:AW17)),0)</f>
        <v>0</v>
      </c>
      <c r="AY17" s="57">
        <f>IF(SUM($AU17:AX17)&lt;$A$1,IF(SUM($R17:V17)&lt;$A$1,R17,$A$1-SUM($AU17:AX17)),0)</f>
        <v>0</v>
      </c>
      <c r="AZ17" s="59">
        <f t="shared" si="44"/>
        <v>0</v>
      </c>
      <c r="BA17" s="57">
        <f t="shared" si="45"/>
        <v>0</v>
      </c>
      <c r="BB17" s="57">
        <f t="shared" si="46"/>
        <v>0</v>
      </c>
      <c r="BC17" s="63">
        <f t="shared" si="47"/>
        <v>0</v>
      </c>
      <c r="BD17" s="63">
        <f t="shared" si="48"/>
        <v>0</v>
      </c>
      <c r="BE17" t="str">
        <f t="shared" ca="1" si="27"/>
        <v/>
      </c>
      <c r="BF17" t="str">
        <f t="shared" ca="1" si="27"/>
        <v/>
      </c>
      <c r="BG17">
        <f t="shared" ca="1" si="28"/>
        <v>0</v>
      </c>
      <c r="BH17">
        <f t="shared" si="29"/>
        <v>0</v>
      </c>
      <c r="BI17">
        <f t="shared" si="30"/>
        <v>0</v>
      </c>
      <c r="BK17">
        <f t="shared" si="31"/>
        <v>0</v>
      </c>
      <c r="BL17">
        <f t="shared" si="32"/>
        <v>0</v>
      </c>
      <c r="BM17">
        <f t="shared" si="33"/>
        <v>0</v>
      </c>
      <c r="BN17">
        <f t="shared" ca="1" si="34"/>
        <v>0</v>
      </c>
      <c r="BO17">
        <f t="shared" ca="1" si="35"/>
        <v>0</v>
      </c>
      <c r="BP17">
        <f t="shared" ca="1" si="36"/>
        <v>0</v>
      </c>
      <c r="BQ17">
        <f ca="1">IF(AC17=1,1,IF(Z17="",0,IF('ריכוז גיליונות עזר'!W17=1,1,0)))</f>
        <v>0</v>
      </c>
      <c r="BR17">
        <f ca="1">IF(AC17=1,1,IF(AA17="",0,IF('ריכוז גיליונות עזר'!W17=1,1,0)))</f>
        <v>0</v>
      </c>
      <c r="BS17">
        <f t="shared" ca="1" si="37"/>
        <v>0</v>
      </c>
      <c r="BT17">
        <f t="shared" ca="1" si="38"/>
        <v>0</v>
      </c>
      <c r="BU17">
        <f t="shared" si="39"/>
        <v>0</v>
      </c>
      <c r="BW17" t="e">
        <f>IF(R17*#REF!&lt;200,0,1)</f>
        <v>#REF!</v>
      </c>
      <c r="BX17" t="e">
        <f>IF(S17*#REF!&lt;200,0,1)</f>
        <v>#REF!</v>
      </c>
      <c r="BY17" t="e">
        <f>IF(T17*#REF!&lt;200,0,1)</f>
        <v>#REF!</v>
      </c>
      <c r="BZ17" t="e">
        <f>IF(U17*#REF!&lt;200,0,1)</f>
        <v>#REF!</v>
      </c>
      <c r="CA17" t="e">
        <f>IF(V17*#REF!&lt;200,0,1)</f>
        <v>#REF!</v>
      </c>
    </row>
    <row r="18" spans="1:79" x14ac:dyDescent="0.2">
      <c r="A18" s="24">
        <f t="shared" si="22"/>
        <v>8</v>
      </c>
      <c r="B18" s="493" t="str">
        <f ca="1">IF('ננפואטיקה (עמותת מקום לשירה)'!$F$1="8","",'ננפואטיקה (עמותת מקום לשירה)'!$F$1)</f>
        <v>ננפואטיקה (עמותת מקום לשירה)</v>
      </c>
      <c r="C18" s="265">
        <v>41640</v>
      </c>
      <c r="D18" s="155">
        <f t="shared" ca="1" si="0"/>
        <v>11.008219178082191</v>
      </c>
      <c r="E18" s="25">
        <v>1</v>
      </c>
      <c r="F18" s="25">
        <v>1</v>
      </c>
      <c r="G18" s="25"/>
      <c r="H18" s="25">
        <v>1</v>
      </c>
      <c r="I18" s="25">
        <v>1</v>
      </c>
      <c r="J18" s="25">
        <v>1</v>
      </c>
      <c r="K18" s="25">
        <v>1</v>
      </c>
      <c r="L18" s="25">
        <v>1</v>
      </c>
      <c r="M18" s="28">
        <f t="shared" ca="1" si="1"/>
        <v>1</v>
      </c>
      <c r="N18" s="25">
        <v>0</v>
      </c>
      <c r="O18" s="25"/>
      <c r="P18" s="28">
        <f t="shared" ca="1" si="2"/>
        <v>1</v>
      </c>
      <c r="Q18" s="25"/>
      <c r="R18" s="405"/>
      <c r="S18" s="405"/>
      <c r="T18" s="405"/>
      <c r="U18" s="405"/>
      <c r="V18" s="405"/>
      <c r="Y18" s="28">
        <f t="shared" ca="1" si="23"/>
        <v>1</v>
      </c>
      <c r="Z18" s="28">
        <f ca="1">'ריכוז גיליונות עזר'!S18</f>
        <v>5</v>
      </c>
      <c r="AA18" s="28">
        <f ca="1">'ריכוז גיליונות עזר'!R18</f>
        <v>5</v>
      </c>
      <c r="AB18" s="28">
        <f ca="1">'ריכוז גיליונות עזר'!T18</f>
        <v>5</v>
      </c>
      <c r="AC18" s="25"/>
      <c r="AD18" s="28">
        <f t="shared" ca="1" si="24"/>
        <v>5</v>
      </c>
      <c r="AE18" s="405" cm="1">
        <f t="array" aca="1" ref="AE18" ca="1">IF($B18="","",IF($F18="","",INDIRECT("'"&amp;SUBSTITUTE($B18,"'","''")&amp;"'"&amp;"!L6")))</f>
        <v>0</v>
      </c>
      <c r="AF18" s="25"/>
      <c r="AG18" s="28">
        <f t="shared" ca="1" si="25"/>
        <v>1</v>
      </c>
      <c r="AH18" s="410">
        <f ca="1">'ריכוז גיליונות עזר'!U18</f>
        <v>0.97289156626506024</v>
      </c>
      <c r="AI18" s="25"/>
      <c r="AJ18" s="28">
        <f ca="1">IF(B18="","",IF(AI18=1,1,IF(AH18&gt;=פרמטרים!$B$46,1,0)))</f>
        <v>1</v>
      </c>
      <c r="AK18" s="25">
        <v>1</v>
      </c>
      <c r="AL18" s="28">
        <f t="shared" ca="1" si="26"/>
        <v>1</v>
      </c>
      <c r="AM18" s="220"/>
      <c r="AN18" s="28"/>
      <c r="AO18" s="26"/>
      <c r="AP18" s="62">
        <f t="shared" ca="1" si="43"/>
        <v>1</v>
      </c>
      <c r="AQ18" s="57">
        <f t="shared" ca="1" si="40"/>
        <v>1</v>
      </c>
      <c r="AR18" s="57">
        <f t="shared" ca="1" si="41"/>
        <v>1</v>
      </c>
      <c r="AS18" s="58">
        <f t="shared" ca="1" si="42"/>
        <v>1</v>
      </c>
      <c r="AT18" s="67">
        <f t="array" aca="1" ref="AT18" ca="1">IF(OR(AP18:AS18=0),0,1)</f>
        <v>1</v>
      </c>
      <c r="AU18" s="65">
        <f t="shared" si="4"/>
        <v>0</v>
      </c>
      <c r="AV18" s="57">
        <f>IF(SUM($AU18:AU18)&lt;$A$1,IF(SUM($U18:V18)&lt;$A$1,U18,$A$1-SUM($AU18:AU18)),0)</f>
        <v>0</v>
      </c>
      <c r="AW18" s="57">
        <f>IF(SUM($AU18:AV18)&lt;$A$1,IF(SUM($T18:V18)&lt;$A$1,T18,$A$1-SUM($AU18:AV18)),0)</f>
        <v>0</v>
      </c>
      <c r="AX18" s="57">
        <f>IF(SUM($AU18:AW18)&lt;$A$1,IF(SUM($S18:V18)&lt;$A$1,S18,$A$1-SUM($AU18:AW18)),0)</f>
        <v>0</v>
      </c>
      <c r="AY18" s="57">
        <f>IF(SUM($AU18:AX18)&lt;$A$1,IF(SUM($R18:V18)&lt;$A$1,R18,$A$1-SUM($AU18:AX18)),0)</f>
        <v>0</v>
      </c>
      <c r="AZ18" s="59">
        <f t="shared" si="44"/>
        <v>0</v>
      </c>
      <c r="BA18" s="57">
        <f t="shared" si="45"/>
        <v>0</v>
      </c>
      <c r="BB18" s="57">
        <f t="shared" si="46"/>
        <v>0</v>
      </c>
      <c r="BC18" s="63">
        <f t="shared" si="47"/>
        <v>0</v>
      </c>
      <c r="BD18" s="63">
        <f t="shared" si="48"/>
        <v>0</v>
      </c>
      <c r="BE18">
        <f t="shared" ca="1" si="27"/>
        <v>0</v>
      </c>
      <c r="BF18">
        <f t="shared" ca="1" si="27"/>
        <v>1</v>
      </c>
      <c r="BG18">
        <f t="shared" ca="1" si="28"/>
        <v>1</v>
      </c>
      <c r="BH18">
        <f t="shared" si="29"/>
        <v>1</v>
      </c>
      <c r="BI18">
        <f t="shared" si="30"/>
        <v>1</v>
      </c>
      <c r="BK18">
        <f t="shared" si="31"/>
        <v>1</v>
      </c>
      <c r="BL18">
        <f t="shared" si="32"/>
        <v>1</v>
      </c>
      <c r="BM18">
        <f t="shared" si="33"/>
        <v>1</v>
      </c>
      <c r="BN18">
        <f t="shared" ca="1" si="34"/>
        <v>1</v>
      </c>
      <c r="BO18">
        <f t="shared" ca="1" si="35"/>
        <v>1</v>
      </c>
      <c r="BP18">
        <f t="shared" ca="1" si="36"/>
        <v>1</v>
      </c>
      <c r="BQ18">
        <f ca="1">IF(AC18=1,1,IF(Z18="",0,IF('ריכוז גיליונות עזר'!W18=1,1,0)))</f>
        <v>1</v>
      </c>
      <c r="BR18">
        <f ca="1">IF(AC18=1,1,IF(AA18="",0,IF('ריכוז גיליונות עזר'!W18=1,1,0)))</f>
        <v>1</v>
      </c>
      <c r="BS18">
        <f t="shared" ca="1" si="37"/>
        <v>1</v>
      </c>
      <c r="BT18">
        <f t="shared" ca="1" si="38"/>
        <v>1</v>
      </c>
      <c r="BU18">
        <f t="shared" si="39"/>
        <v>1</v>
      </c>
      <c r="BW18" t="e">
        <f>IF(R18*#REF!&lt;200,0,1)</f>
        <v>#REF!</v>
      </c>
      <c r="BX18" t="e">
        <f>IF(S18*#REF!&lt;200,0,1)</f>
        <v>#REF!</v>
      </c>
      <c r="BY18" t="e">
        <f>IF(T18*#REF!&lt;200,0,1)</f>
        <v>#REF!</v>
      </c>
      <c r="BZ18" t="e">
        <f>IF(U18*#REF!&lt;200,0,1)</f>
        <v>#REF!</v>
      </c>
      <c r="CA18" t="e">
        <f>IF(V18*#REF!&lt;200,0,1)</f>
        <v>#REF!</v>
      </c>
    </row>
    <row r="19" spans="1:79" x14ac:dyDescent="0.2">
      <c r="A19" s="24">
        <f t="shared" si="22"/>
        <v>9</v>
      </c>
      <c r="B19" s="493" t="str">
        <f ca="1">IF('מאזניים (אגודת הסופרים העבריים)'!$F$1="9","",'מאזניים (אגודת הסופרים העבריים)'!$F$1)</f>
        <v>מאזניים (אגודת הסופרים העבריים)</v>
      </c>
      <c r="C19" s="265">
        <v>10594</v>
      </c>
      <c r="D19" s="155">
        <f t="shared" ca="1" si="0"/>
        <v>96.06575342465753</v>
      </c>
      <c r="E19" s="25">
        <v>1</v>
      </c>
      <c r="F19" s="25">
        <v>1</v>
      </c>
      <c r="G19" s="25"/>
      <c r="H19" s="25">
        <v>1</v>
      </c>
      <c r="I19" s="25">
        <v>1</v>
      </c>
      <c r="J19" s="25">
        <v>1</v>
      </c>
      <c r="K19" s="25">
        <v>1</v>
      </c>
      <c r="L19" s="25">
        <v>1</v>
      </c>
      <c r="M19" s="28">
        <f t="shared" ca="1" si="1"/>
        <v>1</v>
      </c>
      <c r="N19" s="25">
        <v>0</v>
      </c>
      <c r="O19" s="25"/>
      <c r="P19" s="28">
        <f t="shared" ca="1" si="2"/>
        <v>1</v>
      </c>
      <c r="Q19" s="25"/>
      <c r="R19" s="405"/>
      <c r="S19" s="405"/>
      <c r="T19" s="405"/>
      <c r="U19" s="405"/>
      <c r="V19" s="405"/>
      <c r="Y19" s="28">
        <f t="shared" ca="1" si="23"/>
        <v>1</v>
      </c>
      <c r="Z19" s="28">
        <f ca="1">'ריכוז גיליונות עזר'!S19</f>
        <v>5</v>
      </c>
      <c r="AA19" s="28">
        <f ca="1">'ריכוז גיליונות עזר'!R19</f>
        <v>5</v>
      </c>
      <c r="AB19" s="28">
        <f ca="1">'ריכוז גיליונות עזר'!T19</f>
        <v>5</v>
      </c>
      <c r="AC19" s="25"/>
      <c r="AD19" s="28">
        <f t="shared" ca="1" si="24"/>
        <v>5</v>
      </c>
      <c r="AE19" s="405" cm="1">
        <f t="array" aca="1" ref="AE19" ca="1">IF($B19="","",IF($F19="","",INDIRECT("'"&amp;SUBSTITUTE($B19,"'","''")&amp;"'"&amp;"!L6")))</f>
        <v>0</v>
      </c>
      <c r="AF19" s="25"/>
      <c r="AG19" s="28">
        <f t="shared" ca="1" si="25"/>
        <v>1</v>
      </c>
      <c r="AH19" s="410">
        <f ca="1">'ריכוז גיליונות עזר'!U19</f>
        <v>0.97237569060773477</v>
      </c>
      <c r="AI19" s="25"/>
      <c r="AJ19" s="28">
        <f ca="1">IF(B19="","",IF(AI19=1,1,IF(AH19&gt;=פרמטרים!$B$46,1,0)))</f>
        <v>1</v>
      </c>
      <c r="AK19" s="25">
        <v>1</v>
      </c>
      <c r="AL19" s="28">
        <f t="shared" ca="1" si="26"/>
        <v>1</v>
      </c>
      <c r="AM19" s="220"/>
      <c r="AN19" s="28"/>
      <c r="AO19" s="26"/>
      <c r="AP19" s="62">
        <f t="shared" ca="1" si="43"/>
        <v>1</v>
      </c>
      <c r="AQ19" s="57">
        <f t="shared" ca="1" si="40"/>
        <v>1</v>
      </c>
      <c r="AR19" s="57">
        <f t="shared" ca="1" si="41"/>
        <v>1</v>
      </c>
      <c r="AS19" s="58">
        <f t="shared" ca="1" si="42"/>
        <v>1</v>
      </c>
      <c r="AT19" s="67">
        <f t="array" aca="1" ref="AT19" ca="1">IF(OR(AP19:AS19=0),0,1)</f>
        <v>1</v>
      </c>
      <c r="AU19" s="65">
        <f t="shared" si="4"/>
        <v>0</v>
      </c>
      <c r="AV19" s="57">
        <f>IF(SUM($AU19:AU19)&lt;$A$1,IF(SUM($U19:V19)&lt;$A$1,U19,$A$1-SUM($AU19:AU19)),0)</f>
        <v>0</v>
      </c>
      <c r="AW19" s="57">
        <f>IF(SUM($AU19:AV19)&lt;$A$1,IF(SUM($T19:V19)&lt;$A$1,T19,$A$1-SUM($AU19:AV19)),0)</f>
        <v>0</v>
      </c>
      <c r="AX19" s="57">
        <f>IF(SUM($AU19:AW19)&lt;$A$1,IF(SUM($S19:V19)&lt;$A$1,S19,$A$1-SUM($AU19:AW19)),0)</f>
        <v>0</v>
      </c>
      <c r="AY19" s="57">
        <f>IF(SUM($AU19:AX19)&lt;$A$1,IF(SUM($R19:V19)&lt;$A$1,R19,$A$1-SUM($AU19:AX19)),0)</f>
        <v>0</v>
      </c>
      <c r="AZ19" s="59">
        <f t="shared" si="44"/>
        <v>0</v>
      </c>
      <c r="BA19" s="57">
        <f t="shared" si="45"/>
        <v>0</v>
      </c>
      <c r="BB19" s="57">
        <f t="shared" si="46"/>
        <v>0</v>
      </c>
      <c r="BC19" s="63">
        <f t="shared" si="47"/>
        <v>0</v>
      </c>
      <c r="BD19" s="63">
        <f t="shared" si="48"/>
        <v>0</v>
      </c>
      <c r="BE19">
        <f t="shared" ca="1" si="27"/>
        <v>0</v>
      </c>
      <c r="BF19">
        <f t="shared" ca="1" si="27"/>
        <v>1</v>
      </c>
      <c r="BG19">
        <f t="shared" ca="1" si="28"/>
        <v>1</v>
      </c>
      <c r="BH19">
        <f t="shared" si="29"/>
        <v>1</v>
      </c>
      <c r="BI19">
        <f t="shared" si="30"/>
        <v>1</v>
      </c>
      <c r="BK19">
        <f t="shared" si="31"/>
        <v>1</v>
      </c>
      <c r="BL19">
        <f t="shared" si="32"/>
        <v>1</v>
      </c>
      <c r="BM19">
        <f t="shared" si="33"/>
        <v>1</v>
      </c>
      <c r="BN19">
        <f t="shared" ca="1" si="34"/>
        <v>1</v>
      </c>
      <c r="BO19">
        <f t="shared" ca="1" si="35"/>
        <v>1</v>
      </c>
      <c r="BP19">
        <f t="shared" ca="1" si="36"/>
        <v>1</v>
      </c>
      <c r="BQ19">
        <f ca="1">IF(AC19=1,1,IF(Z19="",0,IF('ריכוז גיליונות עזר'!W19=1,1,0)))</f>
        <v>1</v>
      </c>
      <c r="BR19">
        <f ca="1">IF(AC19=1,1,IF(AA19="",0,IF('ריכוז גיליונות עזר'!W19=1,1,0)))</f>
        <v>1</v>
      </c>
      <c r="BS19">
        <f t="shared" ca="1" si="37"/>
        <v>1</v>
      </c>
      <c r="BT19">
        <f t="shared" ca="1" si="38"/>
        <v>1</v>
      </c>
      <c r="BU19">
        <f t="shared" si="39"/>
        <v>1</v>
      </c>
      <c r="BW19" t="e">
        <f>IF(R19*#REF!&lt;200,0,1)</f>
        <v>#REF!</v>
      </c>
      <c r="BX19" t="e">
        <f>IF(S19*#REF!&lt;200,0,1)</f>
        <v>#REF!</v>
      </c>
      <c r="BY19" t="e">
        <f>IF(T19*#REF!&lt;200,0,1)</f>
        <v>#REF!</v>
      </c>
      <c r="BZ19" t="e">
        <f>IF(U19*#REF!&lt;200,0,1)</f>
        <v>#REF!</v>
      </c>
      <c r="CA19" t="e">
        <f>IF(V19*#REF!&lt;200,0,1)</f>
        <v>#REF!</v>
      </c>
    </row>
    <row r="20" spans="1:79" x14ac:dyDescent="0.2">
      <c r="A20" s="24">
        <f t="shared" si="22"/>
        <v>10</v>
      </c>
      <c r="B20" s="493" t="str">
        <f ca="1">IF('משיב הרוח'!$F$1="10","",'משיב הרוח'!$F$1)</f>
        <v>משיב הרוח</v>
      </c>
      <c r="C20" s="265">
        <v>34335</v>
      </c>
      <c r="D20" s="155">
        <f t="shared" ca="1" si="0"/>
        <v>31.021917808219179</v>
      </c>
      <c r="E20" s="25">
        <v>1</v>
      </c>
      <c r="F20" s="25">
        <v>1</v>
      </c>
      <c r="G20" s="25"/>
      <c r="H20" s="25">
        <v>1</v>
      </c>
      <c r="I20" s="25">
        <v>1</v>
      </c>
      <c r="J20" s="25">
        <v>1</v>
      </c>
      <c r="K20" s="25">
        <v>1</v>
      </c>
      <c r="L20" s="25">
        <v>1</v>
      </c>
      <c r="M20" s="28">
        <f t="shared" ca="1" si="1"/>
        <v>1</v>
      </c>
      <c r="N20" s="25">
        <v>0</v>
      </c>
      <c r="O20" s="25"/>
      <c r="P20" s="28">
        <f t="shared" ca="1" si="2"/>
        <v>1</v>
      </c>
      <c r="Q20" s="25"/>
      <c r="R20" s="405"/>
      <c r="S20" s="405"/>
      <c r="T20" s="405"/>
      <c r="U20" s="405"/>
      <c r="V20" s="405"/>
      <c r="Y20" s="28">
        <f t="shared" ca="1" si="23"/>
        <v>1</v>
      </c>
      <c r="Z20" s="28">
        <f ca="1">'ריכוז גיליונות עזר'!S20</f>
        <v>5</v>
      </c>
      <c r="AA20" s="28">
        <f ca="1">'ריכוז גיליונות עזר'!R20</f>
        <v>5</v>
      </c>
      <c r="AB20" s="28">
        <f ca="1">'ריכוז גיליונות עזר'!T20</f>
        <v>5</v>
      </c>
      <c r="AC20" s="25"/>
      <c r="AD20" s="28">
        <f t="shared" ca="1" si="24"/>
        <v>5</v>
      </c>
      <c r="AE20" s="405" cm="1">
        <f t="array" aca="1" ref="AE20" ca="1">IF($B20="","",IF($F20="","",INDIRECT("'"&amp;SUBSTITUTE($B20,"'","''")&amp;"'"&amp;"!L6")))</f>
        <v>0</v>
      </c>
      <c r="AF20" s="25"/>
      <c r="AG20" s="28">
        <f t="shared" ca="1" si="25"/>
        <v>1</v>
      </c>
      <c r="AH20" s="410">
        <f ca="1">'ריכוז גיליונות עזר'!U20</f>
        <v>0.88978494623655913</v>
      </c>
      <c r="AI20" s="25"/>
      <c r="AJ20" s="28">
        <f ca="1">IF(B20="","",IF(AI20=1,1,IF(AH20&gt;=פרמטרים!$B$46,1,0)))</f>
        <v>1</v>
      </c>
      <c r="AK20" s="25">
        <v>1</v>
      </c>
      <c r="AL20" s="28">
        <f t="shared" ca="1" si="26"/>
        <v>1</v>
      </c>
      <c r="AM20" s="220"/>
      <c r="AN20" s="28"/>
      <c r="AO20" s="26"/>
      <c r="AP20" s="62">
        <f t="shared" ca="1" si="43"/>
        <v>1</v>
      </c>
      <c r="AQ20" s="57">
        <f t="shared" ca="1" si="40"/>
        <v>1</v>
      </c>
      <c r="AR20" s="57">
        <f t="shared" ca="1" si="41"/>
        <v>1</v>
      </c>
      <c r="AS20" s="58">
        <f t="shared" ca="1" si="42"/>
        <v>1</v>
      </c>
      <c r="AT20" s="67">
        <f t="array" aca="1" ref="AT20" ca="1">IF(OR(AP20:AS20=0),0,1)</f>
        <v>1</v>
      </c>
      <c r="AU20" s="65">
        <f t="shared" si="4"/>
        <v>0</v>
      </c>
      <c r="AV20" s="57">
        <f>IF(SUM($AU20:AU20)&lt;$A$1,IF(SUM($U20:V20)&lt;$A$1,U20,$A$1-SUM($AU20:AU20)),0)</f>
        <v>0</v>
      </c>
      <c r="AW20" s="57">
        <f>IF(SUM($AU20:AV20)&lt;$A$1,IF(SUM($T20:V20)&lt;$A$1,T20,$A$1-SUM($AU20:AV20)),0)</f>
        <v>0</v>
      </c>
      <c r="AX20" s="57">
        <f>IF(SUM($AU20:AW20)&lt;$A$1,IF(SUM($S20:V20)&lt;$A$1,S20,$A$1-SUM($AU20:AW20)),0)</f>
        <v>0</v>
      </c>
      <c r="AY20" s="57">
        <f>IF(SUM($AU20:AX20)&lt;$A$1,IF(SUM($R20:V20)&lt;$A$1,R20,$A$1-SUM($AU20:AX20)),0)</f>
        <v>0</v>
      </c>
      <c r="AZ20" s="59">
        <f t="shared" si="44"/>
        <v>0</v>
      </c>
      <c r="BA20" s="57">
        <f t="shared" si="45"/>
        <v>0</v>
      </c>
      <c r="BB20" s="57">
        <f t="shared" si="46"/>
        <v>0</v>
      </c>
      <c r="BC20" s="63">
        <f t="shared" si="47"/>
        <v>0</v>
      </c>
      <c r="BD20" s="63">
        <f t="shared" si="48"/>
        <v>0</v>
      </c>
      <c r="BE20">
        <f t="shared" ca="1" si="27"/>
        <v>0</v>
      </c>
      <c r="BF20">
        <f t="shared" ca="1" si="27"/>
        <v>1</v>
      </c>
      <c r="BG20">
        <f t="shared" ca="1" si="28"/>
        <v>1</v>
      </c>
      <c r="BH20">
        <f t="shared" si="29"/>
        <v>1</v>
      </c>
      <c r="BI20">
        <f t="shared" si="30"/>
        <v>1</v>
      </c>
      <c r="BK20">
        <f t="shared" si="31"/>
        <v>1</v>
      </c>
      <c r="BL20">
        <f t="shared" si="32"/>
        <v>1</v>
      </c>
      <c r="BM20">
        <f t="shared" si="33"/>
        <v>1</v>
      </c>
      <c r="BN20">
        <f t="shared" ca="1" si="34"/>
        <v>1</v>
      </c>
      <c r="BO20">
        <f t="shared" ca="1" si="35"/>
        <v>1</v>
      </c>
      <c r="BP20">
        <f t="shared" ca="1" si="36"/>
        <v>1</v>
      </c>
      <c r="BQ20">
        <f ca="1">IF(AC20=1,1,IF(Z20="",0,IF('ריכוז גיליונות עזר'!W20=1,1,0)))</f>
        <v>1</v>
      </c>
      <c r="BR20">
        <f ca="1">IF(AC20=1,1,IF(AA20="",0,IF('ריכוז גיליונות עזר'!W20=1,1,0)))</f>
        <v>1</v>
      </c>
      <c r="BS20">
        <f t="shared" ca="1" si="37"/>
        <v>1</v>
      </c>
      <c r="BT20">
        <f t="shared" ca="1" si="38"/>
        <v>1</v>
      </c>
      <c r="BU20">
        <f t="shared" si="39"/>
        <v>1</v>
      </c>
      <c r="BW20" t="e">
        <f>IF(R20*#REF!&lt;200,0,1)</f>
        <v>#REF!</v>
      </c>
      <c r="BX20" t="e">
        <f>IF(S20*#REF!&lt;200,0,1)</f>
        <v>#REF!</v>
      </c>
      <c r="BY20" t="e">
        <f>IF(T20*#REF!&lt;200,0,1)</f>
        <v>#REF!</v>
      </c>
      <c r="BZ20" t="e">
        <f>IF(U20*#REF!&lt;200,0,1)</f>
        <v>#REF!</v>
      </c>
      <c r="CA20" t="e">
        <f>IF(V20*#REF!&lt;200,0,1)</f>
        <v>#REF!</v>
      </c>
    </row>
    <row r="21" spans="1:79" x14ac:dyDescent="0.2">
      <c r="A21" s="24">
        <f t="shared" si="22"/>
        <v>11</v>
      </c>
      <c r="B21" s="493" t="str">
        <f ca="1">IF('עמדה (עמותת מונטן)'!$F$1="11","",'עמדה (עמותת מונטן)'!$F$1)</f>
        <v>עמדה (עמותת מונטן)</v>
      </c>
      <c r="C21" s="265">
        <v>34700</v>
      </c>
      <c r="D21" s="155">
        <f t="shared" ca="1" si="0"/>
        <v>30.021917808219179</v>
      </c>
      <c r="E21" s="25">
        <v>1</v>
      </c>
      <c r="F21" s="25">
        <v>1</v>
      </c>
      <c r="G21" s="25"/>
      <c r="H21" s="25">
        <v>1</v>
      </c>
      <c r="I21" s="25">
        <v>1</v>
      </c>
      <c r="J21" s="25">
        <v>1</v>
      </c>
      <c r="K21" s="25">
        <v>0</v>
      </c>
      <c r="L21" s="25"/>
      <c r="M21" s="28">
        <f t="shared" ca="1" si="1"/>
        <v>1</v>
      </c>
      <c r="N21" s="25">
        <v>0</v>
      </c>
      <c r="O21" s="25"/>
      <c r="P21" s="28">
        <f t="shared" ca="1" si="2"/>
        <v>1</v>
      </c>
      <c r="Q21" s="25"/>
      <c r="R21" s="405"/>
      <c r="S21" s="405"/>
      <c r="T21" s="405"/>
      <c r="U21" s="405"/>
      <c r="V21" s="405"/>
      <c r="Y21" s="28">
        <f t="shared" ca="1" si="23"/>
        <v>1</v>
      </c>
      <c r="Z21" s="28">
        <f ca="1">'ריכוז גיליונות עזר'!S21</f>
        <v>2</v>
      </c>
      <c r="AA21" s="28">
        <f ca="1">'ריכוז גיליונות עזר'!R21</f>
        <v>2</v>
      </c>
      <c r="AB21" s="28">
        <f ca="1">'ריכוז גיליונות עזר'!T21</f>
        <v>2</v>
      </c>
      <c r="AC21" s="25"/>
      <c r="AD21" s="28">
        <f t="shared" ca="1" si="24"/>
        <v>2</v>
      </c>
      <c r="AE21" s="405" cm="1">
        <f t="array" aca="1" ref="AE21" ca="1">IF($B21="","",IF($F21="","",INDIRECT("'"&amp;SUBSTITUTE($B21,"'","''")&amp;"'"&amp;"!L6")))</f>
        <v>0</v>
      </c>
      <c r="AF21" s="25"/>
      <c r="AG21" s="28">
        <f t="shared" ca="1" si="25"/>
        <v>1</v>
      </c>
      <c r="AH21" s="410">
        <f ca="1">'ריכוז גיליונות עזר'!U21</f>
        <v>1</v>
      </c>
      <c r="AI21" s="25"/>
      <c r="AJ21" s="28">
        <f ca="1">IF(B21="","",IF(AI21=1,1,IF(AH21&gt;=פרמטרים!$B$46,1,0)))</f>
        <v>1</v>
      </c>
      <c r="AK21" s="25">
        <v>1</v>
      </c>
      <c r="AL21" s="28">
        <f t="shared" ca="1" si="26"/>
        <v>1</v>
      </c>
      <c r="AM21" s="220"/>
      <c r="AN21" s="28"/>
      <c r="AO21" s="26"/>
      <c r="AP21" s="62">
        <f t="shared" ca="1" si="43"/>
        <v>1</v>
      </c>
      <c r="AQ21" s="57">
        <f t="shared" ca="1" si="40"/>
        <v>1</v>
      </c>
      <c r="AR21" s="57">
        <f t="shared" ca="1" si="41"/>
        <v>1</v>
      </c>
      <c r="AS21" s="58">
        <f t="shared" ca="1" si="42"/>
        <v>1</v>
      </c>
      <c r="AT21" s="67">
        <f t="array" aca="1" ref="AT21" ca="1">IF(OR(AP21:AS21=0),0,1)</f>
        <v>1</v>
      </c>
      <c r="AU21" s="65">
        <f t="shared" si="4"/>
        <v>0</v>
      </c>
      <c r="AV21" s="57">
        <f>IF(SUM($AU21:AU21)&lt;$A$1,IF(SUM($U21:V21)&lt;$A$1,U21,$A$1-SUM($AU21:AU21)),0)</f>
        <v>0</v>
      </c>
      <c r="AW21" s="57">
        <f>IF(SUM($AU21:AV21)&lt;$A$1,IF(SUM($T21:V21)&lt;$A$1,T21,$A$1-SUM($AU21:AV21)),0)</f>
        <v>0</v>
      </c>
      <c r="AX21" s="57">
        <f>IF(SUM($AU21:AW21)&lt;$A$1,IF(SUM($S21:V21)&lt;$A$1,S21,$A$1-SUM($AU21:AW21)),0)</f>
        <v>0</v>
      </c>
      <c r="AY21" s="57">
        <f>IF(SUM($AU21:AX21)&lt;$A$1,IF(SUM($R21:V21)&lt;$A$1,R21,$A$1-SUM($AU21:AX21)),0)</f>
        <v>0</v>
      </c>
      <c r="AZ21" s="59">
        <f t="shared" si="44"/>
        <v>0</v>
      </c>
      <c r="BA21" s="57">
        <f t="shared" si="45"/>
        <v>0</v>
      </c>
      <c r="BB21" s="57">
        <f t="shared" si="46"/>
        <v>0</v>
      </c>
      <c r="BC21" s="63">
        <f t="shared" si="47"/>
        <v>0</v>
      </c>
      <c r="BD21" s="63">
        <f t="shared" si="48"/>
        <v>0</v>
      </c>
      <c r="BE21">
        <f t="shared" ca="1" si="27"/>
        <v>0</v>
      </c>
      <c r="BF21">
        <f t="shared" ca="1" si="27"/>
        <v>1</v>
      </c>
      <c r="BG21">
        <f t="shared" ca="1" si="28"/>
        <v>1</v>
      </c>
      <c r="BH21">
        <f t="shared" si="29"/>
        <v>1</v>
      </c>
      <c r="BI21">
        <f t="shared" si="30"/>
        <v>1</v>
      </c>
      <c r="BK21">
        <f t="shared" si="31"/>
        <v>1</v>
      </c>
      <c r="BL21">
        <f t="shared" si="32"/>
        <v>1</v>
      </c>
      <c r="BM21">
        <f t="shared" si="33"/>
        <v>1</v>
      </c>
      <c r="BN21">
        <f t="shared" ca="1" si="34"/>
        <v>1</v>
      </c>
      <c r="BO21">
        <f t="shared" ca="1" si="35"/>
        <v>1</v>
      </c>
      <c r="BP21">
        <f t="shared" ca="1" si="36"/>
        <v>1</v>
      </c>
      <c r="BQ21">
        <f ca="1">IF(AC21=1,1,IF(Z21="",0,IF('ריכוז גיליונות עזר'!W21=1,1,0)))</f>
        <v>1</v>
      </c>
      <c r="BR21">
        <f ca="1">IF(AC21=1,1,IF(AA21="",0,IF('ריכוז גיליונות עזר'!W21=1,1,0)))</f>
        <v>1</v>
      </c>
      <c r="BS21">
        <f t="shared" ca="1" si="37"/>
        <v>1</v>
      </c>
      <c r="BT21">
        <f t="shared" ca="1" si="38"/>
        <v>1</v>
      </c>
      <c r="BU21">
        <f t="shared" si="39"/>
        <v>1</v>
      </c>
      <c r="BW21" t="e">
        <f>IF(R21*#REF!&lt;200,0,1)</f>
        <v>#REF!</v>
      </c>
      <c r="BX21" t="e">
        <f>IF(S21*#REF!&lt;200,0,1)</f>
        <v>#REF!</v>
      </c>
      <c r="BY21" t="e">
        <f>IF(T21*#REF!&lt;200,0,1)</f>
        <v>#REF!</v>
      </c>
      <c r="BZ21" t="e">
        <f>IF(U21*#REF!&lt;200,0,1)</f>
        <v>#REF!</v>
      </c>
      <c r="CA21" t="e">
        <f>IF(V21*#REF!&lt;200,0,1)</f>
        <v>#REF!</v>
      </c>
    </row>
    <row r="22" spans="1:79" ht="39.75" customHeight="1" x14ac:dyDescent="0.2">
      <c r="A22" s="24">
        <f t="shared" si="22"/>
        <v>12</v>
      </c>
      <c r="B22" s="493" t="str">
        <f ca="1">IF('עתון 77 (אגודת סופרים ואמנים)'!$F$1="12","",'עתון 77 (אגודת סופרים ואמנים)'!$F$1)</f>
        <v>עתון 77 (אגודת סופרים ואמנים)</v>
      </c>
      <c r="C22" s="265">
        <v>28126</v>
      </c>
      <c r="D22" s="155">
        <f t="shared" ca="1" si="0"/>
        <v>48.032876712328765</v>
      </c>
      <c r="E22" s="25">
        <v>1</v>
      </c>
      <c r="F22" s="25">
        <v>1</v>
      </c>
      <c r="G22" s="25"/>
      <c r="H22" s="25">
        <v>1</v>
      </c>
      <c r="I22" s="25">
        <v>1</v>
      </c>
      <c r="J22" s="25">
        <v>1</v>
      </c>
      <c r="K22" s="25">
        <v>0</v>
      </c>
      <c r="L22" s="25">
        <v>0</v>
      </c>
      <c r="M22" s="28">
        <f t="shared" ca="1" si="1"/>
        <v>1</v>
      </c>
      <c r="N22" s="25">
        <v>0</v>
      </c>
      <c r="O22" s="25"/>
      <c r="P22" s="28">
        <f t="shared" ca="1" si="2"/>
        <v>1</v>
      </c>
      <c r="Q22" s="25"/>
      <c r="R22" s="405"/>
      <c r="S22" s="405"/>
      <c r="T22" s="405"/>
      <c r="U22" s="405"/>
      <c r="V22" s="405"/>
      <c r="Y22" s="28">
        <f t="shared" ca="1" si="23"/>
        <v>1</v>
      </c>
      <c r="Z22" s="28">
        <f ca="1">'ריכוז גיליונות עזר'!S22</f>
        <v>6</v>
      </c>
      <c r="AA22" s="28">
        <f ca="1">'ריכוז גיליונות עזר'!R22</f>
        <v>6</v>
      </c>
      <c r="AB22" s="28">
        <f ca="1">'ריכוז גיליונות עזר'!T22</f>
        <v>6</v>
      </c>
      <c r="AC22" s="25"/>
      <c r="AD22" s="28">
        <f t="shared" ca="1" si="24"/>
        <v>6</v>
      </c>
      <c r="AE22" s="405" cm="1">
        <f t="array" aca="1" ref="AE22" ca="1">IF($B22="","",IF($F22="","",INDIRECT("'"&amp;SUBSTITUTE($B22,"'","''")&amp;"'"&amp;"!L6")))</f>
        <v>0</v>
      </c>
      <c r="AF22" s="25"/>
      <c r="AG22" s="28">
        <f t="shared" ca="1" si="25"/>
        <v>1</v>
      </c>
      <c r="AH22" s="410">
        <f ca="1">'ריכוז גיליונות עזר'!U22</f>
        <v>0.86746987951807231</v>
      </c>
      <c r="AI22" s="25"/>
      <c r="AJ22" s="28">
        <f ca="1">IF(B22="","",IF(AI22=1,1,IF(AH22&gt;=פרמטרים!$B$46,1,0)))</f>
        <v>1</v>
      </c>
      <c r="AK22" s="25">
        <v>1</v>
      </c>
      <c r="AL22" s="28">
        <f t="shared" ca="1" si="26"/>
        <v>1</v>
      </c>
      <c r="AM22" s="220"/>
      <c r="AN22" s="28"/>
      <c r="AO22" s="26"/>
      <c r="AP22" s="62">
        <f t="shared" ca="1" si="43"/>
        <v>1</v>
      </c>
      <c r="AQ22" s="57">
        <f t="shared" ca="1" si="40"/>
        <v>1</v>
      </c>
      <c r="AR22" s="57">
        <f t="shared" ca="1" si="41"/>
        <v>1</v>
      </c>
      <c r="AS22" s="58">
        <f t="shared" ca="1" si="42"/>
        <v>1</v>
      </c>
      <c r="AT22" s="67">
        <f t="array" aca="1" ref="AT22" ca="1">IF(OR(AP22:AS22=0),0,1)</f>
        <v>1</v>
      </c>
      <c r="AU22" s="65">
        <f t="shared" si="4"/>
        <v>0</v>
      </c>
      <c r="AV22" s="57">
        <f>IF(SUM($AU22:AU22)&lt;$A$1,IF(SUM($U22:V22)&lt;$A$1,U22,$A$1-SUM($AU22:AU22)),0)</f>
        <v>0</v>
      </c>
      <c r="AW22" s="57">
        <f>IF(SUM($AU22:AV22)&lt;$A$1,IF(SUM($T22:V22)&lt;$A$1,T22,$A$1-SUM($AU22:AV22)),0)</f>
        <v>0</v>
      </c>
      <c r="AX22" s="57">
        <f>IF(SUM($AU22:AW22)&lt;$A$1,IF(SUM($S22:V22)&lt;$A$1,S22,$A$1-SUM($AU22:AW22)),0)</f>
        <v>0</v>
      </c>
      <c r="AY22" s="57">
        <f>IF(SUM($AU22:AX22)&lt;$A$1,IF(SUM($R22:V22)&lt;$A$1,R22,$A$1-SUM($AU22:AX22)),0)</f>
        <v>0</v>
      </c>
      <c r="AZ22" s="59">
        <f t="shared" si="44"/>
        <v>0</v>
      </c>
      <c r="BA22" s="57">
        <f t="shared" si="45"/>
        <v>0</v>
      </c>
      <c r="BB22" s="57">
        <f t="shared" si="46"/>
        <v>0</v>
      </c>
      <c r="BC22" s="63">
        <f t="shared" si="47"/>
        <v>0</v>
      </c>
      <c r="BD22" s="63">
        <f t="shared" si="48"/>
        <v>0</v>
      </c>
      <c r="BE22">
        <f t="shared" ca="1" si="27"/>
        <v>0</v>
      </c>
      <c r="BF22">
        <f t="shared" ca="1" si="27"/>
        <v>1</v>
      </c>
      <c r="BG22">
        <f t="shared" ca="1" si="28"/>
        <v>1</v>
      </c>
      <c r="BH22">
        <f t="shared" si="29"/>
        <v>1</v>
      </c>
      <c r="BI22">
        <f t="shared" si="30"/>
        <v>1</v>
      </c>
      <c r="BK22">
        <f t="shared" si="31"/>
        <v>1</v>
      </c>
      <c r="BL22">
        <f t="shared" si="32"/>
        <v>1</v>
      </c>
      <c r="BM22">
        <f t="shared" si="33"/>
        <v>1</v>
      </c>
      <c r="BN22">
        <f t="shared" ca="1" si="34"/>
        <v>1</v>
      </c>
      <c r="BO22">
        <f t="shared" ca="1" si="35"/>
        <v>1</v>
      </c>
      <c r="BP22">
        <f t="shared" ca="1" si="36"/>
        <v>1</v>
      </c>
      <c r="BQ22">
        <f ca="1">IF(AC22=1,1,IF(Z22="",0,IF('ריכוז גיליונות עזר'!W22=1,1,0)))</f>
        <v>1</v>
      </c>
      <c r="BR22">
        <f ca="1">IF(AC22=1,1,IF(AA22="",0,IF('ריכוז גיליונות עזר'!W22=1,1,0)))</f>
        <v>1</v>
      </c>
      <c r="BS22">
        <f t="shared" ca="1" si="37"/>
        <v>1</v>
      </c>
      <c r="BT22">
        <f t="shared" ca="1" si="38"/>
        <v>1</v>
      </c>
      <c r="BU22">
        <f t="shared" si="39"/>
        <v>1</v>
      </c>
      <c r="BW22" t="e">
        <f>IF(R22*#REF!&lt;200,0,1)</f>
        <v>#REF!</v>
      </c>
      <c r="BX22" t="e">
        <f>IF(S22*#REF!&lt;200,0,1)</f>
        <v>#REF!</v>
      </c>
      <c r="BY22" t="e">
        <f>IF(T22*#REF!&lt;200,0,1)</f>
        <v>#REF!</v>
      </c>
      <c r="BZ22" t="e">
        <f>IF(U22*#REF!&lt;200,0,1)</f>
        <v>#REF!</v>
      </c>
      <c r="CA22" t="e">
        <f>IF(V22*#REF!&lt;200,0,1)</f>
        <v>#REF!</v>
      </c>
    </row>
    <row r="23" spans="1:79" x14ac:dyDescent="0.2">
      <c r="A23" s="24">
        <f t="shared" si="22"/>
        <v>13</v>
      </c>
      <c r="B23" s="493" t="str">
        <f ca="1">IF('13'!$F$1="13","",'13'!$F$1)</f>
        <v/>
      </c>
      <c r="C23" s="265"/>
      <c r="D23" s="155" t="str">
        <f t="shared" ca="1" si="0"/>
        <v/>
      </c>
      <c r="E23" s="25"/>
      <c r="F23" s="25"/>
      <c r="G23" s="25"/>
      <c r="H23" s="25"/>
      <c r="I23" s="25"/>
      <c r="J23" s="25"/>
      <c r="K23" s="25"/>
      <c r="L23" s="25"/>
      <c r="M23" s="28" t="str">
        <f t="shared" ca="1" si="1"/>
        <v/>
      </c>
      <c r="N23" s="25"/>
      <c r="O23" s="25"/>
      <c r="P23" s="28" t="str">
        <f t="shared" ca="1" si="2"/>
        <v/>
      </c>
      <c r="Q23" s="25"/>
      <c r="R23" s="405"/>
      <c r="S23" s="405"/>
      <c r="T23" s="405"/>
      <c r="U23" s="405"/>
      <c r="V23" s="405"/>
      <c r="Y23" s="28" t="str">
        <f t="shared" ca="1" si="23"/>
        <v/>
      </c>
      <c r="Z23" s="28" t="str">
        <f ca="1">'ריכוז גיליונות עזר'!S23</f>
        <v/>
      </c>
      <c r="AA23" s="28" t="str">
        <f ca="1">'ריכוז גיליונות עזר'!R23</f>
        <v/>
      </c>
      <c r="AB23" s="28" t="str">
        <f ca="1">'ריכוז גיליונות עזר'!T23</f>
        <v/>
      </c>
      <c r="AC23" s="25"/>
      <c r="AD23" s="28" t="str">
        <f t="shared" ca="1" si="24"/>
        <v/>
      </c>
      <c r="AE23" s="405" t="str" cm="1">
        <f t="array" aca="1" ref="AE23" ca="1">IF($B23="","",IF($F23="","",INDIRECT("'"&amp;SUBSTITUTE($B23,"'","''")&amp;"'"&amp;"!L6")))</f>
        <v/>
      </c>
      <c r="AF23" s="25"/>
      <c r="AG23" s="28" t="str">
        <f t="shared" ca="1" si="25"/>
        <v/>
      </c>
      <c r="AH23" s="410" t="str">
        <f ca="1">'ריכוז גיליונות עזר'!U23</f>
        <v/>
      </c>
      <c r="AI23" s="25"/>
      <c r="AJ23" s="28" t="str">
        <f ca="1">IF(B23="","",IF(AI23=1,1,IF(AH23&gt;=פרמטרים!$B$46,1,0)))</f>
        <v/>
      </c>
      <c r="AK23" s="25"/>
      <c r="AL23" s="28" t="str">
        <f t="shared" ca="1" si="26"/>
        <v/>
      </c>
      <c r="AM23" s="314"/>
      <c r="AN23" s="28"/>
      <c r="AO23" s="26"/>
      <c r="AP23" s="62">
        <f t="shared" ca="1" si="43"/>
        <v>0</v>
      </c>
      <c r="AQ23" s="57">
        <f t="shared" ca="1" si="40"/>
        <v>0</v>
      </c>
      <c r="AR23" s="57">
        <f t="shared" ca="1" si="41"/>
        <v>0</v>
      </c>
      <c r="AS23" s="58">
        <f t="shared" ca="1" si="42"/>
        <v>0</v>
      </c>
      <c r="AT23" s="67">
        <f t="array" aca="1" ref="AT23" ca="1">IF(OR(AP23:AS23=0),0,1)</f>
        <v>0</v>
      </c>
      <c r="AU23" s="65">
        <f t="shared" si="4"/>
        <v>0</v>
      </c>
      <c r="AV23" s="57">
        <f>IF(SUM($AU23:AU23)&lt;$A$1,IF(SUM($U23:V23)&lt;$A$1,U23,$A$1-SUM($AU23:AU23)),0)</f>
        <v>0</v>
      </c>
      <c r="AW23" s="57">
        <f>IF(SUM($AU23:AV23)&lt;$A$1,IF(SUM($T23:V23)&lt;$A$1,T23,$A$1-SUM($AU23:AV23)),0)</f>
        <v>0</v>
      </c>
      <c r="AX23" s="57">
        <f>IF(SUM($AU23:AW23)&lt;$A$1,IF(SUM($S23:V23)&lt;$A$1,S23,$A$1-SUM($AU23:AW23)),0)</f>
        <v>0</v>
      </c>
      <c r="AY23" s="57">
        <f>IF(SUM($AU23:AX23)&lt;$A$1,IF(SUM($R23:V23)&lt;$A$1,R23,$A$1-SUM($AU23:AX23)),0)</f>
        <v>0</v>
      </c>
      <c r="AZ23" s="59">
        <f t="shared" si="44"/>
        <v>0</v>
      </c>
      <c r="BA23" s="57">
        <f t="shared" si="45"/>
        <v>0</v>
      </c>
      <c r="BB23" s="57">
        <f t="shared" si="46"/>
        <v>0</v>
      </c>
      <c r="BC23" s="63">
        <f t="shared" si="47"/>
        <v>0</v>
      </c>
      <c r="BD23" s="63">
        <f t="shared" si="48"/>
        <v>0</v>
      </c>
      <c r="BE23" t="str">
        <f t="shared" ca="1" si="27"/>
        <v/>
      </c>
      <c r="BF23" t="str">
        <f t="shared" ca="1" si="27"/>
        <v/>
      </c>
      <c r="BG23">
        <f t="shared" ca="1" si="28"/>
        <v>0</v>
      </c>
      <c r="BH23">
        <f t="shared" si="29"/>
        <v>0</v>
      </c>
      <c r="BI23">
        <f t="shared" si="30"/>
        <v>0</v>
      </c>
      <c r="BK23">
        <f t="shared" si="31"/>
        <v>0</v>
      </c>
      <c r="BL23">
        <f t="shared" si="32"/>
        <v>0</v>
      </c>
      <c r="BM23">
        <f t="shared" si="33"/>
        <v>0</v>
      </c>
      <c r="BN23">
        <f t="shared" ca="1" si="34"/>
        <v>0</v>
      </c>
      <c r="BO23">
        <f t="shared" ca="1" si="35"/>
        <v>0</v>
      </c>
      <c r="BP23">
        <f t="shared" ca="1" si="36"/>
        <v>0</v>
      </c>
      <c r="BQ23">
        <f ca="1">IF(AC23=1,1,IF(Z23="",0,IF('ריכוז גיליונות עזר'!W23=1,1,0)))</f>
        <v>0</v>
      </c>
      <c r="BR23">
        <f ca="1">IF(AC23=1,1,IF(AA23="",0,IF('ריכוז גיליונות עזר'!W23=1,1,0)))</f>
        <v>0</v>
      </c>
      <c r="BS23">
        <f t="shared" ca="1" si="37"/>
        <v>0</v>
      </c>
      <c r="BT23">
        <f t="shared" ca="1" si="38"/>
        <v>0</v>
      </c>
      <c r="BU23">
        <f t="shared" si="39"/>
        <v>0</v>
      </c>
      <c r="BW23" t="e">
        <f>IF(R23*#REF!&lt;200,0,1)</f>
        <v>#REF!</v>
      </c>
      <c r="BX23" t="e">
        <f>IF(S23*#REF!&lt;200,0,1)</f>
        <v>#REF!</v>
      </c>
      <c r="BY23" t="e">
        <f>IF(T23*#REF!&lt;200,0,1)</f>
        <v>#REF!</v>
      </c>
      <c r="BZ23" t="e">
        <f>IF(U23*#REF!&lt;200,0,1)</f>
        <v>#REF!</v>
      </c>
      <c r="CA23" t="e">
        <f>IF(V23*#REF!&lt;200,0,1)</f>
        <v>#REF!</v>
      </c>
    </row>
    <row r="24" spans="1:79" x14ac:dyDescent="0.2">
      <c r="A24" s="24">
        <f t="shared" si="22"/>
        <v>14</v>
      </c>
      <c r="B24" s="493" t="str">
        <f ca="1">IF(פסיפס!$F$1="14","",פסיפס!$F$1)</f>
        <v>פסיפס</v>
      </c>
      <c r="C24" s="265">
        <v>32509</v>
      </c>
      <c r="D24" s="155">
        <f t="shared" ca="1" si="0"/>
        <v>36.024657534246572</v>
      </c>
      <c r="E24" s="25">
        <v>1</v>
      </c>
      <c r="F24" s="25">
        <v>1</v>
      </c>
      <c r="G24" s="25"/>
      <c r="H24" s="25">
        <v>1</v>
      </c>
      <c r="I24" s="25">
        <v>1</v>
      </c>
      <c r="J24" s="25">
        <v>1</v>
      </c>
      <c r="K24" s="25">
        <v>0</v>
      </c>
      <c r="L24" s="25"/>
      <c r="M24" s="28">
        <f t="shared" ca="1" si="1"/>
        <v>1</v>
      </c>
      <c r="N24" s="25">
        <v>0</v>
      </c>
      <c r="O24" s="25"/>
      <c r="P24" s="28">
        <f t="shared" ca="1" si="2"/>
        <v>1</v>
      </c>
      <c r="Q24" s="25"/>
      <c r="R24" s="405"/>
      <c r="S24" s="405"/>
      <c r="T24" s="405"/>
      <c r="U24" s="405"/>
      <c r="V24" s="405"/>
      <c r="Y24" s="28">
        <f t="shared" ca="1" si="23"/>
        <v>1</v>
      </c>
      <c r="Z24" s="28">
        <f ca="1">'ריכוז גיליונות עזר'!S24</f>
        <v>2</v>
      </c>
      <c r="AA24" s="28">
        <f ca="1">'ריכוז גיליונות עזר'!R24</f>
        <v>2</v>
      </c>
      <c r="AB24" s="28">
        <f ca="1">'ריכוז גיליונות עזר'!T24</f>
        <v>2</v>
      </c>
      <c r="AC24" s="25"/>
      <c r="AD24" s="28">
        <f t="shared" ca="1" si="24"/>
        <v>2</v>
      </c>
      <c r="AE24" s="405" cm="1">
        <f t="array" aca="1" ref="AE24" ca="1">IF($B24="","",IF($F24="","",INDIRECT("'"&amp;SUBSTITUTE($B24,"'","''")&amp;"'"&amp;"!L6")))</f>
        <v>0</v>
      </c>
      <c r="AF24" s="25"/>
      <c r="AG24" s="28">
        <f t="shared" ca="1" si="25"/>
        <v>1</v>
      </c>
      <c r="AH24" s="410">
        <f ca="1">'ריכוז גיליונות עזר'!U24</f>
        <v>1</v>
      </c>
      <c r="AI24" s="25"/>
      <c r="AJ24" s="28">
        <f ca="1">IF(B24="","",IF(AI24=1,1,IF(AH24&gt;=פרמטרים!$B$46,1,0)))</f>
        <v>1</v>
      </c>
      <c r="AK24" s="25">
        <v>1</v>
      </c>
      <c r="AL24" s="28">
        <f t="shared" ca="1" si="26"/>
        <v>1</v>
      </c>
      <c r="AM24" s="220"/>
      <c r="AN24" s="28"/>
      <c r="AO24" s="26"/>
      <c r="AP24" s="62">
        <f t="shared" ca="1" si="43"/>
        <v>1</v>
      </c>
      <c r="AQ24" s="57">
        <f t="shared" ca="1" si="40"/>
        <v>1</v>
      </c>
      <c r="AR24" s="57">
        <f t="shared" ca="1" si="41"/>
        <v>1</v>
      </c>
      <c r="AS24" s="58">
        <f t="shared" ca="1" si="42"/>
        <v>1</v>
      </c>
      <c r="AT24" s="67">
        <f t="array" aca="1" ref="AT24" ca="1">IF(OR(AP24:AS24=0),0,1)</f>
        <v>1</v>
      </c>
      <c r="AU24" s="65">
        <f t="shared" si="4"/>
        <v>0</v>
      </c>
      <c r="AV24" s="57">
        <f>IF(SUM($AU24:AU24)&lt;$A$1,IF(SUM($U24:V24)&lt;$A$1,U24,$A$1-SUM($AU24:AU24)),0)</f>
        <v>0</v>
      </c>
      <c r="AW24" s="57">
        <f>IF(SUM($AU24:AV24)&lt;$A$1,IF(SUM($T24:V24)&lt;$A$1,T24,$A$1-SUM($AU24:AV24)),0)</f>
        <v>0</v>
      </c>
      <c r="AX24" s="57">
        <f>IF(SUM($AU24:AW24)&lt;$A$1,IF(SUM($S24:V24)&lt;$A$1,S24,$A$1-SUM($AU24:AW24)),0)</f>
        <v>0</v>
      </c>
      <c r="AY24" s="57">
        <f>IF(SUM($AU24:AX24)&lt;$A$1,IF(SUM($R24:V24)&lt;$A$1,R24,$A$1-SUM($AU24:AX24)),0)</f>
        <v>0</v>
      </c>
      <c r="AZ24" s="59">
        <f t="shared" si="44"/>
        <v>0</v>
      </c>
      <c r="BA24" s="57">
        <f t="shared" si="45"/>
        <v>0</v>
      </c>
      <c r="BB24" s="57">
        <f t="shared" si="46"/>
        <v>0</v>
      </c>
      <c r="BC24" s="63">
        <f t="shared" si="47"/>
        <v>0</v>
      </c>
      <c r="BD24" s="63">
        <f t="shared" si="48"/>
        <v>0</v>
      </c>
      <c r="BE24">
        <f t="shared" ca="1" si="27"/>
        <v>0</v>
      </c>
      <c r="BF24">
        <f t="shared" ca="1" si="27"/>
        <v>1</v>
      </c>
      <c r="BG24">
        <f t="shared" ca="1" si="28"/>
        <v>1</v>
      </c>
      <c r="BH24">
        <f t="shared" si="29"/>
        <v>1</v>
      </c>
      <c r="BI24">
        <f t="shared" si="30"/>
        <v>1</v>
      </c>
      <c r="BK24">
        <f t="shared" si="31"/>
        <v>1</v>
      </c>
      <c r="BL24">
        <f t="shared" si="32"/>
        <v>1</v>
      </c>
      <c r="BM24">
        <f t="shared" si="33"/>
        <v>1</v>
      </c>
      <c r="BN24">
        <f t="shared" ca="1" si="34"/>
        <v>1</v>
      </c>
      <c r="BO24">
        <f t="shared" ca="1" si="35"/>
        <v>1</v>
      </c>
      <c r="BP24">
        <f t="shared" ca="1" si="36"/>
        <v>1</v>
      </c>
      <c r="BQ24">
        <f ca="1">IF(AC24=1,1,IF(Z24="",0,IF('ריכוז גיליונות עזר'!W24=1,1,0)))</f>
        <v>1</v>
      </c>
      <c r="BR24">
        <f ca="1">IF(AC24=1,1,IF(AA24="",0,IF('ריכוז גיליונות עזר'!W24=1,1,0)))</f>
        <v>1</v>
      </c>
      <c r="BS24">
        <f t="shared" ca="1" si="37"/>
        <v>1</v>
      </c>
      <c r="BT24">
        <f t="shared" ca="1" si="38"/>
        <v>1</v>
      </c>
      <c r="BU24">
        <f t="shared" si="39"/>
        <v>1</v>
      </c>
      <c r="BW24" t="e">
        <f>IF(R24*#REF!&lt;200,0,1)</f>
        <v>#REF!</v>
      </c>
      <c r="BX24" t="e">
        <f>IF(S24*#REF!&lt;200,0,1)</f>
        <v>#REF!</v>
      </c>
      <c r="BY24" t="e">
        <f>IF(T24*#REF!&lt;200,0,1)</f>
        <v>#REF!</v>
      </c>
      <c r="BZ24" t="e">
        <f>IF(U24*#REF!&lt;200,0,1)</f>
        <v>#REF!</v>
      </c>
      <c r="CA24" t="e">
        <f>IF(V24*#REF!&lt;200,0,1)</f>
        <v>#REF!</v>
      </c>
    </row>
    <row r="25" spans="1:79" x14ac:dyDescent="0.2">
      <c r="A25" s="24">
        <f t="shared" si="22"/>
        <v>15</v>
      </c>
      <c r="B25" s="493" t="str">
        <f ca="1">IF('קתרזיס ( עמותת מצרף)'!$F$1="15","",'קתרזיס ( עמותת מצרף)'!$F$1)</f>
        <v>קתרזיס ( עמותת מצרף)</v>
      </c>
      <c r="C25" s="265">
        <v>37622</v>
      </c>
      <c r="D25" s="155">
        <f t="shared" ca="1" si="0"/>
        <v>22.016438356164382</v>
      </c>
      <c r="E25" s="25">
        <v>1</v>
      </c>
      <c r="F25" s="25">
        <v>1</v>
      </c>
      <c r="G25" s="25"/>
      <c r="H25" s="25">
        <v>1</v>
      </c>
      <c r="I25" s="25">
        <v>1</v>
      </c>
      <c r="J25" s="25">
        <v>1</v>
      </c>
      <c r="K25" s="25">
        <v>0</v>
      </c>
      <c r="L25" s="25"/>
      <c r="M25" s="28">
        <f t="shared" ca="1" si="1"/>
        <v>1</v>
      </c>
      <c r="N25" s="25">
        <v>0</v>
      </c>
      <c r="O25" s="25"/>
      <c r="P25" s="28">
        <f t="shared" ca="1" si="2"/>
        <v>1</v>
      </c>
      <c r="Q25" s="25"/>
      <c r="R25" s="405"/>
      <c r="S25" s="405"/>
      <c r="T25" s="405"/>
      <c r="U25" s="405"/>
      <c r="V25" s="405"/>
      <c r="Y25" s="28">
        <f t="shared" ca="1" si="23"/>
        <v>1</v>
      </c>
      <c r="Z25" s="28">
        <f ca="1">'ריכוז גיליונות עזר'!S25</f>
        <v>2</v>
      </c>
      <c r="AA25" s="28">
        <f ca="1">'ריכוז גיליונות עזר'!R25</f>
        <v>2</v>
      </c>
      <c r="AB25" s="28">
        <f ca="1">'ריכוז גיליונות עזר'!T25</f>
        <v>2</v>
      </c>
      <c r="AC25" s="25"/>
      <c r="AD25" s="28">
        <f t="shared" ca="1" si="24"/>
        <v>2</v>
      </c>
      <c r="AE25" s="405" cm="1">
        <f t="array" aca="1" ref="AE25" ca="1">IF($B25="","",IF($F25="","",INDIRECT("'"&amp;SUBSTITUTE($B25,"'","''")&amp;"'"&amp;"!L6")))</f>
        <v>0</v>
      </c>
      <c r="AF25" s="25"/>
      <c r="AG25" s="28">
        <f t="shared" ca="1" si="25"/>
        <v>1</v>
      </c>
      <c r="AH25" s="410">
        <f ca="1">'ריכוז גיליונות עזר'!U25</f>
        <v>0.70588235294117652</v>
      </c>
      <c r="AI25" s="25"/>
      <c r="AJ25" s="28">
        <f ca="1">IF(B25="","",IF(AI25=1,1,IF(AH25&gt;=פרמטרים!$B$46,1,0)))</f>
        <v>1</v>
      </c>
      <c r="AK25" s="25">
        <v>1</v>
      </c>
      <c r="AL25" s="28">
        <f t="shared" ca="1" si="26"/>
        <v>1</v>
      </c>
      <c r="AM25" s="220"/>
      <c r="AN25" s="28"/>
      <c r="AO25" s="26"/>
      <c r="AP25" s="62">
        <f t="shared" ca="1" si="43"/>
        <v>1</v>
      </c>
      <c r="AQ25" s="57">
        <f t="shared" ca="1" si="40"/>
        <v>1</v>
      </c>
      <c r="AR25" s="57">
        <f t="shared" ca="1" si="41"/>
        <v>1</v>
      </c>
      <c r="AS25" s="58">
        <f t="shared" ca="1" si="42"/>
        <v>1</v>
      </c>
      <c r="AT25" s="67">
        <f t="array" aca="1" ref="AT25" ca="1">IF(OR(AP25:AS25=0),0,1)</f>
        <v>1</v>
      </c>
      <c r="AU25" s="65">
        <f t="shared" si="4"/>
        <v>0</v>
      </c>
      <c r="AV25" s="57">
        <f>IF(SUM($AU25:AU25)&lt;$A$1,IF(SUM($U25:V25)&lt;$A$1,U25,$A$1-SUM($AU25:AU25)),0)</f>
        <v>0</v>
      </c>
      <c r="AW25" s="57">
        <f>IF(SUM($AU25:AV25)&lt;$A$1,IF(SUM($T25:V25)&lt;$A$1,T25,$A$1-SUM($AU25:AV25)),0)</f>
        <v>0</v>
      </c>
      <c r="AX25" s="57">
        <f>IF(SUM($AU25:AW25)&lt;$A$1,IF(SUM($S25:V25)&lt;$A$1,S25,$A$1-SUM($AU25:AW25)),0)</f>
        <v>0</v>
      </c>
      <c r="AY25" s="57">
        <f>IF(SUM($AU25:AX25)&lt;$A$1,IF(SUM($R25:V25)&lt;$A$1,R25,$A$1-SUM($AU25:AX25)),0)</f>
        <v>0</v>
      </c>
      <c r="AZ25" s="59">
        <f t="shared" si="44"/>
        <v>0</v>
      </c>
      <c r="BA25" s="57">
        <f t="shared" si="45"/>
        <v>0</v>
      </c>
      <c r="BB25" s="57">
        <f t="shared" si="46"/>
        <v>0</v>
      </c>
      <c r="BC25" s="63">
        <f t="shared" si="47"/>
        <v>0</v>
      </c>
      <c r="BD25" s="63">
        <f t="shared" si="48"/>
        <v>0</v>
      </c>
      <c r="BE25">
        <f t="shared" ca="1" si="27"/>
        <v>0</v>
      </c>
      <c r="BF25">
        <f t="shared" ca="1" si="27"/>
        <v>1</v>
      </c>
      <c r="BG25">
        <f t="shared" ca="1" si="28"/>
        <v>1</v>
      </c>
      <c r="BH25">
        <f t="shared" si="29"/>
        <v>1</v>
      </c>
      <c r="BI25">
        <f t="shared" si="30"/>
        <v>1</v>
      </c>
      <c r="BK25">
        <f t="shared" si="31"/>
        <v>1</v>
      </c>
      <c r="BL25">
        <f t="shared" si="32"/>
        <v>1</v>
      </c>
      <c r="BM25">
        <f t="shared" si="33"/>
        <v>1</v>
      </c>
      <c r="BN25">
        <f t="shared" ca="1" si="34"/>
        <v>1</v>
      </c>
      <c r="BO25">
        <f t="shared" ca="1" si="35"/>
        <v>1</v>
      </c>
      <c r="BP25">
        <f t="shared" ca="1" si="36"/>
        <v>1</v>
      </c>
      <c r="BQ25">
        <f ca="1">IF(AC25=1,1,IF(Z25="",0,IF('ריכוז גיליונות עזר'!W25=1,1,0)))</f>
        <v>1</v>
      </c>
      <c r="BR25">
        <f ca="1">IF(AC25=1,1,IF(AA25="",0,IF('ריכוז גיליונות עזר'!W25=1,1,0)))</f>
        <v>1</v>
      </c>
      <c r="BS25">
        <f t="shared" ca="1" si="37"/>
        <v>1</v>
      </c>
      <c r="BT25">
        <f t="shared" ca="1" si="38"/>
        <v>1</v>
      </c>
      <c r="BU25">
        <f t="shared" si="39"/>
        <v>1</v>
      </c>
      <c r="BW25" t="e">
        <f>IF(R25*#REF!&lt;200,0,1)</f>
        <v>#REF!</v>
      </c>
      <c r="BX25" t="e">
        <f>IF(S25*#REF!&lt;200,0,1)</f>
        <v>#REF!</v>
      </c>
      <c r="BY25" t="e">
        <f>IF(T25*#REF!&lt;200,0,1)</f>
        <v>#REF!</v>
      </c>
      <c r="BZ25" t="e">
        <f>IF(U25*#REF!&lt;200,0,1)</f>
        <v>#REF!</v>
      </c>
      <c r="CA25" t="e">
        <f>IF(V25*#REF!&lt;200,0,1)</f>
        <v>#REF!</v>
      </c>
    </row>
    <row r="26" spans="1:79" x14ac:dyDescent="0.2">
      <c r="A26" s="24">
        <f t="shared" si="22"/>
        <v>16</v>
      </c>
      <c r="B26" s="493" t="str">
        <f ca="1">IF('16'!$F$1="16","",'16'!$F$1)</f>
        <v/>
      </c>
      <c r="C26" s="265"/>
      <c r="D26" s="155" t="str">
        <f t="shared" ca="1" si="0"/>
        <v/>
      </c>
      <c r="E26" s="25"/>
      <c r="F26" s="25"/>
      <c r="G26" s="25"/>
      <c r="H26" s="25"/>
      <c r="I26" s="25"/>
      <c r="J26" s="25"/>
      <c r="K26" s="25"/>
      <c r="L26" s="25"/>
      <c r="M26" s="28" t="str">
        <f t="shared" ca="1" si="1"/>
        <v/>
      </c>
      <c r="N26" s="25"/>
      <c r="O26" s="25"/>
      <c r="P26" s="28" t="str">
        <f t="shared" ca="1" si="2"/>
        <v/>
      </c>
      <c r="Q26" s="25"/>
      <c r="R26" s="405"/>
      <c r="S26" s="405"/>
      <c r="T26" s="405"/>
      <c r="U26" s="405"/>
      <c r="V26" s="405"/>
      <c r="Y26" s="28" t="str">
        <f t="shared" ca="1" si="23"/>
        <v/>
      </c>
      <c r="Z26" s="28" t="str">
        <f ca="1">'ריכוז גיליונות עזר'!S26</f>
        <v/>
      </c>
      <c r="AA26" s="28" t="str">
        <f ca="1">'ריכוז גיליונות עזר'!R26</f>
        <v/>
      </c>
      <c r="AB26" s="28" t="str">
        <f ca="1">'ריכוז גיליונות עזר'!T26</f>
        <v/>
      </c>
      <c r="AC26" s="25"/>
      <c r="AD26" s="28" t="str">
        <f t="shared" ca="1" si="24"/>
        <v/>
      </c>
      <c r="AE26" s="405" t="str" cm="1">
        <f t="array" aca="1" ref="AE26" ca="1">IF($B26="","",IF($F26="","",INDIRECT("'"&amp;SUBSTITUTE($B26,"'","''")&amp;"'"&amp;"!L6")))</f>
        <v/>
      </c>
      <c r="AF26" s="25"/>
      <c r="AG26" s="28" t="str">
        <f t="shared" ref="AG26:AG50" ca="1" si="49">IF(B26="","",IF(AC26=1,1,IF(AB26=0,0,IF(SUM(R26:V26)+AE26*AF26&lt;=AB26,1,0))))</f>
        <v/>
      </c>
      <c r="AH26" s="410" t="str">
        <f ca="1">'ריכוז גיליונות עזר'!U26</f>
        <v/>
      </c>
      <c r="AI26" s="25"/>
      <c r="AJ26" s="28" t="str">
        <f ca="1">IF(B26="","",IF(AI26=1,1,IF(AH26&gt;=פרמטרים!$B$46,1,0)))</f>
        <v/>
      </c>
      <c r="AK26" s="25"/>
      <c r="AL26" s="28" t="str">
        <f t="shared" ca="1" si="26"/>
        <v/>
      </c>
      <c r="AM26" s="220"/>
      <c r="AN26" s="28"/>
      <c r="AO26" s="26"/>
      <c r="AP26" s="62">
        <f t="shared" ca="1" si="43"/>
        <v>0</v>
      </c>
      <c r="AQ26" s="57">
        <f t="shared" ca="1" si="40"/>
        <v>0</v>
      </c>
      <c r="AR26" s="57">
        <f t="shared" ca="1" si="41"/>
        <v>0</v>
      </c>
      <c r="AS26" s="58">
        <f t="shared" ca="1" si="42"/>
        <v>0</v>
      </c>
      <c r="AT26" s="67">
        <f t="array" aca="1" ref="AT26" ca="1">IF(OR(AP26:AS26=0),0,1)</f>
        <v>0</v>
      </c>
      <c r="AU26" s="65">
        <f t="shared" si="4"/>
        <v>0</v>
      </c>
      <c r="AV26" s="57">
        <f>IF(SUM($AU26:AU26)&lt;$A$1,IF(SUM($U26:V26)&lt;$A$1,U26,$A$1-SUM($AU26:AU26)),0)</f>
        <v>0</v>
      </c>
      <c r="AW26" s="57">
        <f>IF(SUM($AU26:AV26)&lt;$A$1,IF(SUM($T26:V26)&lt;$A$1,T26,$A$1-SUM($AU26:AV26)),0)</f>
        <v>0</v>
      </c>
      <c r="AX26" s="57">
        <f>IF(SUM($AU26:AW26)&lt;$A$1,IF(SUM($S26:V26)&lt;$A$1,S26,$A$1-SUM($AU26:AW26)),0)</f>
        <v>0</v>
      </c>
      <c r="AY26" s="57">
        <f>IF(SUM($AU26:AX26)&lt;$A$1,IF(SUM($R26:V26)&lt;$A$1,R26,$A$1-SUM($AU26:AX26)),0)</f>
        <v>0</v>
      </c>
      <c r="AZ26" s="59">
        <f t="shared" si="44"/>
        <v>0</v>
      </c>
      <c r="BA26" s="57">
        <f t="shared" si="45"/>
        <v>0</v>
      </c>
      <c r="BB26" s="57">
        <f t="shared" si="46"/>
        <v>0</v>
      </c>
      <c r="BC26" s="63">
        <f t="shared" si="47"/>
        <v>0</v>
      </c>
      <c r="BD26" s="63">
        <f t="shared" si="48"/>
        <v>0</v>
      </c>
      <c r="BE26" t="str">
        <f t="shared" ca="1" si="27"/>
        <v/>
      </c>
      <c r="BF26" t="str">
        <f t="shared" ca="1" si="27"/>
        <v/>
      </c>
      <c r="BG26">
        <f t="shared" ca="1" si="28"/>
        <v>0</v>
      </c>
      <c r="BH26">
        <f t="shared" si="29"/>
        <v>0</v>
      </c>
      <c r="BI26">
        <f t="shared" si="30"/>
        <v>0</v>
      </c>
      <c r="BK26">
        <f t="shared" si="31"/>
        <v>0</v>
      </c>
      <c r="BL26">
        <f t="shared" si="32"/>
        <v>0</v>
      </c>
      <c r="BM26">
        <f t="shared" si="33"/>
        <v>0</v>
      </c>
      <c r="BN26">
        <f t="shared" ca="1" si="34"/>
        <v>0</v>
      </c>
      <c r="BO26">
        <f t="shared" ca="1" si="35"/>
        <v>0</v>
      </c>
      <c r="BP26">
        <f t="shared" ca="1" si="36"/>
        <v>0</v>
      </c>
      <c r="BQ26">
        <f ca="1">IF(AC26=1,1,IF(Z26="",0,IF('ריכוז גיליונות עזר'!W26=1,1,0)))</f>
        <v>0</v>
      </c>
      <c r="BR26">
        <f ca="1">IF(AC26=1,1,IF(AA26="",0,IF('ריכוז גיליונות עזר'!W26=1,1,0)))</f>
        <v>0</v>
      </c>
      <c r="BS26">
        <f t="shared" ca="1" si="37"/>
        <v>0</v>
      </c>
      <c r="BT26">
        <f t="shared" ca="1" si="38"/>
        <v>0</v>
      </c>
      <c r="BU26">
        <f t="shared" si="39"/>
        <v>0</v>
      </c>
      <c r="BW26" t="e">
        <f>IF(R26*#REF!&lt;200,0,1)</f>
        <v>#REF!</v>
      </c>
      <c r="BX26" t="e">
        <f>IF(S26*#REF!&lt;200,0,1)</f>
        <v>#REF!</v>
      </c>
      <c r="BY26" t="e">
        <f>IF(T26*#REF!&lt;200,0,1)</f>
        <v>#REF!</v>
      </c>
      <c r="BZ26" t="e">
        <f>IF(U26*#REF!&lt;200,0,1)</f>
        <v>#REF!</v>
      </c>
      <c r="CA26" t="e">
        <f>IF(V26*#REF!&lt;200,0,1)</f>
        <v>#REF!</v>
      </c>
    </row>
    <row r="27" spans="1:79" x14ac:dyDescent="0.2">
      <c r="A27" s="24">
        <f t="shared" si="22"/>
        <v>17</v>
      </c>
      <c r="B27" s="493" t="str">
        <f ca="1">IF('הכיוון מזרח (עמותת אחותי)'!$F$1="17","",'הכיוון מזרח (עמותת אחותי)'!$F$1)</f>
        <v>הכיוון מזרח (עמותת אחותי)</v>
      </c>
      <c r="C27" s="265">
        <v>36526</v>
      </c>
      <c r="D27" s="155">
        <f t="shared" ca="1" si="0"/>
        <v>25.019178082191782</v>
      </c>
      <c r="E27" s="25">
        <v>1</v>
      </c>
      <c r="F27" s="25">
        <v>1</v>
      </c>
      <c r="G27" s="25"/>
      <c r="H27" s="25">
        <v>1</v>
      </c>
      <c r="I27" s="25">
        <v>1</v>
      </c>
      <c r="J27" s="25">
        <v>1</v>
      </c>
      <c r="K27" s="25">
        <v>1</v>
      </c>
      <c r="L27" s="25">
        <v>1</v>
      </c>
      <c r="M27" s="28">
        <f t="shared" ca="1" si="1"/>
        <v>1</v>
      </c>
      <c r="N27" s="25">
        <v>0</v>
      </c>
      <c r="O27" s="25"/>
      <c r="P27" s="28">
        <f t="shared" ca="1" si="2"/>
        <v>1</v>
      </c>
      <c r="Q27" s="25"/>
      <c r="R27" s="405"/>
      <c r="S27" s="405"/>
      <c r="T27" s="405"/>
      <c r="U27" s="405"/>
      <c r="V27" s="405"/>
      <c r="Y27" s="28">
        <f t="shared" ca="1" si="23"/>
        <v>1</v>
      </c>
      <c r="Z27" s="28">
        <f ca="1">'ריכוז גיליונות עזר'!S27</f>
        <v>2</v>
      </c>
      <c r="AA27" s="28">
        <f ca="1">'ריכוז גיליונות עזר'!R27</f>
        <v>2</v>
      </c>
      <c r="AB27" s="28">
        <f ca="1">'ריכוז גיליונות עזר'!T27</f>
        <v>2</v>
      </c>
      <c r="AC27" s="25"/>
      <c r="AD27" s="28">
        <f t="shared" ca="1" si="24"/>
        <v>2</v>
      </c>
      <c r="AE27" s="405" cm="1">
        <f t="array" aca="1" ref="AE27" ca="1">IF($B27="","",IF($F27="","",INDIRECT("'"&amp;SUBSTITUTE($B27,"'","''")&amp;"'"&amp;"!L6")))</f>
        <v>0</v>
      </c>
      <c r="AF27" s="25"/>
      <c r="AG27" s="28">
        <f t="shared" ca="1" si="49"/>
        <v>1</v>
      </c>
      <c r="AH27" s="410">
        <f ca="1">'ריכוז גיליונות עזר'!U27</f>
        <v>0.7279411764705882</v>
      </c>
      <c r="AI27" s="25"/>
      <c r="AJ27" s="28">
        <f ca="1">IF(B27="","",IF(AI27=1,1,IF(AH27&gt;=פרמטרים!$B$46,1,0)))</f>
        <v>1</v>
      </c>
      <c r="AK27" s="25">
        <v>1</v>
      </c>
      <c r="AL27" s="28">
        <f t="shared" ca="1" si="26"/>
        <v>1</v>
      </c>
      <c r="AM27" s="314"/>
      <c r="AN27" s="28"/>
      <c r="AO27" s="26"/>
      <c r="AP27" s="62">
        <f t="shared" ca="1" si="43"/>
        <v>1</v>
      </c>
      <c r="AQ27" s="57">
        <f t="shared" ca="1" si="40"/>
        <v>1</v>
      </c>
      <c r="AR27" s="57">
        <f t="shared" ca="1" si="41"/>
        <v>1</v>
      </c>
      <c r="AS27" s="58">
        <f t="shared" ca="1" si="42"/>
        <v>1</v>
      </c>
      <c r="AT27" s="67">
        <f t="array" aca="1" ref="AT27" ca="1">IF(OR(AP27:AS27=0),0,1)</f>
        <v>1</v>
      </c>
      <c r="AU27" s="65">
        <f t="shared" si="4"/>
        <v>0</v>
      </c>
      <c r="AV27" s="57">
        <f>IF(SUM($AU27:AU27)&lt;$A$1,IF(SUM($U27:V27)&lt;$A$1,U27,$A$1-SUM($AU27:AU27)),0)</f>
        <v>0</v>
      </c>
      <c r="AW27" s="57">
        <f>IF(SUM($AU27:AV27)&lt;$A$1,IF(SUM($T27:V27)&lt;$A$1,T27,$A$1-SUM($AU27:AV27)),0)</f>
        <v>0</v>
      </c>
      <c r="AX27" s="57">
        <f>IF(SUM($AU27:AW27)&lt;$A$1,IF(SUM($S27:V27)&lt;$A$1,S27,$A$1-SUM($AU27:AW27)),0)</f>
        <v>0</v>
      </c>
      <c r="AY27" s="57">
        <f>IF(SUM($AU27:AX27)&lt;$A$1,IF(SUM($R27:V27)&lt;$A$1,R27,$A$1-SUM($AU27:AX27)),0)</f>
        <v>0</v>
      </c>
      <c r="AZ27" s="59">
        <f t="shared" si="44"/>
        <v>0</v>
      </c>
      <c r="BA27" s="57">
        <f t="shared" si="45"/>
        <v>0</v>
      </c>
      <c r="BB27" s="57">
        <f t="shared" si="46"/>
        <v>0</v>
      </c>
      <c r="BC27" s="63">
        <f t="shared" si="47"/>
        <v>0</v>
      </c>
      <c r="BD27" s="63">
        <f t="shared" si="48"/>
        <v>0</v>
      </c>
      <c r="BE27">
        <f t="shared" ca="1" si="27"/>
        <v>0</v>
      </c>
      <c r="BF27">
        <f t="shared" ca="1" si="27"/>
        <v>1</v>
      </c>
      <c r="BG27">
        <f t="shared" ca="1" si="28"/>
        <v>1</v>
      </c>
      <c r="BH27">
        <f t="shared" si="29"/>
        <v>1</v>
      </c>
      <c r="BI27">
        <f t="shared" si="30"/>
        <v>1</v>
      </c>
      <c r="BK27">
        <f t="shared" si="31"/>
        <v>1</v>
      </c>
      <c r="BL27">
        <f t="shared" si="32"/>
        <v>1</v>
      </c>
      <c r="BM27">
        <f t="shared" si="33"/>
        <v>1</v>
      </c>
      <c r="BN27">
        <f t="shared" ca="1" si="34"/>
        <v>1</v>
      </c>
      <c r="BO27">
        <f t="shared" ca="1" si="35"/>
        <v>1</v>
      </c>
      <c r="BP27">
        <f t="shared" ca="1" si="36"/>
        <v>1</v>
      </c>
      <c r="BQ27">
        <f ca="1">IF(AC27=1,1,IF(Z27="",0,IF('ריכוז גיליונות עזר'!W27=1,1,0)))</f>
        <v>1</v>
      </c>
      <c r="BR27">
        <f ca="1">IF(AC27=1,1,IF(AA27="",0,IF('ריכוז גיליונות עזר'!W27=1,1,0)))</f>
        <v>1</v>
      </c>
      <c r="BS27">
        <f t="shared" ca="1" si="37"/>
        <v>1</v>
      </c>
      <c r="BT27">
        <f t="shared" ca="1" si="38"/>
        <v>1</v>
      </c>
      <c r="BU27">
        <f t="shared" si="39"/>
        <v>1</v>
      </c>
      <c r="BW27" t="e">
        <f>IF(R27*#REF!&lt;200,0,1)</f>
        <v>#REF!</v>
      </c>
      <c r="BX27" t="e">
        <f>IF(S27*#REF!&lt;200,0,1)</f>
        <v>#REF!</v>
      </c>
      <c r="BY27" t="e">
        <f>IF(T27*#REF!&lt;200,0,1)</f>
        <v>#REF!</v>
      </c>
      <c r="BZ27" t="e">
        <f>IF(U27*#REF!&lt;200,0,1)</f>
        <v>#REF!</v>
      </c>
      <c r="CA27" t="e">
        <f>IF(V27*#REF!&lt;200,0,1)</f>
        <v>#REF!</v>
      </c>
    </row>
    <row r="28" spans="1:79" x14ac:dyDescent="0.2">
      <c r="A28" s="24">
        <f t="shared" si="22"/>
        <v>18</v>
      </c>
      <c r="B28" s="493" t="str">
        <f ca="1">IF('18'!$F$1="18","",'18'!$F$1)</f>
        <v/>
      </c>
      <c r="C28" s="265"/>
      <c r="D28" s="155" t="str">
        <f t="shared" ca="1" si="0"/>
        <v/>
      </c>
      <c r="E28" s="25"/>
      <c r="F28" s="25"/>
      <c r="G28" s="25"/>
      <c r="H28" s="25"/>
      <c r="I28" s="25"/>
      <c r="J28" s="25"/>
      <c r="K28" s="25"/>
      <c r="L28" s="25"/>
      <c r="M28" s="28" t="str">
        <f t="shared" ca="1" si="1"/>
        <v/>
      </c>
      <c r="N28" s="25"/>
      <c r="O28" s="25"/>
      <c r="P28" s="28" t="str">
        <f t="shared" ca="1" si="2"/>
        <v/>
      </c>
      <c r="Q28" s="25"/>
      <c r="R28" s="405"/>
      <c r="S28" s="405"/>
      <c r="T28" s="405"/>
      <c r="U28" s="405"/>
      <c r="V28" s="405"/>
      <c r="Y28" s="28" t="str">
        <f t="shared" ca="1" si="23"/>
        <v/>
      </c>
      <c r="Z28" s="28" t="str">
        <f ca="1">'ריכוז גיליונות עזר'!S28</f>
        <v/>
      </c>
      <c r="AA28" s="28" t="str">
        <f ca="1">'ריכוז גיליונות עזר'!R28</f>
        <v/>
      </c>
      <c r="AB28" s="28" t="str">
        <f ca="1">'ריכוז גיליונות עזר'!T28</f>
        <v/>
      </c>
      <c r="AC28" s="25"/>
      <c r="AD28" s="28" t="str">
        <f t="shared" ca="1" si="24"/>
        <v/>
      </c>
      <c r="AE28" s="405" t="str" cm="1">
        <f t="array" aca="1" ref="AE28" ca="1">IF($B28="","",IF($F28="","",INDIRECT("'"&amp;SUBSTITUTE($B28,"'","''")&amp;"'"&amp;"!L6")))</f>
        <v/>
      </c>
      <c r="AF28" s="25"/>
      <c r="AG28" s="28" t="str">
        <f t="shared" ca="1" si="49"/>
        <v/>
      </c>
      <c r="AH28" s="410" t="str">
        <f ca="1">'ריכוז גיליונות עזר'!U28</f>
        <v/>
      </c>
      <c r="AI28" s="25"/>
      <c r="AJ28" s="28" t="str">
        <f ca="1">IF(B28="","",IF(AI28=1,1,IF(AH28&gt;=פרמטרים!$B$46,1,0)))</f>
        <v/>
      </c>
      <c r="AK28" s="25">
        <v>1</v>
      </c>
      <c r="AL28" s="28" t="str">
        <f t="shared" ca="1" si="26"/>
        <v/>
      </c>
      <c r="AM28" s="314"/>
      <c r="AN28" s="28"/>
      <c r="AO28" s="26"/>
      <c r="AP28" s="62">
        <f t="shared" ca="1" si="43"/>
        <v>0</v>
      </c>
      <c r="AQ28" s="57">
        <f t="shared" ca="1" si="40"/>
        <v>0</v>
      </c>
      <c r="AR28" s="57">
        <f t="shared" ca="1" si="41"/>
        <v>0</v>
      </c>
      <c r="AS28" s="58">
        <f t="shared" ca="1" si="42"/>
        <v>0</v>
      </c>
      <c r="AT28" s="67">
        <f t="array" aca="1" ref="AT28" ca="1">IF(OR(AP28:AS28=0),0,1)</f>
        <v>0</v>
      </c>
      <c r="AU28" s="65">
        <f t="shared" si="4"/>
        <v>0</v>
      </c>
      <c r="AV28" s="57">
        <f>IF(SUM($AU28:AU28)&lt;$A$1,IF(SUM($U28:V28)&lt;$A$1,U28,$A$1-SUM($AU28:AU28)),0)</f>
        <v>0</v>
      </c>
      <c r="AW28" s="57">
        <f>IF(SUM($AU28:AV28)&lt;$A$1,IF(SUM($T28:V28)&lt;$A$1,T28,$A$1-SUM($AU28:AV28)),0)</f>
        <v>0</v>
      </c>
      <c r="AX28" s="57">
        <f>IF(SUM($AU28:AW28)&lt;$A$1,IF(SUM($S28:V28)&lt;$A$1,S28,$A$1-SUM($AU28:AW28)),0)</f>
        <v>0</v>
      </c>
      <c r="AY28" s="57">
        <f>IF(SUM($AU28:AX28)&lt;$A$1,IF(SUM($R28:V28)&lt;$A$1,R28,$A$1-SUM($AU28:AX28)),0)</f>
        <v>0</v>
      </c>
      <c r="AZ28" s="59">
        <f t="shared" si="44"/>
        <v>0</v>
      </c>
      <c r="BA28" s="57">
        <f t="shared" si="45"/>
        <v>0</v>
      </c>
      <c r="BB28" s="57">
        <f t="shared" si="46"/>
        <v>0</v>
      </c>
      <c r="BC28" s="63">
        <f t="shared" si="47"/>
        <v>0</v>
      </c>
      <c r="BD28" s="63">
        <f t="shared" si="48"/>
        <v>0</v>
      </c>
      <c r="BE28" t="str">
        <f t="shared" ca="1" si="27"/>
        <v/>
      </c>
      <c r="BF28" t="str">
        <f t="shared" ca="1" si="27"/>
        <v/>
      </c>
      <c r="BG28">
        <f t="shared" ca="1" si="28"/>
        <v>0</v>
      </c>
      <c r="BH28">
        <f t="shared" si="29"/>
        <v>0</v>
      </c>
      <c r="BI28">
        <f t="shared" si="30"/>
        <v>0</v>
      </c>
      <c r="BK28">
        <f t="shared" si="31"/>
        <v>0</v>
      </c>
      <c r="BL28">
        <f t="shared" si="32"/>
        <v>0</v>
      </c>
      <c r="BM28">
        <f t="shared" si="33"/>
        <v>0</v>
      </c>
      <c r="BN28">
        <f t="shared" ca="1" si="34"/>
        <v>0</v>
      </c>
      <c r="BO28">
        <f t="shared" ca="1" si="35"/>
        <v>0</v>
      </c>
      <c r="BP28">
        <f t="shared" ca="1" si="36"/>
        <v>0</v>
      </c>
      <c r="BQ28">
        <f ca="1">IF(AC28=1,1,IF(Z28="",0,IF('ריכוז גיליונות עזר'!W28=1,1,0)))</f>
        <v>0</v>
      </c>
      <c r="BR28">
        <f ca="1">IF(AC28=1,1,IF(AA28="",0,IF('ריכוז גיליונות עזר'!W28=1,1,0)))</f>
        <v>0</v>
      </c>
      <c r="BS28">
        <f t="shared" ca="1" si="37"/>
        <v>0</v>
      </c>
      <c r="BT28">
        <f t="shared" ca="1" si="38"/>
        <v>0</v>
      </c>
      <c r="BU28">
        <f t="shared" si="39"/>
        <v>1</v>
      </c>
      <c r="BW28" t="e">
        <f>IF(R28*#REF!&lt;200,0,1)</f>
        <v>#REF!</v>
      </c>
      <c r="BX28" t="e">
        <f>IF(S28*#REF!&lt;200,0,1)</f>
        <v>#REF!</v>
      </c>
      <c r="BY28" t="e">
        <f>IF(T28*#REF!&lt;200,0,1)</f>
        <v>#REF!</v>
      </c>
      <c r="BZ28" t="e">
        <f>IF(U28*#REF!&lt;200,0,1)</f>
        <v>#REF!</v>
      </c>
      <c r="CA28" t="e">
        <f>IF(V28*#REF!&lt;200,0,1)</f>
        <v>#REF!</v>
      </c>
    </row>
    <row r="29" spans="1:79" x14ac:dyDescent="0.2">
      <c r="A29" s="24">
        <f t="shared" si="22"/>
        <v>19</v>
      </c>
      <c r="B29" s="493" t="str">
        <f ca="1">IF(הו!$F$1="19","",הו!$F$1)</f>
        <v>הו</v>
      </c>
      <c r="C29" s="265">
        <v>39083</v>
      </c>
      <c r="D29" s="155">
        <f t="shared" ca="1" si="0"/>
        <v>18.013698630136986</v>
      </c>
      <c r="E29" s="25">
        <v>1</v>
      </c>
      <c r="F29" s="25">
        <v>1</v>
      </c>
      <c r="G29" s="25"/>
      <c r="H29" s="25">
        <v>1</v>
      </c>
      <c r="I29" s="25">
        <v>1</v>
      </c>
      <c r="J29" s="25">
        <v>1</v>
      </c>
      <c r="K29" s="25">
        <v>1</v>
      </c>
      <c r="L29" s="25">
        <v>1</v>
      </c>
      <c r="M29" s="28">
        <f t="shared" ca="1" si="1"/>
        <v>1</v>
      </c>
      <c r="N29" s="25">
        <v>0</v>
      </c>
      <c r="O29" s="25"/>
      <c r="P29" s="28">
        <f t="shared" ca="1" si="2"/>
        <v>1</v>
      </c>
      <c r="Q29" s="25"/>
      <c r="R29" s="405"/>
      <c r="S29" s="405"/>
      <c r="T29" s="405"/>
      <c r="U29" s="405"/>
      <c r="V29" s="405"/>
      <c r="Y29" s="28">
        <f t="shared" ca="1" si="23"/>
        <v>1</v>
      </c>
      <c r="Z29" s="28">
        <f ca="1">'ריכוז גיליונות עזר'!S29</f>
        <v>2</v>
      </c>
      <c r="AA29" s="28">
        <f ca="1">'ריכוז גיליונות עזר'!R29</f>
        <v>2</v>
      </c>
      <c r="AB29" s="28">
        <f ca="1">'ריכוז גיליונות עזר'!T29</f>
        <v>2</v>
      </c>
      <c r="AC29" s="25"/>
      <c r="AD29" s="28">
        <f t="shared" ca="1" si="24"/>
        <v>2</v>
      </c>
      <c r="AE29" s="405" cm="1">
        <f t="array" aca="1" ref="AE29" ca="1">IF($B29="","",IF($F29="","",INDIRECT("'"&amp;SUBSTITUTE($B29,"'","''")&amp;"'"&amp;"!L6")))</f>
        <v>0</v>
      </c>
      <c r="AF29" s="25"/>
      <c r="AG29" s="28">
        <f t="shared" ca="1" si="49"/>
        <v>1</v>
      </c>
      <c r="AH29" s="410">
        <f ca="1">'ריכוז גיליונות עזר'!U29</f>
        <v>1</v>
      </c>
      <c r="AI29" s="25"/>
      <c r="AJ29" s="28">
        <f ca="1">IF(B29="","",IF(AI29=1,1,IF(AH29&gt;=פרמטרים!$B$46,1,0)))</f>
        <v>1</v>
      </c>
      <c r="AK29" s="25">
        <v>1</v>
      </c>
      <c r="AL29" s="28">
        <f t="shared" ca="1" si="26"/>
        <v>1</v>
      </c>
      <c r="AM29" s="314"/>
      <c r="AN29" s="28"/>
      <c r="AO29" s="26"/>
      <c r="AP29" s="62">
        <f t="shared" ca="1" si="43"/>
        <v>1</v>
      </c>
      <c r="AQ29" s="57">
        <f t="shared" ca="1" si="40"/>
        <v>1</v>
      </c>
      <c r="AR29" s="57">
        <f t="shared" ca="1" si="41"/>
        <v>1</v>
      </c>
      <c r="AS29" s="58">
        <f t="shared" ca="1" si="42"/>
        <v>1</v>
      </c>
      <c r="AT29" s="67">
        <f t="array" aca="1" ref="AT29" ca="1">IF(OR(AP29:AS29=0),0,1)</f>
        <v>1</v>
      </c>
      <c r="AU29" s="65">
        <f t="shared" si="4"/>
        <v>0</v>
      </c>
      <c r="AV29" s="57">
        <f>IF(SUM($AU29:AU29)&lt;$A$1,IF(SUM($U29:V29)&lt;$A$1,U29,$A$1-SUM($AU29:AU29)),0)</f>
        <v>0</v>
      </c>
      <c r="AW29" s="57">
        <f>IF(SUM($AU29:AV29)&lt;$A$1,IF(SUM($T29:V29)&lt;$A$1,T29,$A$1-SUM($AU29:AV29)),0)</f>
        <v>0</v>
      </c>
      <c r="AX29" s="57">
        <f>IF(SUM($AU29:AW29)&lt;$A$1,IF(SUM($S29:V29)&lt;$A$1,S29,$A$1-SUM($AU29:AW29)),0)</f>
        <v>0</v>
      </c>
      <c r="AY29" s="57">
        <f>IF(SUM($AU29:AX29)&lt;$A$1,IF(SUM($R29:V29)&lt;$A$1,R29,$A$1-SUM($AU29:AX29)),0)</f>
        <v>0</v>
      </c>
      <c r="AZ29" s="59">
        <f t="shared" si="44"/>
        <v>0</v>
      </c>
      <c r="BA29" s="57">
        <f t="shared" si="45"/>
        <v>0</v>
      </c>
      <c r="BB29" s="57">
        <f t="shared" si="46"/>
        <v>0</v>
      </c>
      <c r="BC29" s="63">
        <f t="shared" si="47"/>
        <v>0</v>
      </c>
      <c r="BD29" s="63">
        <f t="shared" si="48"/>
        <v>0</v>
      </c>
      <c r="BE29">
        <f t="shared" ca="1" si="27"/>
        <v>0</v>
      </c>
      <c r="BF29">
        <f t="shared" ca="1" si="27"/>
        <v>1</v>
      </c>
      <c r="BG29">
        <f t="shared" ca="1" si="28"/>
        <v>1</v>
      </c>
      <c r="BH29">
        <f t="shared" si="29"/>
        <v>1</v>
      </c>
      <c r="BI29">
        <f t="shared" si="30"/>
        <v>1</v>
      </c>
      <c r="BK29">
        <f t="shared" si="31"/>
        <v>1</v>
      </c>
      <c r="BL29">
        <f t="shared" si="32"/>
        <v>1</v>
      </c>
      <c r="BM29">
        <f t="shared" si="33"/>
        <v>1</v>
      </c>
      <c r="BN29">
        <f t="shared" ca="1" si="34"/>
        <v>1</v>
      </c>
      <c r="BO29">
        <f t="shared" ca="1" si="35"/>
        <v>1</v>
      </c>
      <c r="BP29">
        <f t="shared" ca="1" si="36"/>
        <v>1</v>
      </c>
      <c r="BQ29">
        <f ca="1">IF(AC29=1,1,IF(Z29="",0,IF('ריכוז גיליונות עזר'!W29=1,1,0)))</f>
        <v>1</v>
      </c>
      <c r="BR29">
        <f ca="1">IF(AC29=1,1,IF(AA29="",0,IF('ריכוז גיליונות עזר'!W29=1,1,0)))</f>
        <v>1</v>
      </c>
      <c r="BS29">
        <f t="shared" ca="1" si="37"/>
        <v>1</v>
      </c>
      <c r="BT29">
        <f t="shared" ca="1" si="38"/>
        <v>1</v>
      </c>
      <c r="BU29">
        <f t="shared" si="39"/>
        <v>1</v>
      </c>
      <c r="BW29" t="e">
        <f>IF(R29*#REF!&lt;200,0,1)</f>
        <v>#REF!</v>
      </c>
      <c r="BX29" t="e">
        <f>IF(S29*#REF!&lt;200,0,1)</f>
        <v>#REF!</v>
      </c>
      <c r="BY29" t="e">
        <f>IF(T29*#REF!&lt;200,0,1)</f>
        <v>#REF!</v>
      </c>
      <c r="BZ29" t="e">
        <f>IF(U29*#REF!&lt;200,0,1)</f>
        <v>#REF!</v>
      </c>
      <c r="CA29" t="e">
        <f>IF(V29*#REF!&lt;200,0,1)</f>
        <v>#REF!</v>
      </c>
    </row>
    <row r="30" spans="1:79" x14ac:dyDescent="0.2">
      <c r="A30" s="24">
        <f t="shared" si="22"/>
        <v>20</v>
      </c>
      <c r="B30" s="493" t="str">
        <f ca="1">IF('הבא להבא (עמותת מקום לשירה)'!$F$1="20","",'הבא להבא (עמותת מקום לשירה)'!$F$1)</f>
        <v>הבא להבא (עמותת מקום לשירה)</v>
      </c>
      <c r="C30" s="265">
        <v>40544</v>
      </c>
      <c r="D30" s="155">
        <f t="shared" ca="1" si="0"/>
        <v>14.010958904109589</v>
      </c>
      <c r="E30" s="25">
        <v>1</v>
      </c>
      <c r="F30" s="25">
        <v>1</v>
      </c>
      <c r="G30" s="25"/>
      <c r="H30" s="25">
        <v>1</v>
      </c>
      <c r="I30" s="25">
        <v>1</v>
      </c>
      <c r="J30" s="25">
        <v>1</v>
      </c>
      <c r="K30" s="25">
        <v>1</v>
      </c>
      <c r="L30" s="25">
        <v>1</v>
      </c>
      <c r="M30" s="28">
        <f t="shared" ca="1" si="1"/>
        <v>1</v>
      </c>
      <c r="N30" s="25">
        <v>0</v>
      </c>
      <c r="O30" s="25"/>
      <c r="P30" s="28">
        <f t="shared" ca="1" si="2"/>
        <v>1</v>
      </c>
      <c r="Q30" s="25"/>
      <c r="R30" s="405"/>
      <c r="S30" s="405"/>
      <c r="T30" s="405"/>
      <c r="U30" s="405"/>
      <c r="V30" s="405"/>
      <c r="Y30" s="28">
        <f t="shared" ca="1" si="23"/>
        <v>1</v>
      </c>
      <c r="Z30" s="28">
        <f ca="1">'ריכוז גיליונות עזר'!S30</f>
        <v>3</v>
      </c>
      <c r="AA30" s="28">
        <f ca="1">'ריכוז גיליונות עזר'!R30</f>
        <v>3</v>
      </c>
      <c r="AB30" s="28">
        <f ca="1">'ריכוז גיליונות עזר'!T30</f>
        <v>3</v>
      </c>
      <c r="AC30" s="25"/>
      <c r="AD30" s="28">
        <f t="shared" ca="1" si="24"/>
        <v>3</v>
      </c>
      <c r="AE30" s="405" cm="1">
        <f t="array" aca="1" ref="AE30" ca="1">IF($B30="","",IF($F30="","",INDIRECT("'"&amp;SUBSTITUTE($B30,"'","''")&amp;"'"&amp;"!L6")))</f>
        <v>0</v>
      </c>
      <c r="AF30" s="25"/>
      <c r="AG30" s="28">
        <f t="shared" ca="1" si="49"/>
        <v>1</v>
      </c>
      <c r="AH30" s="410">
        <f ca="1">'ריכוז גיליונות עזר'!U30</f>
        <v>0.98734177215189878</v>
      </c>
      <c r="AI30" s="25"/>
      <c r="AJ30" s="28">
        <f ca="1">IF(B30="","",IF(AI30=1,1,IF(AH30&gt;=פרמטרים!$B$46,1,0)))</f>
        <v>1</v>
      </c>
      <c r="AK30" s="25">
        <v>1</v>
      </c>
      <c r="AL30" s="28">
        <f t="shared" ca="1" si="26"/>
        <v>1</v>
      </c>
      <c r="AM30" s="314"/>
      <c r="AN30" s="28"/>
      <c r="AO30" s="26"/>
      <c r="AP30" s="62">
        <f t="shared" ca="1" si="43"/>
        <v>1</v>
      </c>
      <c r="AQ30" s="57">
        <f t="shared" ca="1" si="40"/>
        <v>1</v>
      </c>
      <c r="AR30" s="57">
        <f t="shared" ca="1" si="41"/>
        <v>1</v>
      </c>
      <c r="AS30" s="58">
        <f t="shared" ca="1" si="42"/>
        <v>1</v>
      </c>
      <c r="AT30" s="67">
        <f t="array" aca="1" ref="AT30" ca="1">IF(OR(AP30:AS30=0),0,1)</f>
        <v>1</v>
      </c>
      <c r="AU30" s="65">
        <f t="shared" si="4"/>
        <v>0</v>
      </c>
      <c r="AV30" s="57">
        <f>IF(SUM($AU30:AU30)&lt;$A$1,IF(SUM($U30:V30)&lt;$A$1,U30,$A$1-SUM($AU30:AU30)),0)</f>
        <v>0</v>
      </c>
      <c r="AW30" s="57">
        <f>IF(SUM($AU30:AV30)&lt;$A$1,IF(SUM($T30:V30)&lt;$A$1,T30,$A$1-SUM($AU30:AV30)),0)</f>
        <v>0</v>
      </c>
      <c r="AX30" s="57">
        <f>IF(SUM($AU30:AW30)&lt;$A$1,IF(SUM($S30:V30)&lt;$A$1,S30,$A$1-SUM($AU30:AW30)),0)</f>
        <v>0</v>
      </c>
      <c r="AY30" s="57">
        <f>IF(SUM($AU30:AX30)&lt;$A$1,IF(SUM($R30:V30)&lt;$A$1,R30,$A$1-SUM($AU30:AX30)),0)</f>
        <v>0</v>
      </c>
      <c r="AZ30" s="59">
        <f t="shared" si="44"/>
        <v>0</v>
      </c>
      <c r="BA30" s="57">
        <f t="shared" si="45"/>
        <v>0</v>
      </c>
      <c r="BB30" s="57">
        <f t="shared" si="46"/>
        <v>0</v>
      </c>
      <c r="BC30" s="63">
        <f t="shared" si="47"/>
        <v>0</v>
      </c>
      <c r="BD30" s="63">
        <f t="shared" si="48"/>
        <v>0</v>
      </c>
      <c r="BE30">
        <f t="shared" ca="1" si="27"/>
        <v>0</v>
      </c>
      <c r="BF30">
        <f t="shared" ca="1" si="27"/>
        <v>1</v>
      </c>
      <c r="BG30">
        <f t="shared" ca="1" si="28"/>
        <v>1</v>
      </c>
      <c r="BH30">
        <f t="shared" si="29"/>
        <v>1</v>
      </c>
      <c r="BI30">
        <f t="shared" si="30"/>
        <v>1</v>
      </c>
      <c r="BK30">
        <f t="shared" si="31"/>
        <v>1</v>
      </c>
      <c r="BL30">
        <f t="shared" si="32"/>
        <v>1</v>
      </c>
      <c r="BM30">
        <f t="shared" si="33"/>
        <v>1</v>
      </c>
      <c r="BN30">
        <f t="shared" ca="1" si="34"/>
        <v>1</v>
      </c>
      <c r="BO30">
        <f t="shared" ca="1" si="35"/>
        <v>1</v>
      </c>
      <c r="BP30">
        <f t="shared" ca="1" si="36"/>
        <v>1</v>
      </c>
      <c r="BQ30">
        <f ca="1">IF(AC30=1,1,IF(Z30="",0,IF('ריכוז גיליונות עזר'!W30=1,1,0)))</f>
        <v>1</v>
      </c>
      <c r="BR30">
        <f ca="1">IF(AC30=1,1,IF(AA30="",0,IF('ריכוז גיליונות עזר'!W30=1,1,0)))</f>
        <v>1</v>
      </c>
      <c r="BS30">
        <f t="shared" ca="1" si="37"/>
        <v>1</v>
      </c>
      <c r="BT30">
        <f t="shared" ca="1" si="38"/>
        <v>1</v>
      </c>
      <c r="BU30">
        <f t="shared" si="39"/>
        <v>1</v>
      </c>
      <c r="BW30" t="e">
        <f>IF(R30*#REF!&lt;200,0,1)</f>
        <v>#REF!</v>
      </c>
      <c r="BX30" t="e">
        <f>IF(S30*#REF!&lt;200,0,1)</f>
        <v>#REF!</v>
      </c>
      <c r="BY30" t="e">
        <f>IF(T30*#REF!&lt;200,0,1)</f>
        <v>#REF!</v>
      </c>
      <c r="BZ30" t="e">
        <f>IF(U30*#REF!&lt;200,0,1)</f>
        <v>#REF!</v>
      </c>
      <c r="CA30" t="e">
        <f>IF(V30*#REF!&lt;200,0,1)</f>
        <v>#REF!</v>
      </c>
    </row>
    <row r="31" spans="1:79" x14ac:dyDescent="0.2">
      <c r="A31" s="24">
        <f t="shared" si="22"/>
        <v>21</v>
      </c>
      <c r="B31" s="493" t="str">
        <f ca="1">IF('היסטוריה (החברה ההיסטורית הישרא'!$F$1="21","",'היסטוריה (החברה ההיסטורית הישרא'!$F$1)</f>
        <v>היסטוריה (החברה ההיסטורית הישרא</v>
      </c>
      <c r="C31" s="265">
        <v>27030</v>
      </c>
      <c r="D31" s="155">
        <f t="shared" ca="1" si="0"/>
        <v>51.035616438356165</v>
      </c>
      <c r="E31" s="25">
        <v>1</v>
      </c>
      <c r="F31" s="25">
        <v>1</v>
      </c>
      <c r="G31" s="25"/>
      <c r="H31" s="25">
        <v>1</v>
      </c>
      <c r="I31" s="25">
        <v>1</v>
      </c>
      <c r="J31" s="25">
        <v>1</v>
      </c>
      <c r="K31" s="25">
        <v>1</v>
      </c>
      <c r="L31" s="25">
        <v>1</v>
      </c>
      <c r="M31" s="28">
        <f t="shared" ca="1" si="1"/>
        <v>1</v>
      </c>
      <c r="N31" s="25">
        <v>0</v>
      </c>
      <c r="O31" s="25"/>
      <c r="P31" s="28">
        <f t="shared" ca="1" si="2"/>
        <v>1</v>
      </c>
      <c r="Q31" s="25"/>
      <c r="R31" s="405"/>
      <c r="S31" s="405"/>
      <c r="T31" s="405"/>
      <c r="U31" s="405"/>
      <c r="V31" s="405"/>
      <c r="Y31" s="28">
        <f t="shared" ca="1" si="23"/>
        <v>1</v>
      </c>
      <c r="Z31" s="28">
        <f ca="1">'ריכוז גיליונות עזר'!S31</f>
        <v>2</v>
      </c>
      <c r="AA31" s="28">
        <f ca="1">'ריכוז גיליונות עזר'!R31</f>
        <v>2</v>
      </c>
      <c r="AB31" s="28">
        <f ca="1">'ריכוז גיליונות עזר'!T31</f>
        <v>2</v>
      </c>
      <c r="AC31" s="25"/>
      <c r="AD31" s="28">
        <f t="shared" ca="1" si="24"/>
        <v>2</v>
      </c>
      <c r="AE31" s="405" cm="1">
        <f t="array" aca="1" ref="AE31" ca="1">IF($B31="","",IF($F31="","",INDIRECT("'"&amp;SUBSTITUTE($B31,"'","''")&amp;"'"&amp;"!L6")))</f>
        <v>0</v>
      </c>
      <c r="AF31" s="25"/>
      <c r="AG31" s="28">
        <f t="shared" ca="1" si="49"/>
        <v>1</v>
      </c>
      <c r="AH31" s="410">
        <f ca="1">'ריכוז גיליונות עזר'!U31</f>
        <v>1</v>
      </c>
      <c r="AI31" s="25"/>
      <c r="AJ31" s="28">
        <f ca="1">IF(B31="","",IF(AI31=1,1,IF(AH31&gt;=פרמטרים!$B$46,1,0)))</f>
        <v>1</v>
      </c>
      <c r="AK31" s="25">
        <v>1</v>
      </c>
      <c r="AL31" s="28">
        <f t="shared" ca="1" si="26"/>
        <v>1</v>
      </c>
      <c r="AM31" s="220"/>
      <c r="AN31" s="28"/>
      <c r="AO31" s="26"/>
      <c r="AP31" s="62">
        <f t="shared" ca="1" si="43"/>
        <v>1</v>
      </c>
      <c r="AQ31" s="57">
        <f t="shared" ca="1" si="40"/>
        <v>1</v>
      </c>
      <c r="AR31" s="57">
        <f t="shared" ca="1" si="41"/>
        <v>1</v>
      </c>
      <c r="AS31" s="58">
        <f t="shared" ca="1" si="42"/>
        <v>1</v>
      </c>
      <c r="AT31" s="67">
        <f t="array" aca="1" ref="AT31" ca="1">IF(OR(AP31:AS31=0),0,1)</f>
        <v>1</v>
      </c>
      <c r="AU31" s="65">
        <f t="shared" si="4"/>
        <v>0</v>
      </c>
      <c r="AV31" s="57">
        <f>IF(SUM($AU31:AU31)&lt;$A$1,IF(SUM($U31:V31)&lt;$A$1,U31,$A$1-SUM($AU31:AU31)),0)</f>
        <v>0</v>
      </c>
      <c r="AW31" s="57">
        <f>IF(SUM($AU31:AV31)&lt;$A$1,IF(SUM($T31:V31)&lt;$A$1,T31,$A$1-SUM($AU31:AV31)),0)</f>
        <v>0</v>
      </c>
      <c r="AX31" s="57">
        <f>IF(SUM($AU31:AW31)&lt;$A$1,IF(SUM($S31:V31)&lt;$A$1,S31,$A$1-SUM($AU31:AW31)),0)</f>
        <v>0</v>
      </c>
      <c r="AY31" s="57">
        <f>IF(SUM($AU31:AX31)&lt;$A$1,IF(SUM($R31:V31)&lt;$A$1,R31,$A$1-SUM($AU31:AX31)),0)</f>
        <v>0</v>
      </c>
      <c r="AZ31" s="59">
        <f t="shared" si="44"/>
        <v>0</v>
      </c>
      <c r="BA31" s="57">
        <f t="shared" si="45"/>
        <v>0</v>
      </c>
      <c r="BB31" s="57">
        <f t="shared" si="46"/>
        <v>0</v>
      </c>
      <c r="BC31" s="63">
        <f t="shared" si="47"/>
        <v>0</v>
      </c>
      <c r="BD31" s="63">
        <f t="shared" si="48"/>
        <v>0</v>
      </c>
      <c r="BE31">
        <f t="shared" ca="1" si="27"/>
        <v>0</v>
      </c>
      <c r="BF31">
        <f t="shared" ca="1" si="27"/>
        <v>1</v>
      </c>
      <c r="BG31">
        <f t="shared" ca="1" si="28"/>
        <v>1</v>
      </c>
      <c r="BH31">
        <f t="shared" si="29"/>
        <v>1</v>
      </c>
      <c r="BI31">
        <f t="shared" si="30"/>
        <v>1</v>
      </c>
      <c r="BK31">
        <f t="shared" si="31"/>
        <v>1</v>
      </c>
      <c r="BL31">
        <f t="shared" si="32"/>
        <v>1</v>
      </c>
      <c r="BM31">
        <f t="shared" si="33"/>
        <v>1</v>
      </c>
      <c r="BN31">
        <f t="shared" ca="1" si="34"/>
        <v>1</v>
      </c>
      <c r="BO31">
        <f t="shared" ca="1" si="35"/>
        <v>1</v>
      </c>
      <c r="BP31">
        <f t="shared" ca="1" si="36"/>
        <v>1</v>
      </c>
      <c r="BQ31">
        <f ca="1">IF(AC31=1,1,IF(Z31="",0,IF('ריכוז גיליונות עזר'!W31=1,1,0)))</f>
        <v>1</v>
      </c>
      <c r="BR31">
        <f ca="1">IF(AC31=1,1,IF(AA31="",0,IF('ריכוז גיליונות עזר'!W31=1,1,0)))</f>
        <v>1</v>
      </c>
      <c r="BS31">
        <f t="shared" ca="1" si="37"/>
        <v>1</v>
      </c>
      <c r="BT31">
        <f t="shared" ca="1" si="38"/>
        <v>1</v>
      </c>
      <c r="BU31">
        <f t="shared" si="39"/>
        <v>1</v>
      </c>
      <c r="BW31" t="e">
        <f>IF(R31*#REF!&lt;200,0,1)</f>
        <v>#REF!</v>
      </c>
      <c r="BX31" t="e">
        <f>IF(S31*#REF!&lt;200,0,1)</f>
        <v>#REF!</v>
      </c>
      <c r="BY31" t="e">
        <f>IF(T31*#REF!&lt;200,0,1)</f>
        <v>#REF!</v>
      </c>
      <c r="BZ31" t="e">
        <f>IF(U31*#REF!&lt;200,0,1)</f>
        <v>#REF!</v>
      </c>
      <c r="CA31" t="e">
        <f>IF(V31*#REF!&lt;200,0,1)</f>
        <v>#REF!</v>
      </c>
    </row>
    <row r="32" spans="1:79" x14ac:dyDescent="0.2">
      <c r="A32" s="24">
        <f t="shared" si="22"/>
        <v>22</v>
      </c>
      <c r="B32" s="493" t="str">
        <f ca="1">IF('מחול עכשיו (תמונע)'!$F$1="22","",'מחול עכשיו (תמונע)'!$F$1)</f>
        <v>מחול עכשיו (תמונע)</v>
      </c>
      <c r="C32" s="265">
        <v>39448</v>
      </c>
      <c r="D32" s="155">
        <f t="shared" ca="1" si="0"/>
        <v>17.013698630136986</v>
      </c>
      <c r="E32" s="25">
        <v>1</v>
      </c>
      <c r="F32" s="25">
        <v>1</v>
      </c>
      <c r="G32" s="25"/>
      <c r="H32" s="25">
        <v>1</v>
      </c>
      <c r="I32" s="25">
        <v>1</v>
      </c>
      <c r="J32" s="25">
        <v>1</v>
      </c>
      <c r="K32" s="25">
        <v>1</v>
      </c>
      <c r="L32" s="25">
        <v>1</v>
      </c>
      <c r="M32" s="28">
        <f t="shared" ca="1" si="1"/>
        <v>1</v>
      </c>
      <c r="N32" s="25">
        <v>0</v>
      </c>
      <c r="O32" s="25"/>
      <c r="P32" s="28">
        <f t="shared" ca="1" si="2"/>
        <v>1</v>
      </c>
      <c r="Q32" s="25"/>
      <c r="R32" s="405"/>
      <c r="S32" s="405"/>
      <c r="T32" s="405"/>
      <c r="U32" s="405"/>
      <c r="V32" s="405"/>
      <c r="Y32" s="28">
        <f t="shared" ca="1" si="23"/>
        <v>1</v>
      </c>
      <c r="Z32" s="28">
        <f ca="1">'ריכוז גיליונות עזר'!S32</f>
        <v>2</v>
      </c>
      <c r="AA32" s="28">
        <f ca="1">'ריכוז גיליונות עזר'!R32</f>
        <v>2</v>
      </c>
      <c r="AB32" s="28">
        <f ca="1">'ריכוז גיליונות עזר'!T32</f>
        <v>2</v>
      </c>
      <c r="AC32" s="25"/>
      <c r="AD32" s="28">
        <f t="shared" ca="1" si="24"/>
        <v>2</v>
      </c>
      <c r="AE32" s="405" cm="1">
        <f t="array" aca="1" ref="AE32" ca="1">IF($B32="","",IF($F32="","",INDIRECT("'"&amp;SUBSTITUTE($B32,"'","''")&amp;"'"&amp;"!L6")))</f>
        <v>0</v>
      </c>
      <c r="AF32" s="25"/>
      <c r="AG32" s="28">
        <f t="shared" ca="1" si="49"/>
        <v>1</v>
      </c>
      <c r="AH32" s="410">
        <f ca="1">'ריכוז גיליונות עזר'!U32</f>
        <v>1</v>
      </c>
      <c r="AI32" s="25"/>
      <c r="AJ32" s="28">
        <f ca="1">IF(B32="","",IF(AI32=1,1,IF(AH32&gt;=פרמטרים!$B$46,1,0)))</f>
        <v>1</v>
      </c>
      <c r="AK32" s="25">
        <v>1</v>
      </c>
      <c r="AL32" s="28">
        <f t="shared" ca="1" si="26"/>
        <v>1</v>
      </c>
      <c r="AM32" s="314"/>
      <c r="AN32" s="28"/>
      <c r="AO32" s="26"/>
      <c r="AP32" s="62">
        <f t="shared" ca="1" si="43"/>
        <v>1</v>
      </c>
      <c r="AQ32" s="57">
        <f t="shared" ca="1" si="40"/>
        <v>1</v>
      </c>
      <c r="AR32" s="57">
        <f t="shared" ca="1" si="41"/>
        <v>1</v>
      </c>
      <c r="AS32" s="58">
        <f t="shared" ca="1" si="42"/>
        <v>1</v>
      </c>
      <c r="AT32" s="67">
        <f t="array" aca="1" ref="AT32" ca="1">IF(OR(AP32:AS32=0),0,1)</f>
        <v>1</v>
      </c>
      <c r="AU32" s="65">
        <f t="shared" si="4"/>
        <v>0</v>
      </c>
      <c r="AV32" s="57">
        <f>IF(SUM($AU32:AU32)&lt;$A$1,IF(SUM($U32:V32)&lt;$A$1,U32,$A$1-SUM($AU32:AU32)),0)</f>
        <v>0</v>
      </c>
      <c r="AW32" s="57">
        <f>IF(SUM($AU32:AV32)&lt;$A$1,IF(SUM($T32:V32)&lt;$A$1,T32,$A$1-SUM($AU32:AV32)),0)</f>
        <v>0</v>
      </c>
      <c r="AX32" s="57">
        <f>IF(SUM($AU32:AW32)&lt;$A$1,IF(SUM($S32:V32)&lt;$A$1,S32,$A$1-SUM($AU32:AW32)),0)</f>
        <v>0</v>
      </c>
      <c r="AY32" s="57">
        <f>IF(SUM($AU32:AX32)&lt;$A$1,IF(SUM($R32:V32)&lt;$A$1,R32,$A$1-SUM($AU32:AX32)),0)</f>
        <v>0</v>
      </c>
      <c r="AZ32" s="59">
        <f t="shared" si="44"/>
        <v>0</v>
      </c>
      <c r="BA32" s="57">
        <f t="shared" si="45"/>
        <v>0</v>
      </c>
      <c r="BB32" s="57">
        <f t="shared" si="46"/>
        <v>0</v>
      </c>
      <c r="BC32" s="63">
        <f t="shared" si="47"/>
        <v>0</v>
      </c>
      <c r="BD32" s="63">
        <f t="shared" si="48"/>
        <v>0</v>
      </c>
      <c r="BE32">
        <f t="shared" ca="1" si="27"/>
        <v>0</v>
      </c>
      <c r="BF32">
        <f t="shared" ca="1" si="27"/>
        <v>1</v>
      </c>
      <c r="BG32">
        <f t="shared" ca="1" si="28"/>
        <v>1</v>
      </c>
      <c r="BH32">
        <f t="shared" si="29"/>
        <v>1</v>
      </c>
      <c r="BI32">
        <f t="shared" si="30"/>
        <v>1</v>
      </c>
      <c r="BK32">
        <f t="shared" si="31"/>
        <v>1</v>
      </c>
      <c r="BL32">
        <f t="shared" si="32"/>
        <v>1</v>
      </c>
      <c r="BM32">
        <f t="shared" si="33"/>
        <v>1</v>
      </c>
      <c r="BN32">
        <f t="shared" ca="1" si="34"/>
        <v>1</v>
      </c>
      <c r="BO32">
        <f t="shared" ca="1" si="35"/>
        <v>1</v>
      </c>
      <c r="BP32">
        <f t="shared" ca="1" si="36"/>
        <v>1</v>
      </c>
      <c r="BQ32">
        <f ca="1">IF(AC32=1,1,IF(Z32="",0,IF('ריכוז גיליונות עזר'!W32=1,1,0)))</f>
        <v>1</v>
      </c>
      <c r="BR32">
        <f ca="1">IF(AC32=1,1,IF(AA32="",0,IF('ריכוז גיליונות עזר'!W32=1,1,0)))</f>
        <v>1</v>
      </c>
      <c r="BS32">
        <f t="shared" ca="1" si="37"/>
        <v>1</v>
      </c>
      <c r="BT32">
        <f t="shared" ca="1" si="38"/>
        <v>1</v>
      </c>
      <c r="BU32">
        <f t="shared" si="39"/>
        <v>1</v>
      </c>
      <c r="BW32" t="e">
        <f>IF(R32*#REF!&lt;200,0,1)</f>
        <v>#REF!</v>
      </c>
      <c r="BX32" t="e">
        <f>IF(S32*#REF!&lt;200,0,1)</f>
        <v>#REF!</v>
      </c>
      <c r="BY32" t="e">
        <f>IF(T32*#REF!&lt;200,0,1)</f>
        <v>#REF!</v>
      </c>
      <c r="BZ32" t="e">
        <f>IF(U32*#REF!&lt;200,0,1)</f>
        <v>#REF!</v>
      </c>
      <c r="CA32" t="e">
        <f>IF(V32*#REF!&lt;200,0,1)</f>
        <v>#REF!</v>
      </c>
    </row>
    <row r="33" spans="1:79" x14ac:dyDescent="0.2">
      <c r="A33" s="24">
        <f t="shared" si="22"/>
        <v>23</v>
      </c>
      <c r="B33" s="493" t="str">
        <f ca="1">IF('קול אישה שירה (תואר)'!$F$1="23","",'קול אישה שירה (תואר)'!$F$1)</f>
        <v>קול אישה שירה (תואר)</v>
      </c>
      <c r="C33" s="265">
        <v>43101</v>
      </c>
      <c r="D33" s="155">
        <f t="shared" ca="1" si="0"/>
        <v>7.0054794520547947</v>
      </c>
      <c r="E33" s="25">
        <v>1</v>
      </c>
      <c r="F33" s="25">
        <v>1</v>
      </c>
      <c r="G33" s="25"/>
      <c r="H33" s="25">
        <v>1</v>
      </c>
      <c r="I33" s="25">
        <v>1</v>
      </c>
      <c r="J33" s="25">
        <v>1</v>
      </c>
      <c r="K33" s="25">
        <v>1</v>
      </c>
      <c r="L33" s="25">
        <v>1</v>
      </c>
      <c r="M33" s="28">
        <f t="shared" ca="1" si="1"/>
        <v>1</v>
      </c>
      <c r="N33" s="25">
        <v>0</v>
      </c>
      <c r="O33" s="25"/>
      <c r="P33" s="28">
        <f t="shared" ca="1" si="2"/>
        <v>1</v>
      </c>
      <c r="Q33" s="25"/>
      <c r="R33" s="405"/>
      <c r="S33" s="405"/>
      <c r="T33" s="405"/>
      <c r="U33" s="405"/>
      <c r="V33" s="405"/>
      <c r="Y33" s="28">
        <f t="shared" ca="1" si="23"/>
        <v>1</v>
      </c>
      <c r="Z33" s="28">
        <f ca="1">'ריכוז גיליונות עזר'!S33</f>
        <v>2</v>
      </c>
      <c r="AA33" s="28">
        <f ca="1">'ריכוז גיליונות עזר'!R33</f>
        <v>2</v>
      </c>
      <c r="AB33" s="28">
        <f ca="1">'ריכוז גיליונות עזר'!T33</f>
        <v>2</v>
      </c>
      <c r="AC33" s="25"/>
      <c r="AD33" s="28">
        <f t="shared" ca="1" si="24"/>
        <v>2</v>
      </c>
      <c r="AE33" s="405" cm="1">
        <f t="array" aca="1" ref="AE33" ca="1">IF($B33="","",IF($F33="","",INDIRECT("'"&amp;SUBSTITUTE($B33,"'","''")&amp;"'"&amp;"!L6")))</f>
        <v>0</v>
      </c>
      <c r="AF33" s="25"/>
      <c r="AG33" s="28">
        <f t="shared" ca="1" si="49"/>
        <v>1</v>
      </c>
      <c r="AH33" s="410">
        <f ca="1">'ריכוז גיליונות עזר'!U33</f>
        <v>0.94339622641509435</v>
      </c>
      <c r="AI33" s="25"/>
      <c r="AJ33" s="28">
        <f ca="1">IF(B33="","",IF(AI33=1,1,IF(AH33&gt;=פרמטרים!$B$46,1,0)))</f>
        <v>1</v>
      </c>
      <c r="AK33" s="25">
        <v>1</v>
      </c>
      <c r="AL33" s="28">
        <f t="shared" ca="1" si="26"/>
        <v>1</v>
      </c>
      <c r="AM33" s="220"/>
      <c r="AN33" s="28"/>
      <c r="AO33" s="26"/>
      <c r="AP33" s="62">
        <f t="shared" ca="1" si="43"/>
        <v>1</v>
      </c>
      <c r="AQ33" s="57">
        <f t="shared" ca="1" si="40"/>
        <v>1</v>
      </c>
      <c r="AR33" s="57">
        <f t="shared" ca="1" si="41"/>
        <v>1</v>
      </c>
      <c r="AS33" s="58">
        <f t="shared" ca="1" si="42"/>
        <v>1</v>
      </c>
      <c r="AT33" s="67">
        <f t="array" aca="1" ref="AT33" ca="1">IF(OR(AP33:AS33=0),0,1)</f>
        <v>1</v>
      </c>
      <c r="AU33" s="65">
        <f t="shared" si="4"/>
        <v>0</v>
      </c>
      <c r="AV33" s="57">
        <f>IF(SUM($AU33:AU33)&lt;$A$1,IF(SUM($U33:V33)&lt;$A$1,U33,$A$1-SUM($AU33:AU33)),0)</f>
        <v>0</v>
      </c>
      <c r="AW33" s="57">
        <f>IF(SUM($AU33:AV33)&lt;$A$1,IF(SUM($T33:V33)&lt;$A$1,T33,$A$1-SUM($AU33:AV33)),0)</f>
        <v>0</v>
      </c>
      <c r="AX33" s="57">
        <f>IF(SUM($AU33:AW33)&lt;$A$1,IF(SUM($S33:V33)&lt;$A$1,S33,$A$1-SUM($AU33:AW33)),0)</f>
        <v>0</v>
      </c>
      <c r="AY33" s="57">
        <f>IF(SUM($AU33:AX33)&lt;$A$1,IF(SUM($R33:V33)&lt;$A$1,R33,$A$1-SUM($AU33:AX33)),0)</f>
        <v>0</v>
      </c>
      <c r="AZ33" s="59">
        <f t="shared" si="44"/>
        <v>0</v>
      </c>
      <c r="BA33" s="57">
        <f t="shared" si="45"/>
        <v>0</v>
      </c>
      <c r="BB33" s="57">
        <f t="shared" si="46"/>
        <v>0</v>
      </c>
      <c r="BC33" s="63">
        <f t="shared" si="47"/>
        <v>0</v>
      </c>
      <c r="BD33" s="63">
        <f t="shared" si="48"/>
        <v>0</v>
      </c>
      <c r="BE33">
        <f t="shared" ca="1" si="27"/>
        <v>0</v>
      </c>
      <c r="BF33">
        <f t="shared" ca="1" si="27"/>
        <v>1</v>
      </c>
      <c r="BG33">
        <f t="shared" ca="1" si="28"/>
        <v>1</v>
      </c>
      <c r="BH33">
        <f t="shared" si="29"/>
        <v>1</v>
      </c>
      <c r="BI33">
        <f t="shared" si="30"/>
        <v>1</v>
      </c>
      <c r="BK33">
        <f t="shared" si="31"/>
        <v>1</v>
      </c>
      <c r="BL33">
        <f t="shared" si="32"/>
        <v>1</v>
      </c>
      <c r="BM33">
        <f t="shared" si="33"/>
        <v>1</v>
      </c>
      <c r="BN33">
        <f t="shared" ca="1" si="34"/>
        <v>1</v>
      </c>
      <c r="BO33">
        <f t="shared" ca="1" si="35"/>
        <v>1</v>
      </c>
      <c r="BP33">
        <f t="shared" ca="1" si="36"/>
        <v>1</v>
      </c>
      <c r="BQ33">
        <f ca="1">IF(AC33=1,1,IF(Z33="",0,IF('ריכוז גיליונות עזר'!W33=1,1,0)))</f>
        <v>1</v>
      </c>
      <c r="BR33">
        <f ca="1">IF(AC33=1,1,IF(AA33="",0,IF('ריכוז גיליונות עזר'!W33=1,1,0)))</f>
        <v>1</v>
      </c>
      <c r="BS33">
        <f t="shared" ca="1" si="37"/>
        <v>1</v>
      </c>
      <c r="BT33">
        <f t="shared" ca="1" si="38"/>
        <v>1</v>
      </c>
      <c r="BU33">
        <f t="shared" si="39"/>
        <v>1</v>
      </c>
      <c r="BW33" t="e">
        <f>IF(R33*#REF!&lt;200,0,1)</f>
        <v>#REF!</v>
      </c>
      <c r="BX33" t="e">
        <f>IF(S33*#REF!&lt;200,0,1)</f>
        <v>#REF!</v>
      </c>
      <c r="BY33" t="e">
        <f>IF(T33*#REF!&lt;200,0,1)</f>
        <v>#REF!</v>
      </c>
      <c r="BZ33" t="e">
        <f>IF(U33*#REF!&lt;200,0,1)</f>
        <v>#REF!</v>
      </c>
      <c r="CA33" t="e">
        <f>IF(V33*#REF!&lt;200,0,1)</f>
        <v>#REF!</v>
      </c>
    </row>
    <row r="34" spans="1:79" x14ac:dyDescent="0.2">
      <c r="A34" s="24">
        <f t="shared" si="22"/>
        <v>24</v>
      </c>
      <c r="B34" s="493" t="str">
        <f ca="1">IF('האיגוד העולמי למדעי היהדות'!$F$1="24","",'האיגוד העולמי למדעי היהדות'!$F$1)</f>
        <v>האיגוד העולמי למדעי היהדות</v>
      </c>
      <c r="C34" s="265">
        <v>25569</v>
      </c>
      <c r="D34" s="155">
        <f t="shared" ca="1" si="0"/>
        <v>55.038356164383565</v>
      </c>
      <c r="E34" s="25">
        <v>1</v>
      </c>
      <c r="F34" s="25">
        <v>1</v>
      </c>
      <c r="G34" s="25"/>
      <c r="H34" s="25">
        <v>1</v>
      </c>
      <c r="I34" s="25">
        <v>1</v>
      </c>
      <c r="J34" s="25">
        <v>1</v>
      </c>
      <c r="K34" s="25">
        <v>1</v>
      </c>
      <c r="L34" s="25">
        <v>1</v>
      </c>
      <c r="M34" s="28">
        <f t="shared" ca="1" si="1"/>
        <v>1</v>
      </c>
      <c r="N34" s="25">
        <v>0</v>
      </c>
      <c r="O34" s="25">
        <v>1</v>
      </c>
      <c r="P34" s="28">
        <f t="shared" ca="1" si="2"/>
        <v>1</v>
      </c>
      <c r="Q34" s="25"/>
      <c r="R34" s="405"/>
      <c r="S34" s="405"/>
      <c r="T34" s="405"/>
      <c r="U34" s="405"/>
      <c r="V34" s="405"/>
      <c r="Y34" s="28">
        <f t="shared" ca="1" si="23"/>
        <v>1</v>
      </c>
      <c r="Z34" s="28">
        <f ca="1">'ריכוז גיליונות עזר'!S34</f>
        <v>2</v>
      </c>
      <c r="AA34" s="28">
        <f ca="1">'ריכוז גיליונות עזר'!R34</f>
        <v>2</v>
      </c>
      <c r="AB34" s="28">
        <f ca="1">'ריכוז גיליונות עזר'!T34</f>
        <v>2</v>
      </c>
      <c r="AC34" s="25"/>
      <c r="AD34" s="28">
        <f t="shared" ca="1" si="24"/>
        <v>2</v>
      </c>
      <c r="AE34" s="405" cm="1">
        <f t="array" aca="1" ref="AE34" ca="1">IF($B34="","",IF($F34="","",INDIRECT("'"&amp;SUBSTITUTE($B34,"'","''")&amp;"'"&amp;"!L6")))</f>
        <v>0</v>
      </c>
      <c r="AF34" s="25"/>
      <c r="AG34" s="28">
        <f t="shared" ca="1" si="49"/>
        <v>1</v>
      </c>
      <c r="AH34" s="410">
        <f ca="1">'ריכוז גיליונות עזר'!U34</f>
        <v>1</v>
      </c>
      <c r="AI34" s="25"/>
      <c r="AJ34" s="28">
        <f ca="1">IF(B34="","",IF(AI34=1,1,IF(AH34&gt;=פרמטרים!$B$46,1,0)))</f>
        <v>1</v>
      </c>
      <c r="AK34" s="25">
        <v>1</v>
      </c>
      <c r="AL34" s="28">
        <f t="shared" ca="1" si="26"/>
        <v>1</v>
      </c>
      <c r="AM34" s="220"/>
      <c r="AN34" s="28"/>
      <c r="AO34" s="26"/>
      <c r="AP34" s="62">
        <f t="shared" ca="1" si="43"/>
        <v>1</v>
      </c>
      <c r="AQ34" s="57">
        <f t="shared" ca="1" si="40"/>
        <v>1</v>
      </c>
      <c r="AR34" s="57">
        <f t="shared" ca="1" si="41"/>
        <v>1</v>
      </c>
      <c r="AS34" s="58">
        <f t="shared" ca="1" si="42"/>
        <v>1</v>
      </c>
      <c r="AT34" s="67">
        <f t="array" aca="1" ref="AT34" ca="1">IF(OR(AP34:AS34=0),0,1)</f>
        <v>1</v>
      </c>
      <c r="AU34" s="65">
        <f t="shared" si="4"/>
        <v>0</v>
      </c>
      <c r="AV34" s="57">
        <f>IF(SUM($AU34:AU34)&lt;$A$1,IF(SUM($U34:V34)&lt;$A$1,U34,$A$1-SUM($AU34:AU34)),0)</f>
        <v>0</v>
      </c>
      <c r="AW34" s="57">
        <f>IF(SUM($AU34:AV34)&lt;$A$1,IF(SUM($T34:V34)&lt;$A$1,T34,$A$1-SUM($AU34:AV34)),0)</f>
        <v>0</v>
      </c>
      <c r="AX34" s="57">
        <f>IF(SUM($AU34:AW34)&lt;$A$1,IF(SUM($S34:V34)&lt;$A$1,S34,$A$1-SUM($AU34:AW34)),0)</f>
        <v>0</v>
      </c>
      <c r="AY34" s="57">
        <f>IF(SUM($AU34:AX34)&lt;$A$1,IF(SUM($R34:V34)&lt;$A$1,R34,$A$1-SUM($AU34:AX34)),0)</f>
        <v>0</v>
      </c>
      <c r="AZ34" s="59">
        <f t="shared" si="44"/>
        <v>0</v>
      </c>
      <c r="BA34" s="57">
        <f t="shared" si="45"/>
        <v>0</v>
      </c>
      <c r="BB34" s="57">
        <f t="shared" si="46"/>
        <v>0</v>
      </c>
      <c r="BC34" s="63">
        <f t="shared" si="47"/>
        <v>0</v>
      </c>
      <c r="BD34" s="63">
        <f t="shared" si="48"/>
        <v>0</v>
      </c>
      <c r="BE34">
        <f t="shared" ca="1" si="27"/>
        <v>0</v>
      </c>
      <c r="BF34">
        <f t="shared" ca="1" si="27"/>
        <v>1</v>
      </c>
      <c r="BG34">
        <f t="shared" ca="1" si="28"/>
        <v>1</v>
      </c>
      <c r="BH34">
        <f t="shared" si="29"/>
        <v>1</v>
      </c>
      <c r="BI34">
        <f t="shared" si="30"/>
        <v>1</v>
      </c>
      <c r="BK34">
        <f t="shared" si="31"/>
        <v>1</v>
      </c>
      <c r="BL34">
        <f t="shared" si="32"/>
        <v>1</v>
      </c>
      <c r="BM34">
        <f t="shared" si="33"/>
        <v>1</v>
      </c>
      <c r="BN34">
        <f t="shared" ca="1" si="34"/>
        <v>1</v>
      </c>
      <c r="BO34">
        <f t="shared" ca="1" si="35"/>
        <v>1</v>
      </c>
      <c r="BP34">
        <f t="shared" ca="1" si="36"/>
        <v>1</v>
      </c>
      <c r="BQ34">
        <f ca="1">IF(AC34=1,1,IF(Z34="",0,IF('ריכוז גיליונות עזר'!W34=1,1,0)))</f>
        <v>1</v>
      </c>
      <c r="BR34">
        <f ca="1">IF(AC34=1,1,IF(AA34="",0,IF('ריכוז גיליונות עזר'!W34=1,1,0)))</f>
        <v>1</v>
      </c>
      <c r="BS34">
        <f t="shared" ca="1" si="37"/>
        <v>1</v>
      </c>
      <c r="BT34">
        <f t="shared" ca="1" si="38"/>
        <v>1</v>
      </c>
      <c r="BU34">
        <f t="shared" si="39"/>
        <v>1</v>
      </c>
      <c r="BW34" t="e">
        <f>IF(R34*#REF!&lt;200,0,1)</f>
        <v>#REF!</v>
      </c>
      <c r="BX34" t="e">
        <f>IF(S34*#REF!&lt;200,0,1)</f>
        <v>#REF!</v>
      </c>
      <c r="BY34" t="e">
        <f>IF(T34*#REF!&lt;200,0,1)</f>
        <v>#REF!</v>
      </c>
      <c r="BZ34" t="e">
        <f>IF(U34*#REF!&lt;200,0,1)</f>
        <v>#REF!</v>
      </c>
      <c r="CA34" t="e">
        <f>IF(V34*#REF!&lt;200,0,1)</f>
        <v>#REF!</v>
      </c>
    </row>
    <row r="35" spans="1:79" x14ac:dyDescent="0.2">
      <c r="A35" s="24">
        <f t="shared" si="22"/>
        <v>25</v>
      </c>
      <c r="B35" s="493" t="str">
        <f ca="1">IF('25'!$F$1="25","",'25'!$F$1)</f>
        <v/>
      </c>
      <c r="C35" s="265"/>
      <c r="D35" s="155" t="str">
        <f t="shared" ca="1" si="0"/>
        <v/>
      </c>
      <c r="E35" s="25"/>
      <c r="F35" s="25"/>
      <c r="G35" s="25"/>
      <c r="H35" s="25"/>
      <c r="I35" s="25"/>
      <c r="J35" s="25"/>
      <c r="K35" s="25"/>
      <c r="L35" s="25"/>
      <c r="M35" s="28" t="str">
        <f t="shared" ca="1" si="1"/>
        <v/>
      </c>
      <c r="N35" s="25"/>
      <c r="O35" s="25">
        <v>1</v>
      </c>
      <c r="P35" s="28" t="str">
        <f t="shared" ca="1" si="2"/>
        <v/>
      </c>
      <c r="Q35" s="25"/>
      <c r="R35" s="405"/>
      <c r="S35" s="405"/>
      <c r="T35" s="405"/>
      <c r="U35" s="405"/>
      <c r="V35" s="405"/>
      <c r="Y35" s="28" t="str">
        <f t="shared" ca="1" si="23"/>
        <v/>
      </c>
      <c r="Z35" s="28" t="str">
        <f ca="1">'ריכוז גיליונות עזר'!S35</f>
        <v/>
      </c>
      <c r="AA35" s="28" t="str">
        <f ca="1">'ריכוז גיליונות עזר'!R35</f>
        <v/>
      </c>
      <c r="AB35" s="28" t="str">
        <f ca="1">'ריכוז גיליונות עזר'!T35</f>
        <v/>
      </c>
      <c r="AC35" s="25"/>
      <c r="AD35" s="28" t="str">
        <f t="shared" ca="1" si="24"/>
        <v/>
      </c>
      <c r="AE35" s="405" t="str" cm="1">
        <f t="array" aca="1" ref="AE35" ca="1">IF($B35="","",IF($F35="","",INDIRECT("'"&amp;SUBSTITUTE($B35,"'","''")&amp;"'"&amp;"!L6")))</f>
        <v/>
      </c>
      <c r="AF35" s="25"/>
      <c r="AG35" s="28" t="str">
        <f t="shared" ca="1" si="49"/>
        <v/>
      </c>
      <c r="AH35" s="410" t="str">
        <f ca="1">'ריכוז גיליונות עזר'!U35</f>
        <v/>
      </c>
      <c r="AI35" s="25"/>
      <c r="AJ35" s="28" t="str">
        <f ca="1">IF(B35="","",IF(AI35=1,1,IF(AH35&gt;=פרמטרים!$B$46,1,0)))</f>
        <v/>
      </c>
      <c r="AK35" s="25"/>
      <c r="AL35" s="28" t="str">
        <f ca="1">IFERROR(IF(B35="","",IF(SUM(BG35:BU35)=COUNT(BG35:BU35),1,0)),$AP$1)</f>
        <v/>
      </c>
      <c r="AM35" s="314"/>
      <c r="AN35" s="28"/>
      <c r="AO35" s="26"/>
      <c r="AP35" s="62">
        <f t="shared" ca="1" si="43"/>
        <v>0</v>
      </c>
      <c r="AQ35" s="57">
        <f t="shared" ca="1" si="40"/>
        <v>0</v>
      </c>
      <c r="AR35" s="57">
        <f t="shared" ca="1" si="41"/>
        <v>0</v>
      </c>
      <c r="AS35" s="58">
        <f t="shared" ca="1" si="42"/>
        <v>0</v>
      </c>
      <c r="AT35" s="67">
        <f t="array" aca="1" ref="AT35" ca="1">IF(OR(AP35:AS35=0),0,1)</f>
        <v>0</v>
      </c>
      <c r="AU35" s="65">
        <f t="shared" si="4"/>
        <v>0</v>
      </c>
      <c r="AV35" s="57">
        <f>IF(SUM($AU35:AU35)&lt;$A$1,IF(SUM($U35:V35)&lt;$A$1,U35,$A$1-SUM($AU35:AU35)),0)</f>
        <v>0</v>
      </c>
      <c r="AW35" s="57">
        <f>IF(SUM($AU35:AV35)&lt;$A$1,IF(SUM($T35:V35)&lt;$A$1,T35,$A$1-SUM($AU35:AV35)),0)</f>
        <v>0</v>
      </c>
      <c r="AX35" s="57">
        <f>IF(SUM($AU35:AW35)&lt;$A$1,IF(SUM($S35:V35)&lt;$A$1,S35,$A$1-SUM($AU35:AW35)),0)</f>
        <v>0</v>
      </c>
      <c r="AY35" s="57">
        <f>IF(SUM($AU35:AX35)&lt;$A$1,IF(SUM($R35:V35)&lt;$A$1,R35,$A$1-SUM($AU35:AX35)),0)</f>
        <v>0</v>
      </c>
      <c r="AZ35" s="59">
        <f t="shared" si="44"/>
        <v>0</v>
      </c>
      <c r="BA35" s="57">
        <f t="shared" si="45"/>
        <v>0</v>
      </c>
      <c r="BB35" s="57">
        <f t="shared" si="46"/>
        <v>0</v>
      </c>
      <c r="BC35" s="63">
        <f t="shared" si="47"/>
        <v>0</v>
      </c>
      <c r="BD35" s="63">
        <f t="shared" si="48"/>
        <v>0</v>
      </c>
      <c r="BE35" t="str">
        <f t="shared" ca="1" si="27"/>
        <v/>
      </c>
      <c r="BF35" t="str">
        <f t="shared" ca="1" si="27"/>
        <v/>
      </c>
      <c r="BG35">
        <f t="shared" ca="1" si="28"/>
        <v>0</v>
      </c>
      <c r="BH35">
        <f t="shared" si="29"/>
        <v>0</v>
      </c>
      <c r="BI35">
        <f t="shared" si="30"/>
        <v>0</v>
      </c>
      <c r="BK35">
        <f t="shared" si="31"/>
        <v>0</v>
      </c>
      <c r="BL35">
        <f t="shared" si="32"/>
        <v>0</v>
      </c>
      <c r="BM35">
        <f t="shared" si="33"/>
        <v>0</v>
      </c>
      <c r="BN35">
        <f t="shared" ca="1" si="34"/>
        <v>0</v>
      </c>
      <c r="BO35">
        <f t="shared" ca="1" si="35"/>
        <v>0</v>
      </c>
      <c r="BP35">
        <f t="shared" ca="1" si="36"/>
        <v>0</v>
      </c>
      <c r="BQ35">
        <f ca="1">IF(AC35=1,1,IF(Z35="",0,IF('ריכוז גיליונות עזר'!W35=1,1,0)))</f>
        <v>0</v>
      </c>
      <c r="BR35">
        <f ca="1">IF(AC35=1,1,IF(AA35="",0,IF('ריכוז גיליונות עזר'!W35=1,1,0)))</f>
        <v>0</v>
      </c>
      <c r="BS35">
        <f t="shared" ca="1" si="37"/>
        <v>0</v>
      </c>
      <c r="BT35">
        <f t="shared" ca="1" si="38"/>
        <v>0</v>
      </c>
      <c r="BU35">
        <f t="shared" si="39"/>
        <v>0</v>
      </c>
      <c r="BW35" t="e">
        <f>IF(R35*#REF!&lt;200,0,1)</f>
        <v>#REF!</v>
      </c>
      <c r="BX35" t="e">
        <f>IF(S35*#REF!&lt;200,0,1)</f>
        <v>#REF!</v>
      </c>
      <c r="BY35" t="e">
        <f>IF(T35*#REF!&lt;200,0,1)</f>
        <v>#REF!</v>
      </c>
      <c r="BZ35" t="e">
        <f>IF(U35*#REF!&lt;200,0,1)</f>
        <v>#REF!</v>
      </c>
      <c r="CA35" t="e">
        <f>IF(V35*#REF!&lt;200,0,1)</f>
        <v>#REF!</v>
      </c>
    </row>
    <row r="36" spans="1:79" x14ac:dyDescent="0.2">
      <c r="A36" s="24">
        <f t="shared" si="22"/>
        <v>26</v>
      </c>
      <c r="B36" s="493" t="str">
        <f ca="1">IF('26'!$F$1="26","",'26'!$F$1)</f>
        <v/>
      </c>
      <c r="C36" s="265"/>
      <c r="D36" s="155" t="str">
        <f t="shared" ca="1" si="0"/>
        <v/>
      </c>
      <c r="E36" s="25"/>
      <c r="F36" s="25"/>
      <c r="G36" s="25"/>
      <c r="H36" s="25"/>
      <c r="I36" s="25"/>
      <c r="J36" s="25"/>
      <c r="K36" s="25"/>
      <c r="L36" s="25"/>
      <c r="M36" s="28" t="str">
        <f t="shared" ca="1" si="1"/>
        <v/>
      </c>
      <c r="N36" s="25"/>
      <c r="O36" s="25"/>
      <c r="P36" s="28" t="str">
        <f t="shared" ca="1" si="2"/>
        <v/>
      </c>
      <c r="Q36" s="25"/>
      <c r="R36" s="405"/>
      <c r="S36" s="405"/>
      <c r="T36" s="405"/>
      <c r="U36" s="405"/>
      <c r="V36" s="405"/>
      <c r="Y36" s="28" t="str">
        <f t="shared" ca="1" si="23"/>
        <v/>
      </c>
      <c r="Z36" s="28" t="str">
        <f ca="1">'ריכוז גיליונות עזר'!S36</f>
        <v/>
      </c>
      <c r="AA36" s="28" t="str">
        <f ca="1">'ריכוז גיליונות עזר'!R36</f>
        <v/>
      </c>
      <c r="AB36" s="28" t="str">
        <f ca="1">'ריכוז גיליונות עזר'!T36</f>
        <v/>
      </c>
      <c r="AC36" s="25"/>
      <c r="AD36" s="28" t="str">
        <f t="shared" ca="1" si="24"/>
        <v/>
      </c>
      <c r="AE36" s="405" t="str" cm="1">
        <f t="array" aca="1" ref="AE36" ca="1">IF($B36="","",IF($F36="","",INDIRECT("'"&amp;SUBSTITUTE($B36,"'","''")&amp;"'"&amp;"!L6")))</f>
        <v/>
      </c>
      <c r="AF36" s="25"/>
      <c r="AG36" s="28" t="str">
        <f t="shared" ca="1" si="49"/>
        <v/>
      </c>
      <c r="AH36" s="410" t="str">
        <f ca="1">'ריכוז גיליונות עזר'!U36</f>
        <v/>
      </c>
      <c r="AI36" s="25"/>
      <c r="AJ36" s="28" t="str">
        <f ca="1">IF(B36="","",IF(AI36=1,1,IF(AH36&gt;=פרמטרים!$B$46,1,0)))</f>
        <v/>
      </c>
      <c r="AK36" s="25"/>
      <c r="AL36" s="28" t="str">
        <f t="shared" ca="1" si="26"/>
        <v/>
      </c>
      <c r="AM36" s="314"/>
      <c r="AN36" s="28"/>
      <c r="AO36" s="26"/>
      <c r="AP36" s="62">
        <f t="shared" ca="1" si="43"/>
        <v>0</v>
      </c>
      <c r="AQ36" s="57">
        <f t="shared" ca="1" si="40"/>
        <v>0</v>
      </c>
      <c r="AR36" s="57">
        <f t="shared" ca="1" si="41"/>
        <v>0</v>
      </c>
      <c r="AS36" s="58">
        <f t="shared" ca="1" si="42"/>
        <v>0</v>
      </c>
      <c r="AT36" s="67">
        <f t="array" aca="1" ref="AT36" ca="1">IF(OR(AP36:AS36=0),0,1)</f>
        <v>0</v>
      </c>
      <c r="AU36" s="65">
        <f t="shared" si="4"/>
        <v>0</v>
      </c>
      <c r="AV36" s="57">
        <f>IF(SUM($AU36:AU36)&lt;$A$1,IF(SUM($U36:V36)&lt;$A$1,U36,$A$1-SUM($AU36:AU36)),0)</f>
        <v>0</v>
      </c>
      <c r="AW36" s="57">
        <f>IF(SUM($AU36:AV36)&lt;$A$1,IF(SUM($T36:V36)&lt;$A$1,T36,$A$1-SUM($AU36:AV36)),0)</f>
        <v>0</v>
      </c>
      <c r="AX36" s="57">
        <f>IF(SUM($AU36:AW36)&lt;$A$1,IF(SUM($S36:V36)&lt;$A$1,S36,$A$1-SUM($AU36:AW36)),0)</f>
        <v>0</v>
      </c>
      <c r="AY36" s="57">
        <f>IF(SUM($AU36:AX36)&lt;$A$1,IF(SUM($R36:V36)&lt;$A$1,R36,$A$1-SUM($AU36:AX36)),0)</f>
        <v>0</v>
      </c>
      <c r="AZ36" s="59">
        <f t="shared" si="44"/>
        <v>0</v>
      </c>
      <c r="BA36" s="57">
        <f t="shared" si="45"/>
        <v>0</v>
      </c>
      <c r="BB36" s="57">
        <f t="shared" si="46"/>
        <v>0</v>
      </c>
      <c r="BC36" s="63">
        <f t="shared" si="47"/>
        <v>0</v>
      </c>
      <c r="BD36" s="63">
        <f t="shared" si="48"/>
        <v>0</v>
      </c>
      <c r="BE36" t="str">
        <f t="shared" ca="1" si="27"/>
        <v/>
      </c>
      <c r="BF36" t="str">
        <f t="shared" ca="1" si="27"/>
        <v/>
      </c>
      <c r="BG36">
        <f t="shared" ca="1" si="28"/>
        <v>0</v>
      </c>
      <c r="BH36">
        <f t="shared" si="29"/>
        <v>0</v>
      </c>
      <c r="BI36">
        <f t="shared" si="30"/>
        <v>0</v>
      </c>
      <c r="BK36">
        <f t="shared" si="31"/>
        <v>0</v>
      </c>
      <c r="BL36">
        <f t="shared" si="32"/>
        <v>0</v>
      </c>
      <c r="BM36">
        <f t="shared" si="33"/>
        <v>0</v>
      </c>
      <c r="BN36">
        <f t="shared" ca="1" si="34"/>
        <v>0</v>
      </c>
      <c r="BO36">
        <f t="shared" ca="1" si="35"/>
        <v>0</v>
      </c>
      <c r="BP36">
        <f t="shared" ca="1" si="36"/>
        <v>0</v>
      </c>
      <c r="BQ36">
        <f ca="1">IF(AC36=1,1,IF(Z36="",0,IF('ריכוז גיליונות עזר'!W36=1,1,0)))</f>
        <v>0</v>
      </c>
      <c r="BR36">
        <f ca="1">IF(AC36=1,1,IF(AA36="",0,IF('ריכוז גיליונות עזר'!W36=1,1,0)))</f>
        <v>0</v>
      </c>
      <c r="BS36">
        <f t="shared" ca="1" si="37"/>
        <v>0</v>
      </c>
      <c r="BT36">
        <f t="shared" ca="1" si="38"/>
        <v>0</v>
      </c>
      <c r="BU36">
        <f t="shared" si="39"/>
        <v>0</v>
      </c>
      <c r="BW36" t="e">
        <f>IF(R36*#REF!&lt;200,0,1)</f>
        <v>#REF!</v>
      </c>
      <c r="BX36" t="e">
        <f>IF(S36*#REF!&lt;200,0,1)</f>
        <v>#REF!</v>
      </c>
      <c r="BY36" t="e">
        <f>IF(T36*#REF!&lt;200,0,1)</f>
        <v>#REF!</v>
      </c>
      <c r="BZ36" t="e">
        <f>IF(U36*#REF!&lt;200,0,1)</f>
        <v>#REF!</v>
      </c>
      <c r="CA36" t="e">
        <f>IF(V36*#REF!&lt;200,0,1)</f>
        <v>#REF!</v>
      </c>
    </row>
    <row r="37" spans="1:79" x14ac:dyDescent="0.2">
      <c r="A37" s="24">
        <f t="shared" si="22"/>
        <v>27</v>
      </c>
      <c r="B37" s="493" t="str">
        <f ca="1">IF('27'!$F$1="27","",'27'!$F$1)</f>
        <v/>
      </c>
      <c r="C37" s="265"/>
      <c r="D37" s="155" t="str">
        <f t="shared" ca="1" si="0"/>
        <v/>
      </c>
      <c r="E37" s="25"/>
      <c r="F37" s="25"/>
      <c r="G37" s="25"/>
      <c r="H37" s="25"/>
      <c r="I37" s="25"/>
      <c r="J37" s="25"/>
      <c r="K37" s="25"/>
      <c r="L37" s="25"/>
      <c r="M37" s="28" t="str">
        <f t="shared" ca="1" si="1"/>
        <v/>
      </c>
      <c r="N37" s="25"/>
      <c r="O37" s="25">
        <v>1</v>
      </c>
      <c r="P37" s="28" t="str">
        <f t="shared" ca="1" si="2"/>
        <v/>
      </c>
      <c r="Q37" s="25"/>
      <c r="R37" s="405"/>
      <c r="S37" s="405"/>
      <c r="T37" s="405"/>
      <c r="U37" s="405"/>
      <c r="V37" s="405"/>
      <c r="Y37" s="28" t="str">
        <f t="shared" ca="1" si="23"/>
        <v/>
      </c>
      <c r="Z37" s="28" t="str">
        <f ca="1">'ריכוז גיליונות עזר'!S37</f>
        <v/>
      </c>
      <c r="AA37" s="28" t="str">
        <f ca="1">'ריכוז גיליונות עזר'!R37</f>
        <v/>
      </c>
      <c r="AB37" s="28" t="str">
        <f ca="1">'ריכוז גיליונות עזר'!T37</f>
        <v/>
      </c>
      <c r="AC37" s="25"/>
      <c r="AD37" s="28" t="str">
        <f t="shared" ca="1" si="24"/>
        <v/>
      </c>
      <c r="AE37" s="405" t="str" cm="1">
        <f t="array" aca="1" ref="AE37" ca="1">IF($B37="","",IF($F37="","",INDIRECT("'"&amp;SUBSTITUTE($B37,"'","''")&amp;"'"&amp;"!L6")))</f>
        <v/>
      </c>
      <c r="AF37" s="25"/>
      <c r="AG37" s="28" t="str">
        <f t="shared" ca="1" si="49"/>
        <v/>
      </c>
      <c r="AH37" s="410" t="str">
        <f ca="1">'ריכוז גיליונות עזר'!U37</f>
        <v/>
      </c>
      <c r="AI37" s="25"/>
      <c r="AJ37" s="28" t="str">
        <f ca="1">IF(B37="","",IF(AI37=1,1,IF(AH37&gt;=פרמטרים!$B$46,1,0)))</f>
        <v/>
      </c>
      <c r="AK37" s="25"/>
      <c r="AL37" s="28" t="str">
        <f t="shared" ca="1" si="26"/>
        <v/>
      </c>
      <c r="AM37" s="314"/>
      <c r="AN37" s="28"/>
      <c r="AO37" s="26"/>
      <c r="AP37" s="62">
        <f t="shared" ca="1" si="43"/>
        <v>0</v>
      </c>
      <c r="AQ37" s="57">
        <f t="shared" ca="1" si="40"/>
        <v>0</v>
      </c>
      <c r="AR37" s="57">
        <f t="shared" ca="1" si="41"/>
        <v>0</v>
      </c>
      <c r="AS37" s="58">
        <f t="shared" ca="1" si="42"/>
        <v>0</v>
      </c>
      <c r="AT37" s="67">
        <f t="array" aca="1" ref="AT37" ca="1">IF(OR(AP37:AS37=0),0,1)</f>
        <v>0</v>
      </c>
      <c r="AU37" s="65">
        <f t="shared" si="4"/>
        <v>0</v>
      </c>
      <c r="AV37" s="57">
        <f>IF(SUM($AU37:AU37)&lt;$A$1,IF(SUM($U37:V37)&lt;$A$1,U37,$A$1-SUM($AU37:AU37)),0)</f>
        <v>0</v>
      </c>
      <c r="AW37" s="57">
        <f>IF(SUM($AU37:AV37)&lt;$A$1,IF(SUM($T37:V37)&lt;$A$1,T37,$A$1-SUM($AU37:AV37)),0)</f>
        <v>0</v>
      </c>
      <c r="AX37" s="57">
        <f>IF(SUM($AU37:AW37)&lt;$A$1,IF(SUM($S37:V37)&lt;$A$1,S37,$A$1-SUM($AU37:AW37)),0)</f>
        <v>0</v>
      </c>
      <c r="AY37" s="57">
        <f>IF(SUM($AU37:AX37)&lt;$A$1,IF(SUM($R37:V37)&lt;$A$1,R37,$A$1-SUM($AU37:AX37)),0)</f>
        <v>0</v>
      </c>
      <c r="AZ37" s="59">
        <f t="shared" si="44"/>
        <v>0</v>
      </c>
      <c r="BA37" s="57">
        <f t="shared" si="45"/>
        <v>0</v>
      </c>
      <c r="BB37" s="57">
        <f t="shared" si="46"/>
        <v>0</v>
      </c>
      <c r="BC37" s="63">
        <f t="shared" si="47"/>
        <v>0</v>
      </c>
      <c r="BD37" s="63">
        <f t="shared" si="48"/>
        <v>0</v>
      </c>
      <c r="BE37" t="str">
        <f t="shared" ca="1" si="27"/>
        <v/>
      </c>
      <c r="BF37" t="str">
        <f t="shared" ca="1" si="27"/>
        <v/>
      </c>
      <c r="BG37">
        <f t="shared" ca="1" si="28"/>
        <v>0</v>
      </c>
      <c r="BH37">
        <f t="shared" si="29"/>
        <v>0</v>
      </c>
      <c r="BI37">
        <f t="shared" si="30"/>
        <v>0</v>
      </c>
      <c r="BK37">
        <f t="shared" si="31"/>
        <v>0</v>
      </c>
      <c r="BL37">
        <f t="shared" si="32"/>
        <v>0</v>
      </c>
      <c r="BM37">
        <f t="shared" si="33"/>
        <v>0</v>
      </c>
      <c r="BN37">
        <f t="shared" ca="1" si="34"/>
        <v>0</v>
      </c>
      <c r="BO37">
        <f t="shared" ca="1" si="35"/>
        <v>0</v>
      </c>
      <c r="BP37">
        <f t="shared" ca="1" si="36"/>
        <v>0</v>
      </c>
      <c r="BQ37">
        <f ca="1">IF(AC37=1,1,IF(Z37="",0,IF('ריכוז גיליונות עזר'!W37=1,1,0)))</f>
        <v>0</v>
      </c>
      <c r="BR37">
        <f ca="1">IF(AC37=1,1,IF(AA37="",0,IF('ריכוז גיליונות עזר'!W37=1,1,0)))</f>
        <v>0</v>
      </c>
      <c r="BS37">
        <f t="shared" ca="1" si="37"/>
        <v>0</v>
      </c>
      <c r="BT37">
        <f t="shared" ca="1" si="38"/>
        <v>0</v>
      </c>
      <c r="BU37">
        <f t="shared" si="39"/>
        <v>0</v>
      </c>
      <c r="BW37" t="e">
        <f>IF(R37*#REF!&lt;200,0,1)</f>
        <v>#REF!</v>
      </c>
      <c r="BX37" t="e">
        <f>IF(S37*#REF!&lt;200,0,1)</f>
        <v>#REF!</v>
      </c>
      <c r="BY37" t="e">
        <f>IF(T37*#REF!&lt;200,0,1)</f>
        <v>#REF!</v>
      </c>
      <c r="BZ37" t="e">
        <f>IF(U37*#REF!&lt;200,0,1)</f>
        <v>#REF!</v>
      </c>
      <c r="CA37" t="e">
        <f>IF(V37*#REF!&lt;200,0,1)</f>
        <v>#REF!</v>
      </c>
    </row>
    <row r="38" spans="1:79" x14ac:dyDescent="0.2">
      <c r="A38" s="24">
        <f t="shared" si="22"/>
        <v>28</v>
      </c>
      <c r="B38" s="493" t="str">
        <f ca="1">IF('28'!$F$1="28","",'28'!$F$1)</f>
        <v/>
      </c>
      <c r="C38" s="265"/>
      <c r="D38" s="155" t="str">
        <f t="shared" ca="1" si="0"/>
        <v/>
      </c>
      <c r="E38" s="25"/>
      <c r="F38" s="25"/>
      <c r="G38" s="25"/>
      <c r="H38" s="25"/>
      <c r="I38" s="25"/>
      <c r="J38" s="25"/>
      <c r="K38" s="25"/>
      <c r="L38" s="25"/>
      <c r="M38" s="28" t="str">
        <f t="shared" ca="1" si="1"/>
        <v/>
      </c>
      <c r="N38" s="25"/>
      <c r="O38" s="25"/>
      <c r="P38" s="28" t="str">
        <f t="shared" ca="1" si="2"/>
        <v/>
      </c>
      <c r="Q38" s="25"/>
      <c r="R38" s="405"/>
      <c r="S38" s="405"/>
      <c r="T38" s="405"/>
      <c r="U38" s="405"/>
      <c r="V38" s="405"/>
      <c r="Y38" s="28" t="str">
        <f t="shared" ca="1" si="23"/>
        <v/>
      </c>
      <c r="Z38" s="28" t="str">
        <f ca="1">'ריכוז גיליונות עזר'!S38</f>
        <v/>
      </c>
      <c r="AA38" s="28" t="str">
        <f ca="1">'ריכוז גיליונות עזר'!R38</f>
        <v/>
      </c>
      <c r="AB38" s="28" t="str">
        <f ca="1">'ריכוז גיליונות עזר'!T38</f>
        <v/>
      </c>
      <c r="AC38" s="25"/>
      <c r="AD38" s="28" t="str">
        <f t="shared" ca="1" si="24"/>
        <v/>
      </c>
      <c r="AE38" s="405" t="str" cm="1">
        <f t="array" aca="1" ref="AE38" ca="1">IF($B38="","",IF($F38="","",INDIRECT("'"&amp;SUBSTITUTE($B38,"'","''")&amp;"'"&amp;"!L6")))</f>
        <v/>
      </c>
      <c r="AF38" s="25"/>
      <c r="AG38" s="28" t="str">
        <f t="shared" ca="1" si="49"/>
        <v/>
      </c>
      <c r="AH38" s="410" t="str">
        <f ca="1">'ריכוז גיליונות עזר'!U38</f>
        <v/>
      </c>
      <c r="AI38" s="25"/>
      <c r="AJ38" s="28" t="str">
        <f ca="1">IF(B38="","",IF(AI38=1,1,IF(AH38&gt;=פרמטרים!$B$46,1,0)))</f>
        <v/>
      </c>
      <c r="AK38" s="25"/>
      <c r="AL38" s="28" t="str">
        <f t="shared" ca="1" si="26"/>
        <v/>
      </c>
      <c r="AM38" s="220"/>
      <c r="AN38" s="28"/>
      <c r="AO38" s="26"/>
      <c r="AP38" s="62">
        <f t="shared" ca="1" si="43"/>
        <v>0</v>
      </c>
      <c r="AQ38" s="57">
        <f t="shared" ca="1" si="40"/>
        <v>0</v>
      </c>
      <c r="AR38" s="57">
        <f t="shared" ca="1" si="41"/>
        <v>0</v>
      </c>
      <c r="AS38" s="58">
        <f t="shared" ca="1" si="42"/>
        <v>0</v>
      </c>
      <c r="AT38" s="67">
        <f t="array" aca="1" ref="AT38" ca="1">IF(OR(AP38:AS38=0),0,1)</f>
        <v>0</v>
      </c>
      <c r="AU38" s="65">
        <f t="shared" si="4"/>
        <v>0</v>
      </c>
      <c r="AV38" s="57">
        <f>IF(SUM($AU38:AU38)&lt;$A$1,IF(SUM($U38:V38)&lt;$A$1,U38,$A$1-SUM($AU38:AU38)),0)</f>
        <v>0</v>
      </c>
      <c r="AW38" s="57">
        <f>IF(SUM($AU38:AV38)&lt;$A$1,IF(SUM($T38:V38)&lt;$A$1,T38,$A$1-SUM($AU38:AV38)),0)</f>
        <v>0</v>
      </c>
      <c r="AX38" s="57">
        <f>IF(SUM($AU38:AW38)&lt;$A$1,IF(SUM($S38:V38)&lt;$A$1,S38,$A$1-SUM($AU38:AW38)),0)</f>
        <v>0</v>
      </c>
      <c r="AY38" s="57">
        <f>IF(SUM($AU38:AX38)&lt;$A$1,IF(SUM($R38:V38)&lt;$A$1,R38,$A$1-SUM($AU38:AX38)),0)</f>
        <v>0</v>
      </c>
      <c r="AZ38" s="59">
        <f t="shared" si="44"/>
        <v>0</v>
      </c>
      <c r="BA38" s="57">
        <f t="shared" si="45"/>
        <v>0</v>
      </c>
      <c r="BB38" s="57">
        <f t="shared" si="46"/>
        <v>0</v>
      </c>
      <c r="BC38" s="63">
        <f t="shared" si="47"/>
        <v>0</v>
      </c>
      <c r="BD38" s="63">
        <f t="shared" si="48"/>
        <v>0</v>
      </c>
      <c r="BE38" t="str">
        <f t="shared" ca="1" si="27"/>
        <v/>
      </c>
      <c r="BF38" t="str">
        <f t="shared" ca="1" si="27"/>
        <v/>
      </c>
      <c r="BG38">
        <f t="shared" ca="1" si="28"/>
        <v>0</v>
      </c>
      <c r="BH38">
        <f t="shared" si="29"/>
        <v>0</v>
      </c>
      <c r="BI38">
        <f t="shared" si="30"/>
        <v>0</v>
      </c>
      <c r="BK38">
        <f t="shared" si="31"/>
        <v>0</v>
      </c>
      <c r="BL38">
        <f t="shared" si="32"/>
        <v>0</v>
      </c>
      <c r="BM38">
        <f t="shared" si="33"/>
        <v>0</v>
      </c>
      <c r="BN38">
        <f t="shared" ca="1" si="34"/>
        <v>0</v>
      </c>
      <c r="BO38">
        <f t="shared" ca="1" si="35"/>
        <v>0</v>
      </c>
      <c r="BP38">
        <f t="shared" ca="1" si="36"/>
        <v>0</v>
      </c>
      <c r="BQ38">
        <f ca="1">IF(AC38=1,1,IF(Z38="",0,IF('ריכוז גיליונות עזר'!W38=1,1,0)))</f>
        <v>0</v>
      </c>
      <c r="BR38">
        <f ca="1">IF(AC38=1,1,IF(AA38="",0,IF('ריכוז גיליונות עזר'!W38=1,1,0)))</f>
        <v>0</v>
      </c>
      <c r="BS38">
        <f t="shared" ca="1" si="37"/>
        <v>0</v>
      </c>
      <c r="BT38">
        <f t="shared" ca="1" si="38"/>
        <v>0</v>
      </c>
      <c r="BU38">
        <f t="shared" si="39"/>
        <v>0</v>
      </c>
      <c r="BW38" t="e">
        <f>IF(R38*#REF!&lt;200,0,1)</f>
        <v>#REF!</v>
      </c>
      <c r="BX38" t="e">
        <f>IF(S38*#REF!&lt;200,0,1)</f>
        <v>#REF!</v>
      </c>
      <c r="BY38" t="e">
        <f>IF(T38*#REF!&lt;200,0,1)</f>
        <v>#REF!</v>
      </c>
      <c r="BZ38" t="e">
        <f>IF(U38*#REF!&lt;200,0,1)</f>
        <v>#REF!</v>
      </c>
      <c r="CA38" t="e">
        <f>IF(V38*#REF!&lt;200,0,1)</f>
        <v>#REF!</v>
      </c>
    </row>
    <row r="39" spans="1:79" x14ac:dyDescent="0.2">
      <c r="A39" s="24">
        <f t="shared" si="22"/>
        <v>29</v>
      </c>
      <c r="B39" s="493" t="str">
        <f ca="1">IF('גופא (נתיב האומן )'!$F$1="29","",'גופא (נתיב האומן )'!$F$1)</f>
        <v>גופא (נתיב האומן )</v>
      </c>
      <c r="C39" s="265">
        <v>43101</v>
      </c>
      <c r="D39" s="155">
        <f t="shared" ca="1" si="0"/>
        <v>7.0054794520547947</v>
      </c>
      <c r="E39" s="25">
        <v>1</v>
      </c>
      <c r="F39" s="25">
        <v>1</v>
      </c>
      <c r="G39" s="25"/>
      <c r="H39" s="25">
        <v>1</v>
      </c>
      <c r="I39" s="25">
        <v>1</v>
      </c>
      <c r="J39" s="25">
        <v>1</v>
      </c>
      <c r="K39" s="25">
        <v>0</v>
      </c>
      <c r="L39" s="25"/>
      <c r="M39" s="28">
        <f t="shared" ca="1" si="1"/>
        <v>1</v>
      </c>
      <c r="N39" s="25">
        <v>0</v>
      </c>
      <c r="O39" s="25">
        <v>1</v>
      </c>
      <c r="P39" s="28">
        <f t="shared" ca="1" si="2"/>
        <v>1</v>
      </c>
      <c r="Q39" s="25"/>
      <c r="R39" s="405"/>
      <c r="S39" s="405"/>
      <c r="T39" s="405"/>
      <c r="U39" s="405"/>
      <c r="V39" s="405"/>
      <c r="Y39" s="28">
        <f t="shared" ca="1" si="23"/>
        <v>1</v>
      </c>
      <c r="Z39" s="28">
        <f ca="1">'ריכוז גיליונות עזר'!S39</f>
        <v>2</v>
      </c>
      <c r="AA39" s="28">
        <f ca="1">'ריכוז גיליונות עזר'!R39</f>
        <v>2</v>
      </c>
      <c r="AB39" s="28">
        <f ca="1">'ריכוז גיליונות עזר'!T39</f>
        <v>2</v>
      </c>
      <c r="AC39" s="25"/>
      <c r="AD39" s="28">
        <f t="shared" ca="1" si="24"/>
        <v>2</v>
      </c>
      <c r="AE39" s="405" cm="1">
        <f t="array" aca="1" ref="AE39" ca="1">IF($B39="","",IF($F39="","",INDIRECT("'"&amp;SUBSTITUTE($B39,"'","''")&amp;"'"&amp;"!L6")))</f>
        <v>0</v>
      </c>
      <c r="AF39" s="25"/>
      <c r="AG39" s="28">
        <f t="shared" ca="1" si="49"/>
        <v>1</v>
      </c>
      <c r="AH39" s="410">
        <f ca="1">'ריכוז גיליונות עזר'!U39</f>
        <v>1</v>
      </c>
      <c r="AI39" s="25"/>
      <c r="AJ39" s="28">
        <f ca="1">IF(B39="","",IF(AI39=1,1,IF(AH39&gt;=פרמטרים!$B$46,1,0)))</f>
        <v>1</v>
      </c>
      <c r="AK39" s="25">
        <v>1</v>
      </c>
      <c r="AL39" s="28">
        <f t="shared" ca="1" si="26"/>
        <v>1</v>
      </c>
      <c r="AM39" s="314"/>
      <c r="AN39" s="28"/>
      <c r="AO39" s="26"/>
      <c r="AP39" s="62">
        <f t="shared" ca="1" si="43"/>
        <v>1</v>
      </c>
      <c r="AQ39" s="57">
        <f t="shared" ca="1" si="40"/>
        <v>1</v>
      </c>
      <c r="AR39" s="57">
        <f t="shared" ca="1" si="41"/>
        <v>1</v>
      </c>
      <c r="AS39" s="58">
        <f t="shared" ca="1" si="42"/>
        <v>1</v>
      </c>
      <c r="AT39" s="67">
        <f t="array" aca="1" ref="AT39" ca="1">IF(OR(AP39:AS39=0),0,1)</f>
        <v>1</v>
      </c>
      <c r="AU39" s="65">
        <f t="shared" si="4"/>
        <v>0</v>
      </c>
      <c r="AV39" s="57">
        <f>IF(SUM($AU39:AU39)&lt;$A$1,IF(SUM($U39:V39)&lt;$A$1,U39,$A$1-SUM($AU39:AU39)),0)</f>
        <v>0</v>
      </c>
      <c r="AW39" s="57">
        <f>IF(SUM($AU39:AV39)&lt;$A$1,IF(SUM($T39:V39)&lt;$A$1,T39,$A$1-SUM($AU39:AV39)),0)</f>
        <v>0</v>
      </c>
      <c r="AX39" s="57">
        <f>IF(SUM($AU39:AW39)&lt;$A$1,IF(SUM($S39:V39)&lt;$A$1,S39,$A$1-SUM($AU39:AW39)),0)</f>
        <v>0</v>
      </c>
      <c r="AY39" s="57">
        <f>IF(SUM($AU39:AX39)&lt;$A$1,IF(SUM($R39:V39)&lt;$A$1,R39,$A$1-SUM($AU39:AX39)),0)</f>
        <v>0</v>
      </c>
      <c r="AZ39" s="59">
        <f t="shared" si="44"/>
        <v>0</v>
      </c>
      <c r="BA39" s="57">
        <f t="shared" si="45"/>
        <v>0</v>
      </c>
      <c r="BB39" s="57">
        <f t="shared" si="46"/>
        <v>0</v>
      </c>
      <c r="BC39" s="63">
        <f t="shared" si="47"/>
        <v>0</v>
      </c>
      <c r="BD39" s="63">
        <f t="shared" si="48"/>
        <v>0</v>
      </c>
      <c r="BE39">
        <f t="shared" ca="1" si="27"/>
        <v>0</v>
      </c>
      <c r="BF39">
        <f t="shared" ca="1" si="27"/>
        <v>1</v>
      </c>
      <c r="BG39">
        <f t="shared" ca="1" si="28"/>
        <v>1</v>
      </c>
      <c r="BH39">
        <f t="shared" si="29"/>
        <v>1</v>
      </c>
      <c r="BI39">
        <f t="shared" si="30"/>
        <v>1</v>
      </c>
      <c r="BK39">
        <f t="shared" si="31"/>
        <v>1</v>
      </c>
      <c r="BL39">
        <f t="shared" si="32"/>
        <v>1</v>
      </c>
      <c r="BM39">
        <f t="shared" si="33"/>
        <v>1</v>
      </c>
      <c r="BN39">
        <f t="shared" ca="1" si="34"/>
        <v>1</v>
      </c>
      <c r="BO39">
        <f t="shared" ca="1" si="35"/>
        <v>1</v>
      </c>
      <c r="BP39">
        <f t="shared" ca="1" si="36"/>
        <v>1</v>
      </c>
      <c r="BQ39">
        <f ca="1">IF(AC39=1,1,IF(Z39="",0,IF('ריכוז גיליונות עזר'!W39=1,1,0)))</f>
        <v>1</v>
      </c>
      <c r="BR39">
        <f ca="1">IF(AC39=1,1,IF(AA39="",0,IF('ריכוז גיליונות עזר'!W39=1,1,0)))</f>
        <v>1</v>
      </c>
      <c r="BS39">
        <f t="shared" ca="1" si="37"/>
        <v>1</v>
      </c>
      <c r="BT39">
        <f t="shared" ca="1" si="38"/>
        <v>1</v>
      </c>
      <c r="BU39">
        <f t="shared" si="39"/>
        <v>1</v>
      </c>
      <c r="BW39" t="e">
        <f>IF(R39*#REF!&lt;200,0,1)</f>
        <v>#REF!</v>
      </c>
      <c r="BX39" t="e">
        <f>IF(S39*#REF!&lt;200,0,1)</f>
        <v>#REF!</v>
      </c>
      <c r="BY39" t="e">
        <f>IF(T39*#REF!&lt;200,0,1)</f>
        <v>#REF!</v>
      </c>
      <c r="BZ39" t="e">
        <f>IF(U39*#REF!&lt;200,0,1)</f>
        <v>#REF!</v>
      </c>
      <c r="CA39" t="e">
        <f>IF(V39*#REF!&lt;200,0,1)</f>
        <v>#REF!</v>
      </c>
    </row>
    <row r="40" spans="1:79" x14ac:dyDescent="0.2">
      <c r="A40" s="24">
        <f t="shared" si="22"/>
        <v>30</v>
      </c>
      <c r="B40" s="493" t="str">
        <f ca="1">IF('ערב רב (בר קיימא)'!$F$1="30","",'ערב רב (בר קיימא)'!$F$1)</f>
        <v>ערב רב (בר קיימא)</v>
      </c>
      <c r="C40" s="265">
        <v>44197</v>
      </c>
      <c r="D40" s="155">
        <f t="shared" ca="1" si="0"/>
        <v>4.0027397260273974</v>
      </c>
      <c r="E40" s="25">
        <v>1</v>
      </c>
      <c r="F40" s="25">
        <v>1</v>
      </c>
      <c r="G40" s="25"/>
      <c r="H40" s="25">
        <v>1</v>
      </c>
      <c r="I40" s="25">
        <v>1</v>
      </c>
      <c r="J40" s="25">
        <v>1</v>
      </c>
      <c r="K40" s="25">
        <v>1</v>
      </c>
      <c r="L40" s="25">
        <v>1</v>
      </c>
      <c r="M40" s="28">
        <f t="shared" ca="1" si="1"/>
        <v>1</v>
      </c>
      <c r="N40" s="25">
        <v>0</v>
      </c>
      <c r="O40" s="25">
        <v>1</v>
      </c>
      <c r="P40" s="28">
        <f t="shared" ca="1" si="2"/>
        <v>1</v>
      </c>
      <c r="Q40" s="25"/>
      <c r="R40" s="405"/>
      <c r="S40" s="405"/>
      <c r="T40" s="405"/>
      <c r="U40" s="405"/>
      <c r="V40" s="405"/>
      <c r="Y40" s="28">
        <f t="shared" ca="1" si="23"/>
        <v>1</v>
      </c>
      <c r="Z40" s="28">
        <f ca="1">'ריכוז גיליונות עזר'!S40</f>
        <v>2</v>
      </c>
      <c r="AA40" s="28">
        <f ca="1">'ריכוז גיליונות עזר'!R40</f>
        <v>2</v>
      </c>
      <c r="AB40" s="28">
        <f ca="1">'ריכוז גיליונות עזר'!T40</f>
        <v>2</v>
      </c>
      <c r="AC40" s="25"/>
      <c r="AD40" s="28">
        <f t="shared" ca="1" si="24"/>
        <v>2</v>
      </c>
      <c r="AE40" s="405" cm="1">
        <f t="array" aca="1" ref="AE40" ca="1">IF($B40="","",IF($F40="","",INDIRECT("'"&amp;SUBSTITUTE($B40,"'","''")&amp;"'"&amp;"!L6")))</f>
        <v>0</v>
      </c>
      <c r="AF40" s="25"/>
      <c r="AG40" s="28">
        <f t="shared" ca="1" si="49"/>
        <v>1</v>
      </c>
      <c r="AH40" s="410">
        <f ca="1">'ריכוז גיליונות עזר'!U40</f>
        <v>0.76923076923076927</v>
      </c>
      <c r="AI40" s="25"/>
      <c r="AJ40" s="28">
        <f ca="1">IF(B40="","",IF(AI40=1,1,IF(AH40&gt;=פרמטרים!$B$46,1,0)))</f>
        <v>1</v>
      </c>
      <c r="AK40" s="25">
        <v>1</v>
      </c>
      <c r="AL40" s="28">
        <f t="shared" ca="1" si="26"/>
        <v>1</v>
      </c>
      <c r="AM40" s="220"/>
      <c r="AN40" s="28"/>
      <c r="AO40" s="26"/>
      <c r="AP40" s="62">
        <f t="shared" ca="1" si="43"/>
        <v>1</v>
      </c>
      <c r="AQ40" s="57">
        <f t="shared" ca="1" si="40"/>
        <v>1</v>
      </c>
      <c r="AR40" s="57">
        <f t="shared" ca="1" si="41"/>
        <v>1</v>
      </c>
      <c r="AS40" s="58">
        <f t="shared" ca="1" si="42"/>
        <v>1</v>
      </c>
      <c r="AT40" s="67">
        <f t="array" aca="1" ref="AT40" ca="1">IF(OR(AP40:AS40=0),0,1)</f>
        <v>1</v>
      </c>
      <c r="AU40" s="65">
        <f t="shared" si="4"/>
        <v>0</v>
      </c>
      <c r="AV40" s="57">
        <f>IF(SUM($AU40:AU40)&lt;$A$1,IF(SUM($U40:V40)&lt;$A$1,U40,$A$1-SUM($AU40:AU40)),0)</f>
        <v>0</v>
      </c>
      <c r="AW40" s="57">
        <f>IF(SUM($AU40:AV40)&lt;$A$1,IF(SUM($T40:V40)&lt;$A$1,T40,$A$1-SUM($AU40:AV40)),0)</f>
        <v>0</v>
      </c>
      <c r="AX40" s="57">
        <f>IF(SUM($AU40:AW40)&lt;$A$1,IF(SUM($S40:V40)&lt;$A$1,S40,$A$1-SUM($AU40:AW40)),0)</f>
        <v>0</v>
      </c>
      <c r="AY40" s="57">
        <f>IF(SUM($AU40:AX40)&lt;$A$1,IF(SUM($R40:V40)&lt;$A$1,R40,$A$1-SUM($AU40:AX40)),0)</f>
        <v>0</v>
      </c>
      <c r="AZ40" s="59">
        <f t="shared" si="44"/>
        <v>0</v>
      </c>
      <c r="BA40" s="57">
        <f t="shared" si="45"/>
        <v>0</v>
      </c>
      <c r="BB40" s="57">
        <f t="shared" si="46"/>
        <v>0</v>
      </c>
      <c r="BC40" s="63">
        <f t="shared" si="47"/>
        <v>0</v>
      </c>
      <c r="BD40" s="63">
        <f t="shared" si="48"/>
        <v>0</v>
      </c>
      <c r="BE40">
        <f t="shared" ca="1" si="27"/>
        <v>0</v>
      </c>
      <c r="BF40">
        <f t="shared" ca="1" si="27"/>
        <v>1</v>
      </c>
      <c r="BG40">
        <f t="shared" ca="1" si="28"/>
        <v>1</v>
      </c>
      <c r="BH40">
        <f t="shared" si="29"/>
        <v>1</v>
      </c>
      <c r="BI40">
        <f t="shared" si="30"/>
        <v>1</v>
      </c>
      <c r="BK40">
        <f t="shared" si="31"/>
        <v>1</v>
      </c>
      <c r="BL40">
        <f t="shared" si="32"/>
        <v>1</v>
      </c>
      <c r="BM40">
        <f t="shared" si="33"/>
        <v>1</v>
      </c>
      <c r="BN40">
        <f t="shared" ca="1" si="34"/>
        <v>1</v>
      </c>
      <c r="BO40">
        <f t="shared" ca="1" si="35"/>
        <v>1</v>
      </c>
      <c r="BP40">
        <f t="shared" ca="1" si="36"/>
        <v>1</v>
      </c>
      <c r="BQ40">
        <f ca="1">IF(AC40=1,1,IF(Z40="",0,IF('ריכוז גיליונות עזר'!W40=1,1,0)))</f>
        <v>1</v>
      </c>
      <c r="BR40">
        <f ca="1">IF(AC40=1,1,IF(AA40="",0,IF('ריכוז גיליונות עזר'!W40=1,1,0)))</f>
        <v>1</v>
      </c>
      <c r="BS40">
        <f t="shared" ca="1" si="37"/>
        <v>1</v>
      </c>
      <c r="BT40">
        <f t="shared" ca="1" si="38"/>
        <v>1</v>
      </c>
      <c r="BU40">
        <f t="shared" si="39"/>
        <v>1</v>
      </c>
      <c r="BW40" t="e">
        <f>IF(R40*#REF!&lt;200,0,1)</f>
        <v>#REF!</v>
      </c>
      <c r="BX40" t="e">
        <f>IF(S40*#REF!&lt;200,0,1)</f>
        <v>#REF!</v>
      </c>
      <c r="BY40" t="e">
        <f>IF(T40*#REF!&lt;200,0,1)</f>
        <v>#REF!</v>
      </c>
      <c r="BZ40" t="e">
        <f>IF(U40*#REF!&lt;200,0,1)</f>
        <v>#REF!</v>
      </c>
      <c r="CA40" t="e">
        <f>IF(V40*#REF!&lt;200,0,1)</f>
        <v>#REF!</v>
      </c>
    </row>
    <row r="41" spans="1:79" x14ac:dyDescent="0.2">
      <c r="A41" s="24">
        <f t="shared" si="22"/>
        <v>31</v>
      </c>
      <c r="B41" s="493" t="str">
        <f ca="1">IF('31'!$F$1="31","",'31'!$F$1)</f>
        <v/>
      </c>
      <c r="C41" s="265"/>
      <c r="D41" s="155" t="str">
        <f t="shared" ca="1" si="0"/>
        <v/>
      </c>
      <c r="E41" s="25"/>
      <c r="F41" s="25"/>
      <c r="G41" s="25"/>
      <c r="H41" s="25"/>
      <c r="I41" s="25"/>
      <c r="J41" s="25"/>
      <c r="K41" s="25"/>
      <c r="L41" s="25"/>
      <c r="M41" s="28" t="str">
        <f t="shared" ca="1" si="1"/>
        <v/>
      </c>
      <c r="N41" s="25"/>
      <c r="O41" s="25"/>
      <c r="P41" s="28" t="str">
        <f t="shared" ca="1" si="2"/>
        <v/>
      </c>
      <c r="Q41" s="25"/>
      <c r="R41" s="405"/>
      <c r="S41" s="405"/>
      <c r="T41" s="405"/>
      <c r="U41" s="405"/>
      <c r="V41" s="405"/>
      <c r="Y41" s="28" t="str">
        <f t="shared" ca="1" si="23"/>
        <v/>
      </c>
      <c r="Z41" s="28" t="str">
        <f ca="1">'ריכוז גיליונות עזר'!S41</f>
        <v/>
      </c>
      <c r="AA41" s="28" t="str">
        <f ca="1">'ריכוז גיליונות עזר'!R41</f>
        <v/>
      </c>
      <c r="AB41" s="28" t="str">
        <f ca="1">'ריכוז גיליונות עזר'!T41</f>
        <v/>
      </c>
      <c r="AC41" s="25"/>
      <c r="AD41" s="28" t="str">
        <f t="shared" ca="1" si="24"/>
        <v/>
      </c>
      <c r="AE41" s="405" t="str" cm="1">
        <f t="array" aca="1" ref="AE41" ca="1">IF($B41="","",IF($F41="","",INDIRECT("'"&amp;SUBSTITUTE($B41,"'","''")&amp;"'"&amp;"!L6")))</f>
        <v/>
      </c>
      <c r="AF41" s="25"/>
      <c r="AG41" s="28" t="str">
        <f t="shared" ca="1" si="49"/>
        <v/>
      </c>
      <c r="AH41" s="410" t="str">
        <f ca="1">'ריכוז גיליונות עזר'!U41</f>
        <v/>
      </c>
      <c r="AI41" s="25"/>
      <c r="AJ41" s="28" t="str">
        <f ca="1">IF(B41="","",IF(AI41=1,1,IF(AH41&gt;=פרמטרים!$B$46,1,0)))</f>
        <v/>
      </c>
      <c r="AK41" s="25"/>
      <c r="AL41" s="28" t="str">
        <f t="shared" ca="1" si="26"/>
        <v/>
      </c>
      <c r="AM41" s="220"/>
      <c r="AN41" s="28"/>
      <c r="AO41" s="26"/>
      <c r="AP41" s="62">
        <f t="shared" ca="1" si="43"/>
        <v>0</v>
      </c>
      <c r="AQ41" s="57">
        <f t="shared" ca="1" si="40"/>
        <v>0</v>
      </c>
      <c r="AR41" s="57">
        <f t="shared" ca="1" si="41"/>
        <v>0</v>
      </c>
      <c r="AS41" s="58">
        <f t="shared" ca="1" si="42"/>
        <v>0</v>
      </c>
      <c r="AT41" s="67">
        <f t="array" aca="1" ref="AT41" ca="1">IF(OR(AP41:AS41=0),0,1)</f>
        <v>0</v>
      </c>
      <c r="AU41" s="65">
        <f t="shared" si="4"/>
        <v>0</v>
      </c>
      <c r="AV41" s="57">
        <f>IF(SUM($AU41:AU41)&lt;$A$1,IF(SUM($U41:V41)&lt;$A$1,U41,$A$1-SUM($AU41:AU41)),0)</f>
        <v>0</v>
      </c>
      <c r="AW41" s="57">
        <f>IF(SUM($AU41:AV41)&lt;$A$1,IF(SUM($T41:V41)&lt;$A$1,T41,$A$1-SUM($AU41:AV41)),0)</f>
        <v>0</v>
      </c>
      <c r="AX41" s="57">
        <f>IF(SUM($AU41:AW41)&lt;$A$1,IF(SUM($S41:V41)&lt;$A$1,S41,$A$1-SUM($AU41:AW41)),0)</f>
        <v>0</v>
      </c>
      <c r="AY41" s="57">
        <f>IF(SUM($AU41:AX41)&lt;$A$1,IF(SUM($R41:V41)&lt;$A$1,R41,$A$1-SUM($AU41:AX41)),0)</f>
        <v>0</v>
      </c>
      <c r="AZ41" s="59">
        <f t="shared" si="44"/>
        <v>0</v>
      </c>
      <c r="BA41" s="57">
        <f t="shared" si="45"/>
        <v>0</v>
      </c>
      <c r="BB41" s="57">
        <f t="shared" si="46"/>
        <v>0</v>
      </c>
      <c r="BC41" s="63">
        <f t="shared" si="47"/>
        <v>0</v>
      </c>
      <c r="BD41" s="63">
        <f t="shared" si="48"/>
        <v>0</v>
      </c>
      <c r="BE41" t="str">
        <f t="shared" ca="1" si="27"/>
        <v/>
      </c>
      <c r="BF41" t="str">
        <f t="shared" ca="1" si="27"/>
        <v/>
      </c>
      <c r="BG41">
        <f t="shared" ca="1" si="28"/>
        <v>0</v>
      </c>
      <c r="BH41">
        <f t="shared" si="29"/>
        <v>0</v>
      </c>
      <c r="BI41">
        <f t="shared" si="30"/>
        <v>0</v>
      </c>
      <c r="BK41">
        <f t="shared" si="31"/>
        <v>0</v>
      </c>
      <c r="BL41">
        <f t="shared" si="32"/>
        <v>0</v>
      </c>
      <c r="BM41">
        <f t="shared" si="33"/>
        <v>0</v>
      </c>
      <c r="BN41">
        <f t="shared" ca="1" si="34"/>
        <v>0</v>
      </c>
      <c r="BO41">
        <f t="shared" ca="1" si="35"/>
        <v>0</v>
      </c>
      <c r="BP41">
        <f t="shared" ca="1" si="36"/>
        <v>0</v>
      </c>
      <c r="BQ41">
        <f ca="1">IF(AC41=1,1,IF(Z41="",0,IF('ריכוז גיליונות עזר'!W41=1,1,0)))</f>
        <v>0</v>
      </c>
      <c r="BR41">
        <f ca="1">IF(AC41=1,1,IF(AA41="",0,IF('ריכוז גיליונות עזר'!W41=1,1,0)))</f>
        <v>0</v>
      </c>
      <c r="BS41">
        <f t="shared" ca="1" si="37"/>
        <v>0</v>
      </c>
      <c r="BT41">
        <f t="shared" ca="1" si="38"/>
        <v>0</v>
      </c>
      <c r="BU41">
        <f t="shared" si="39"/>
        <v>0</v>
      </c>
      <c r="BW41" t="e">
        <f>IF(R41*#REF!&lt;200,0,1)</f>
        <v>#REF!</v>
      </c>
      <c r="BX41" t="e">
        <f>IF(S41*#REF!&lt;200,0,1)</f>
        <v>#REF!</v>
      </c>
      <c r="BY41" t="e">
        <f>IF(T41*#REF!&lt;200,0,1)</f>
        <v>#REF!</v>
      </c>
      <c r="BZ41" t="e">
        <f>IF(U41*#REF!&lt;200,0,1)</f>
        <v>#REF!</v>
      </c>
      <c r="CA41" t="e">
        <f>IF(V41*#REF!&lt;200,0,1)</f>
        <v>#REF!</v>
      </c>
    </row>
    <row r="42" spans="1:79" x14ac:dyDescent="0.2">
      <c r="A42" s="24">
        <f t="shared" si="22"/>
        <v>32</v>
      </c>
      <c r="B42" s="493" t="str">
        <f ca="1">IF(מעלה!$F$1="32","",מעלה!$F$1)</f>
        <v>מעלה</v>
      </c>
      <c r="C42" s="265">
        <v>44197</v>
      </c>
      <c r="D42" s="155">
        <f t="shared" ca="1" si="0"/>
        <v>4.0027397260273974</v>
      </c>
      <c r="E42" s="25">
        <v>1</v>
      </c>
      <c r="F42" s="25">
        <v>1</v>
      </c>
      <c r="G42" s="25"/>
      <c r="H42" s="25">
        <v>1</v>
      </c>
      <c r="I42" s="25">
        <v>1</v>
      </c>
      <c r="J42" s="25">
        <v>1</v>
      </c>
      <c r="K42" s="25">
        <v>1</v>
      </c>
      <c r="L42" s="25">
        <v>1</v>
      </c>
      <c r="M42" s="28">
        <f t="shared" ca="1" si="1"/>
        <v>1</v>
      </c>
      <c r="N42" s="25">
        <v>0</v>
      </c>
      <c r="O42" s="25">
        <v>1</v>
      </c>
      <c r="P42" s="28">
        <f t="shared" ca="1" si="2"/>
        <v>1</v>
      </c>
      <c r="Q42" s="25"/>
      <c r="R42" s="405"/>
      <c r="S42" s="405"/>
      <c r="T42" s="405"/>
      <c r="U42" s="405"/>
      <c r="V42" s="405"/>
      <c r="Y42" s="28">
        <f t="shared" ca="1" si="23"/>
        <v>1</v>
      </c>
      <c r="Z42" s="28">
        <f ca="1">'ריכוז גיליונות עזר'!S42</f>
        <v>4</v>
      </c>
      <c r="AA42" s="28">
        <f ca="1">'ריכוז גיליונות עזר'!R42</f>
        <v>4</v>
      </c>
      <c r="AB42" s="28">
        <f ca="1">'ריכוז גיליונות עזר'!T42</f>
        <v>4</v>
      </c>
      <c r="AC42" s="25"/>
      <c r="AD42" s="28">
        <f t="shared" ca="1" si="24"/>
        <v>4</v>
      </c>
      <c r="AE42" s="405" cm="1">
        <f t="array" aca="1" ref="AE42" ca="1">IF($B42="","",IF($F42="","",INDIRECT("'"&amp;SUBSTITUTE($B42,"'","''")&amp;"'"&amp;"!L6")))</f>
        <v>0</v>
      </c>
      <c r="AF42" s="25"/>
      <c r="AG42" s="28">
        <f t="shared" ca="1" si="49"/>
        <v>1</v>
      </c>
      <c r="AH42" s="410">
        <f ca="1">'ריכוז גיליונות עזר'!U42</f>
        <v>1</v>
      </c>
      <c r="AI42" s="25"/>
      <c r="AJ42" s="28">
        <f ca="1">IF(B42="","",IF(AI42=1,1,IF(AH42&gt;=פרמטרים!$B$46,1,0)))</f>
        <v>1</v>
      </c>
      <c r="AK42" s="25">
        <v>1</v>
      </c>
      <c r="AL42" s="28">
        <f t="shared" ca="1" si="26"/>
        <v>1</v>
      </c>
      <c r="AM42" s="220"/>
      <c r="AN42" s="28"/>
      <c r="AO42" s="26"/>
      <c r="AP42" s="62">
        <f t="shared" ca="1" si="43"/>
        <v>1</v>
      </c>
      <c r="AQ42" s="57">
        <f t="shared" ca="1" si="40"/>
        <v>1</v>
      </c>
      <c r="AR42" s="57">
        <f t="shared" ca="1" si="41"/>
        <v>1</v>
      </c>
      <c r="AS42" s="58">
        <f t="shared" ca="1" si="42"/>
        <v>1</v>
      </c>
      <c r="AT42" s="67">
        <f t="array" aca="1" ref="AT42" ca="1">IF(OR(AP42:AS42=0),0,1)</f>
        <v>1</v>
      </c>
      <c r="AU42" s="65">
        <f t="shared" si="4"/>
        <v>0</v>
      </c>
      <c r="AV42" s="57">
        <f>IF(SUM($AU42:AU42)&lt;$A$1,IF(SUM($U42:V42)&lt;$A$1,U42,$A$1-SUM($AU42:AU42)),0)</f>
        <v>0</v>
      </c>
      <c r="AW42" s="57">
        <f>IF(SUM($AU42:AV42)&lt;$A$1,IF(SUM($T42:V42)&lt;$A$1,T42,$A$1-SUM($AU42:AV42)),0)</f>
        <v>0</v>
      </c>
      <c r="AX42" s="57">
        <f>IF(SUM($AU42:AW42)&lt;$A$1,IF(SUM($S42:V42)&lt;$A$1,S42,$A$1-SUM($AU42:AW42)),0)</f>
        <v>0</v>
      </c>
      <c r="AY42" s="57">
        <f>IF(SUM($AU42:AX42)&lt;$A$1,IF(SUM($R42:V42)&lt;$A$1,R42,$A$1-SUM($AU42:AX42)),0)</f>
        <v>0</v>
      </c>
      <c r="AZ42" s="59">
        <f t="shared" si="44"/>
        <v>0</v>
      </c>
      <c r="BA42" s="57">
        <f t="shared" si="45"/>
        <v>0</v>
      </c>
      <c r="BB42" s="57">
        <f t="shared" si="46"/>
        <v>0</v>
      </c>
      <c r="BC42" s="63">
        <f t="shared" si="47"/>
        <v>0</v>
      </c>
      <c r="BD42" s="63">
        <f t="shared" si="48"/>
        <v>0</v>
      </c>
      <c r="BE42">
        <f t="shared" ca="1" si="27"/>
        <v>0</v>
      </c>
      <c r="BF42">
        <f t="shared" ca="1" si="27"/>
        <v>1</v>
      </c>
      <c r="BG42">
        <f t="shared" ca="1" si="28"/>
        <v>1</v>
      </c>
      <c r="BH42">
        <f t="shared" si="29"/>
        <v>1</v>
      </c>
      <c r="BI42">
        <f t="shared" si="30"/>
        <v>1</v>
      </c>
      <c r="BK42">
        <f t="shared" si="31"/>
        <v>1</v>
      </c>
      <c r="BL42">
        <f t="shared" si="32"/>
        <v>1</v>
      </c>
      <c r="BM42">
        <f t="shared" si="33"/>
        <v>1</v>
      </c>
      <c r="BN42">
        <f t="shared" ca="1" si="34"/>
        <v>1</v>
      </c>
      <c r="BO42">
        <f t="shared" ca="1" si="35"/>
        <v>1</v>
      </c>
      <c r="BP42">
        <f t="shared" ca="1" si="36"/>
        <v>1</v>
      </c>
      <c r="BQ42">
        <f ca="1">IF(AC42=1,1,IF(Z42="",0,IF('ריכוז גיליונות עזר'!W42=1,1,0)))</f>
        <v>1</v>
      </c>
      <c r="BR42">
        <f ca="1">IF(AC42=1,1,IF(AA42="",0,IF('ריכוז גיליונות עזר'!W42=1,1,0)))</f>
        <v>1</v>
      </c>
      <c r="BS42">
        <f t="shared" ca="1" si="37"/>
        <v>1</v>
      </c>
      <c r="BT42">
        <f t="shared" ca="1" si="38"/>
        <v>1</v>
      </c>
      <c r="BU42">
        <f t="shared" si="39"/>
        <v>1</v>
      </c>
      <c r="BW42" t="e">
        <f>IF(R42*#REF!&lt;200,0,1)</f>
        <v>#REF!</v>
      </c>
      <c r="BX42" t="e">
        <f>IF(S42*#REF!&lt;200,0,1)</f>
        <v>#REF!</v>
      </c>
      <c r="BY42" t="e">
        <f>IF(T42*#REF!&lt;200,0,1)</f>
        <v>#REF!</v>
      </c>
      <c r="BZ42" t="e">
        <f>IF(U42*#REF!&lt;200,0,1)</f>
        <v>#REF!</v>
      </c>
      <c r="CA42" t="e">
        <f>IF(V42*#REF!&lt;200,0,1)</f>
        <v>#REF!</v>
      </c>
    </row>
    <row r="43" spans="1:79" x14ac:dyDescent="0.2">
      <c r="A43" s="24">
        <f t="shared" si="22"/>
        <v>33</v>
      </c>
      <c r="B43" s="493" t="str">
        <f ca="1">IF('33'!$F$1="33","",'33'!$F$1)</f>
        <v/>
      </c>
      <c r="C43" s="265"/>
      <c r="D43" s="155" t="str">
        <f t="shared" ca="1" si="0"/>
        <v/>
      </c>
      <c r="E43" s="25"/>
      <c r="F43" s="25"/>
      <c r="G43" s="25"/>
      <c r="H43" s="25"/>
      <c r="I43" s="25"/>
      <c r="J43" s="25"/>
      <c r="K43" s="25"/>
      <c r="L43" s="25"/>
      <c r="M43" s="28" t="str">
        <f t="shared" ca="1" si="1"/>
        <v/>
      </c>
      <c r="N43" s="25"/>
      <c r="O43" s="25"/>
      <c r="P43" s="28" t="str">
        <f t="shared" ca="1" si="2"/>
        <v/>
      </c>
      <c r="Q43" s="25"/>
      <c r="R43" s="405"/>
      <c r="S43" s="405"/>
      <c r="T43" s="405"/>
      <c r="U43" s="405"/>
      <c r="V43" s="405"/>
      <c r="Y43" s="28" t="str">
        <f t="shared" ca="1" si="23"/>
        <v/>
      </c>
      <c r="Z43" s="28" t="str">
        <f ca="1">'ריכוז גיליונות עזר'!S43</f>
        <v/>
      </c>
      <c r="AA43" s="28" t="str">
        <f ca="1">'ריכוז גיליונות עזר'!R43</f>
        <v/>
      </c>
      <c r="AB43" s="28" t="str">
        <f ca="1">'ריכוז גיליונות עזר'!T43</f>
        <v/>
      </c>
      <c r="AC43" s="25"/>
      <c r="AD43" s="28" t="str">
        <f t="shared" ca="1" si="24"/>
        <v/>
      </c>
      <c r="AE43" s="405" t="str" cm="1">
        <f t="array" aca="1" ref="AE43" ca="1">IF($B43="","",IF($F43="","",INDIRECT("'"&amp;SUBSTITUTE($B43,"'","''")&amp;"'"&amp;"!L6")))</f>
        <v/>
      </c>
      <c r="AF43" s="25"/>
      <c r="AG43" s="28" t="str">
        <f t="shared" ca="1" si="49"/>
        <v/>
      </c>
      <c r="AH43" s="410" t="str">
        <f ca="1">'ריכוז גיליונות עזר'!U43</f>
        <v/>
      </c>
      <c r="AI43" s="25"/>
      <c r="AJ43" s="28" t="str">
        <f ca="1">IF(B43="","",IF(AI43=1,1,IF(AH43&gt;=פרמטרים!$B$46,1,0)))</f>
        <v/>
      </c>
      <c r="AK43" s="25"/>
      <c r="AL43" s="28" t="str">
        <f t="shared" ca="1" si="26"/>
        <v/>
      </c>
      <c r="AM43" s="220"/>
      <c r="AN43" s="28"/>
      <c r="AO43" s="26"/>
      <c r="AP43" s="62">
        <f t="shared" ca="1" si="43"/>
        <v>0</v>
      </c>
      <c r="AQ43" s="57">
        <f t="shared" ca="1" si="40"/>
        <v>0</v>
      </c>
      <c r="AR43" s="57">
        <f t="shared" ca="1" si="41"/>
        <v>0</v>
      </c>
      <c r="AS43" s="58">
        <f t="shared" ca="1" si="42"/>
        <v>0</v>
      </c>
      <c r="AT43" s="67">
        <f t="array" aca="1" ref="AT43" ca="1">IF(OR(AP43:AS43=0),0,1)</f>
        <v>0</v>
      </c>
      <c r="AU43" s="65">
        <f t="shared" si="4"/>
        <v>0</v>
      </c>
      <c r="AV43" s="57">
        <f>IF(SUM($AU43:AU43)&lt;$A$1,IF(SUM($U43:V43)&lt;$A$1,U43,$A$1-SUM($AU43:AU43)),0)</f>
        <v>0</v>
      </c>
      <c r="AW43" s="57">
        <f>IF(SUM($AU43:AV43)&lt;$A$1,IF(SUM($T43:V43)&lt;$A$1,T43,$A$1-SUM($AU43:AV43)),0)</f>
        <v>0</v>
      </c>
      <c r="AX43" s="57">
        <f>IF(SUM($AU43:AW43)&lt;$A$1,IF(SUM($S43:V43)&lt;$A$1,S43,$A$1-SUM($AU43:AW43)),0)</f>
        <v>0</v>
      </c>
      <c r="AY43" s="57">
        <f>IF(SUM($AU43:AX43)&lt;$A$1,IF(SUM($R43:V43)&lt;$A$1,R43,$A$1-SUM($AU43:AX43)),0)</f>
        <v>0</v>
      </c>
      <c r="AZ43" s="59">
        <f t="shared" si="44"/>
        <v>0</v>
      </c>
      <c r="BA43" s="57">
        <f t="shared" si="45"/>
        <v>0</v>
      </c>
      <c r="BB43" s="57">
        <f t="shared" si="46"/>
        <v>0</v>
      </c>
      <c r="BC43" s="63">
        <f t="shared" si="47"/>
        <v>0</v>
      </c>
      <c r="BD43" s="63">
        <f t="shared" si="48"/>
        <v>0</v>
      </c>
      <c r="BE43" t="str">
        <f t="shared" ca="1" si="27"/>
        <v/>
      </c>
      <c r="BF43" t="str">
        <f t="shared" ca="1" si="27"/>
        <v/>
      </c>
      <c r="BG43">
        <f t="shared" ca="1" si="28"/>
        <v>0</v>
      </c>
      <c r="BH43">
        <f t="shared" si="29"/>
        <v>0</v>
      </c>
      <c r="BI43">
        <f t="shared" si="30"/>
        <v>0</v>
      </c>
      <c r="BK43">
        <f t="shared" si="31"/>
        <v>0</v>
      </c>
      <c r="BL43">
        <f t="shared" si="32"/>
        <v>0</v>
      </c>
      <c r="BM43">
        <f t="shared" si="33"/>
        <v>0</v>
      </c>
      <c r="BN43">
        <f t="shared" ca="1" si="34"/>
        <v>0</v>
      </c>
      <c r="BO43">
        <f t="shared" ca="1" si="35"/>
        <v>0</v>
      </c>
      <c r="BP43">
        <f t="shared" ca="1" si="36"/>
        <v>0</v>
      </c>
      <c r="BQ43">
        <f ca="1">IF(AC43=1,1,IF(Z43="",0,IF('ריכוז גיליונות עזר'!W43=1,1,0)))</f>
        <v>0</v>
      </c>
      <c r="BR43">
        <f ca="1">IF(AC43=1,1,IF(AA43="",0,IF('ריכוז גיליונות עזר'!W43=1,1,0)))</f>
        <v>0</v>
      </c>
      <c r="BS43">
        <f t="shared" ca="1" si="37"/>
        <v>0</v>
      </c>
      <c r="BT43">
        <f t="shared" ca="1" si="38"/>
        <v>0</v>
      </c>
      <c r="BU43">
        <f t="shared" si="39"/>
        <v>0</v>
      </c>
      <c r="BW43" t="e">
        <f>IF(R43*#REF!&lt;200,0,1)</f>
        <v>#REF!</v>
      </c>
      <c r="BX43" t="e">
        <f>IF(S43*#REF!&lt;200,0,1)</f>
        <v>#REF!</v>
      </c>
      <c r="BY43" t="e">
        <f>IF(T43*#REF!&lt;200,0,1)</f>
        <v>#REF!</v>
      </c>
      <c r="BZ43" t="e">
        <f>IF(U43*#REF!&lt;200,0,1)</f>
        <v>#REF!</v>
      </c>
      <c r="CA43" t="e">
        <f>IF(V43*#REF!&lt;200,0,1)</f>
        <v>#REF!</v>
      </c>
    </row>
    <row r="44" spans="1:79" x14ac:dyDescent="0.2">
      <c r="A44" s="24">
        <f>A43+1</f>
        <v>34</v>
      </c>
      <c r="B44" s="493" t="str">
        <f ca="1">IF('כתב עת ירושלמי'!$F$1="34","",'כתב עת ירושלמי'!$F$1)</f>
        <v>כתב עת ירושלמי</v>
      </c>
      <c r="C44" s="265">
        <v>32874</v>
      </c>
      <c r="D44" s="155">
        <f t="shared" ca="1" si="0"/>
        <v>35.024657534246572</v>
      </c>
      <c r="E44" s="25">
        <v>1</v>
      </c>
      <c r="F44" s="138">
        <v>1</v>
      </c>
      <c r="G44" s="138"/>
      <c r="H44" s="138">
        <v>1</v>
      </c>
      <c r="I44" s="138">
        <v>1</v>
      </c>
      <c r="J44" s="138">
        <v>1</v>
      </c>
      <c r="K44" s="138">
        <v>1</v>
      </c>
      <c r="L44" s="25">
        <v>1</v>
      </c>
      <c r="M44" s="28">
        <f t="shared" ca="1" si="1"/>
        <v>1</v>
      </c>
      <c r="N44" s="25">
        <v>0</v>
      </c>
      <c r="O44" s="25">
        <v>1</v>
      </c>
      <c r="P44" s="28">
        <f t="shared" ca="1" si="2"/>
        <v>1</v>
      </c>
      <c r="Q44" s="25"/>
      <c r="R44" s="405"/>
      <c r="S44" s="405"/>
      <c r="T44" s="405"/>
      <c r="U44" s="405"/>
      <c r="V44" s="405"/>
      <c r="Y44" s="28">
        <f t="shared" ca="1" si="23"/>
        <v>1</v>
      </c>
      <c r="Z44" s="28">
        <f ca="1">'ריכוז גיליונות עזר'!S44</f>
        <v>2</v>
      </c>
      <c r="AA44" s="28">
        <f ca="1">'ריכוז גיליונות עזר'!R44</f>
        <v>2</v>
      </c>
      <c r="AB44" s="28">
        <f ca="1">'ריכוז גיליונות עזר'!T44</f>
        <v>2</v>
      </c>
      <c r="AC44" s="138"/>
      <c r="AD44" s="28">
        <f t="shared" ca="1" si="24"/>
        <v>2</v>
      </c>
      <c r="AE44" s="405" cm="1">
        <f t="array" aca="1" ref="AE44" ca="1">IF($B44="","",IF($F44="","",INDIRECT("'"&amp;SUBSTITUTE($B44,"'","''")&amp;"'"&amp;"!L6")))</f>
        <v>0</v>
      </c>
      <c r="AF44" s="138"/>
      <c r="AG44" s="28">
        <f t="shared" ca="1" si="49"/>
        <v>1</v>
      </c>
      <c r="AH44" s="410">
        <f ca="1">'ריכוז גיליונות עזר'!U44</f>
        <v>1</v>
      </c>
      <c r="AI44" s="138"/>
      <c r="AJ44" s="28">
        <f ca="1">IF(B44="","",IF(AI44=1,1,IF(AH44&gt;=פרמטרים!$B$46,1,0)))</f>
        <v>1</v>
      </c>
      <c r="AK44" s="25">
        <v>1</v>
      </c>
      <c r="AL44" s="28">
        <f t="shared" ca="1" si="26"/>
        <v>1</v>
      </c>
      <c r="AM44" s="269"/>
      <c r="AN44" s="28"/>
      <c r="AO44" s="26"/>
      <c r="AP44" s="62">
        <f t="shared" ca="1" si="43"/>
        <v>1</v>
      </c>
      <c r="AQ44" s="57">
        <f t="shared" ca="1" si="40"/>
        <v>1</v>
      </c>
      <c r="AR44" s="57">
        <f t="shared" ca="1" si="41"/>
        <v>1</v>
      </c>
      <c r="AS44" s="58">
        <f t="shared" ca="1" si="42"/>
        <v>1</v>
      </c>
      <c r="AT44" s="67">
        <f t="array" aca="1" ref="AT44" ca="1">IF(OR(AP44:AS44=0),0,1)</f>
        <v>1</v>
      </c>
      <c r="AU44" s="65">
        <f t="shared" si="4"/>
        <v>0</v>
      </c>
      <c r="AV44" s="57">
        <f>IF(SUM($AU44:AU44)&lt;$A$1,IF(SUM($U44:V44)&lt;$A$1,U44,$A$1-SUM($AU44:AU44)),0)</f>
        <v>0</v>
      </c>
      <c r="AW44" s="57">
        <f>IF(SUM($AU44:AV44)&lt;$A$1,IF(SUM($T44:V44)&lt;$A$1,T44,$A$1-SUM($AU44:AV44)),0)</f>
        <v>0</v>
      </c>
      <c r="AX44" s="57">
        <f>IF(SUM($AU44:AW44)&lt;$A$1,IF(SUM($S44:V44)&lt;$A$1,S44,$A$1-SUM($AU44:AW44)),0)</f>
        <v>0</v>
      </c>
      <c r="AY44" s="57">
        <f>IF(SUM($AU44:AX44)&lt;$A$1,IF(SUM($R44:V44)&lt;$A$1,R44,$A$1-SUM($AU44:AX44)),0)</f>
        <v>0</v>
      </c>
      <c r="AZ44" s="59">
        <f t="shared" si="44"/>
        <v>0</v>
      </c>
      <c r="BA44" s="57">
        <f t="shared" si="45"/>
        <v>0</v>
      </c>
      <c r="BB44" s="57">
        <f t="shared" si="46"/>
        <v>0</v>
      </c>
      <c r="BC44" s="63">
        <f t="shared" si="47"/>
        <v>0</v>
      </c>
      <c r="BD44" s="63">
        <f t="shared" si="48"/>
        <v>0</v>
      </c>
      <c r="BE44">
        <f t="shared" ca="1" si="27"/>
        <v>0</v>
      </c>
      <c r="BF44">
        <f t="shared" ca="1" si="27"/>
        <v>1</v>
      </c>
      <c r="BG44">
        <f t="shared" ca="1" si="28"/>
        <v>1</v>
      </c>
      <c r="BH44">
        <f t="shared" si="29"/>
        <v>1</v>
      </c>
      <c r="BI44">
        <f t="shared" si="30"/>
        <v>1</v>
      </c>
      <c r="BK44">
        <f t="shared" si="31"/>
        <v>1</v>
      </c>
      <c r="BL44">
        <f t="shared" si="32"/>
        <v>1</v>
      </c>
      <c r="BM44">
        <f t="shared" si="33"/>
        <v>1</v>
      </c>
      <c r="BN44">
        <f t="shared" ca="1" si="34"/>
        <v>1</v>
      </c>
      <c r="BO44">
        <f t="shared" ca="1" si="35"/>
        <v>1</v>
      </c>
      <c r="BP44">
        <f t="shared" ca="1" si="36"/>
        <v>1</v>
      </c>
      <c r="BQ44">
        <f ca="1">IF(AC44=1,1,IF(Z44="",0,IF('ריכוז גיליונות עזר'!W44=1,1,0)))</f>
        <v>1</v>
      </c>
      <c r="BR44">
        <f ca="1">IF(AC44=1,1,IF(AA44="",0,IF('ריכוז גיליונות עזר'!W44=1,1,0)))</f>
        <v>1</v>
      </c>
      <c r="BS44">
        <f t="shared" ca="1" si="37"/>
        <v>1</v>
      </c>
      <c r="BT44">
        <f t="shared" ca="1" si="38"/>
        <v>1</v>
      </c>
      <c r="BU44">
        <f t="shared" si="39"/>
        <v>1</v>
      </c>
      <c r="BW44" t="e">
        <f>IF(R44*#REF!&lt;200,0,1)</f>
        <v>#REF!</v>
      </c>
      <c r="BX44" t="e">
        <f>IF(S44*#REF!&lt;200,0,1)</f>
        <v>#REF!</v>
      </c>
      <c r="BY44" t="e">
        <f>IF(T44*#REF!&lt;200,0,1)</f>
        <v>#REF!</v>
      </c>
      <c r="BZ44" t="e">
        <f>IF(U44*#REF!&lt;200,0,1)</f>
        <v>#REF!</v>
      </c>
      <c r="CA44" t="e">
        <f>IF(V44*#REF!&lt;200,0,1)</f>
        <v>#REF!</v>
      </c>
    </row>
    <row r="45" spans="1:79" x14ac:dyDescent="0.2">
      <c r="A45" s="24">
        <f t="shared" si="22"/>
        <v>35</v>
      </c>
      <c r="B45" s="493" t="str">
        <f ca="1">IF('35'!$F$1="35","",'35'!$F$1)</f>
        <v/>
      </c>
      <c r="C45" s="265"/>
      <c r="D45" s="155" t="str">
        <f t="shared" ca="1" si="0"/>
        <v/>
      </c>
      <c r="E45" s="25"/>
      <c r="F45" s="138"/>
      <c r="G45" s="138"/>
      <c r="H45" s="138"/>
      <c r="I45" s="138"/>
      <c r="J45" s="138"/>
      <c r="K45" s="138"/>
      <c r="L45" s="25"/>
      <c r="M45" s="28" t="str">
        <f t="shared" ca="1" si="1"/>
        <v/>
      </c>
      <c r="N45" s="25"/>
      <c r="O45" s="25"/>
      <c r="P45" s="28" t="str">
        <f t="shared" ca="1" si="2"/>
        <v/>
      </c>
      <c r="Q45" s="25"/>
      <c r="R45" s="405"/>
      <c r="S45" s="405"/>
      <c r="T45" s="405"/>
      <c r="U45" s="405"/>
      <c r="V45" s="405"/>
      <c r="Y45" s="28" t="str">
        <f t="shared" ca="1" si="23"/>
        <v/>
      </c>
      <c r="Z45" s="28" t="str">
        <f ca="1">'ריכוז גיליונות עזר'!S45</f>
        <v/>
      </c>
      <c r="AA45" s="28" t="str">
        <f ca="1">'ריכוז גיליונות עזר'!R45</f>
        <v/>
      </c>
      <c r="AB45" s="28" t="str">
        <f ca="1">'ריכוז גיליונות עזר'!T45</f>
        <v/>
      </c>
      <c r="AC45" s="138"/>
      <c r="AD45" s="28" t="str">
        <f t="shared" ca="1" si="24"/>
        <v/>
      </c>
      <c r="AE45" s="405" t="str" cm="1">
        <f t="array" aca="1" ref="AE45" ca="1">IF($B45="","",IF($F45="","",INDIRECT("'"&amp;SUBSTITUTE($B45,"'","''")&amp;"'"&amp;"!L6")))</f>
        <v/>
      </c>
      <c r="AF45" s="138"/>
      <c r="AG45" s="28" t="str">
        <f t="shared" ca="1" si="49"/>
        <v/>
      </c>
      <c r="AH45" s="410" t="str">
        <f ca="1">'ריכוז גיליונות עזר'!U45</f>
        <v/>
      </c>
      <c r="AI45" s="138"/>
      <c r="AJ45" s="28" t="str">
        <f ca="1">IF(B45="","",IF(AI45=1,1,IF(AH45&gt;=פרמטרים!$B$46,1,0)))</f>
        <v/>
      </c>
      <c r="AK45" s="25"/>
      <c r="AL45" s="28" t="str">
        <f t="shared" ca="1" si="26"/>
        <v/>
      </c>
      <c r="AM45" s="220"/>
      <c r="AN45" s="28"/>
      <c r="AO45" s="26"/>
      <c r="AP45" s="62">
        <f t="shared" ca="1" si="43"/>
        <v>0</v>
      </c>
      <c r="AQ45" s="57">
        <f t="shared" ca="1" si="40"/>
        <v>0</v>
      </c>
      <c r="AR45" s="57">
        <f t="shared" ca="1" si="41"/>
        <v>0</v>
      </c>
      <c r="AS45" s="58">
        <f t="shared" ca="1" si="42"/>
        <v>0</v>
      </c>
      <c r="AT45" s="67">
        <f t="array" aca="1" ref="AT45" ca="1">IF(OR(AP45:AS45=0),0,1)</f>
        <v>0</v>
      </c>
      <c r="AU45" s="65">
        <f t="shared" si="4"/>
        <v>0</v>
      </c>
      <c r="AV45" s="57">
        <f>IF(SUM($AU45:AU45)&lt;$A$1,IF(SUM($U45:V45)&lt;$A$1,U45,$A$1-SUM($AU45:AU45)),0)</f>
        <v>0</v>
      </c>
      <c r="AW45" s="57">
        <f>IF(SUM($AU45:AV45)&lt;$A$1,IF(SUM($T45:V45)&lt;$A$1,T45,$A$1-SUM($AU45:AV45)),0)</f>
        <v>0</v>
      </c>
      <c r="AX45" s="57">
        <f>IF(SUM($AU45:AW45)&lt;$A$1,IF(SUM($S45:V45)&lt;$A$1,S45,$A$1-SUM($AU45:AW45)),0)</f>
        <v>0</v>
      </c>
      <c r="AY45" s="57">
        <f>IF(SUM($AU45:AX45)&lt;$A$1,IF(SUM($R45:V45)&lt;$A$1,R45,$A$1-SUM($AU45:AX45)),0)</f>
        <v>0</v>
      </c>
      <c r="AZ45" s="59">
        <f t="shared" si="44"/>
        <v>0</v>
      </c>
      <c r="BA45" s="57">
        <f t="shared" si="45"/>
        <v>0</v>
      </c>
      <c r="BB45" s="57">
        <f t="shared" si="46"/>
        <v>0</v>
      </c>
      <c r="BC45" s="63">
        <f t="shared" si="47"/>
        <v>0</v>
      </c>
      <c r="BD45" s="63">
        <f t="shared" si="48"/>
        <v>0</v>
      </c>
      <c r="BE45" t="str">
        <f t="shared" ca="1" si="27"/>
        <v/>
      </c>
      <c r="BF45" t="str">
        <f t="shared" ca="1" si="27"/>
        <v/>
      </c>
      <c r="BG45">
        <f t="shared" ca="1" si="28"/>
        <v>0</v>
      </c>
      <c r="BH45">
        <f t="shared" si="29"/>
        <v>0</v>
      </c>
      <c r="BI45">
        <f t="shared" si="30"/>
        <v>0</v>
      </c>
      <c r="BK45">
        <f t="shared" si="31"/>
        <v>0</v>
      </c>
      <c r="BL45">
        <f t="shared" si="32"/>
        <v>0</v>
      </c>
      <c r="BM45">
        <f t="shared" si="33"/>
        <v>0</v>
      </c>
      <c r="BN45">
        <f t="shared" ca="1" si="34"/>
        <v>0</v>
      </c>
      <c r="BO45">
        <f t="shared" ca="1" si="35"/>
        <v>0</v>
      </c>
      <c r="BP45">
        <f t="shared" ca="1" si="36"/>
        <v>0</v>
      </c>
      <c r="BQ45">
        <f ca="1">IF(AC45=1,1,IF(Z45="",0,IF('ריכוז גיליונות עזר'!W45=1,1,0)))</f>
        <v>0</v>
      </c>
      <c r="BR45">
        <f ca="1">IF(AC45=1,1,IF(AA45="",0,IF('ריכוז גיליונות עזר'!W45=1,1,0)))</f>
        <v>0</v>
      </c>
      <c r="BS45">
        <f t="shared" ca="1" si="37"/>
        <v>0</v>
      </c>
      <c r="BT45">
        <f t="shared" ca="1" si="38"/>
        <v>0</v>
      </c>
      <c r="BU45">
        <f t="shared" si="39"/>
        <v>0</v>
      </c>
      <c r="BW45" t="e">
        <f>IF(R45*#REF!&lt;200,0,1)</f>
        <v>#REF!</v>
      </c>
      <c r="BX45" t="e">
        <f>IF(S45*#REF!&lt;200,0,1)</f>
        <v>#REF!</v>
      </c>
      <c r="BY45" t="e">
        <f>IF(T45*#REF!&lt;200,0,1)</f>
        <v>#REF!</v>
      </c>
      <c r="BZ45" t="e">
        <f>IF(U45*#REF!&lt;200,0,1)</f>
        <v>#REF!</v>
      </c>
      <c r="CA45" t="e">
        <f>IF(V45*#REF!&lt;200,0,1)</f>
        <v>#REF!</v>
      </c>
    </row>
    <row r="46" spans="1:79" x14ac:dyDescent="0.2">
      <c r="A46" s="24">
        <f t="shared" si="22"/>
        <v>36</v>
      </c>
      <c r="B46" s="493" t="str">
        <f ca="1">IF('העמותה ליצירה פנטסטית- אוטופיה'!$F$1="36","",'העמותה ליצירה פנטסטית- אוטופיה'!$F$1)</f>
        <v>העמותה ליצירה פנטסטית- אוטופיה</v>
      </c>
      <c r="C46" s="265">
        <v>44927</v>
      </c>
      <c r="D46" s="155">
        <f t="shared" ca="1" si="0"/>
        <v>2.0027397260273974</v>
      </c>
      <c r="E46" s="25">
        <v>1</v>
      </c>
      <c r="F46" s="138">
        <v>1</v>
      </c>
      <c r="G46" s="138"/>
      <c r="H46" s="138">
        <v>1</v>
      </c>
      <c r="I46" s="138">
        <v>1</v>
      </c>
      <c r="J46" s="138">
        <v>1</v>
      </c>
      <c r="K46" s="138">
        <v>1</v>
      </c>
      <c r="L46" s="25">
        <v>1</v>
      </c>
      <c r="M46" s="28">
        <f t="shared" ca="1" si="1"/>
        <v>1</v>
      </c>
      <c r="N46" s="25">
        <v>1</v>
      </c>
      <c r="O46" s="25">
        <v>1</v>
      </c>
      <c r="P46" s="28">
        <f t="shared" ca="1" si="2"/>
        <v>1</v>
      </c>
      <c r="Q46" s="25"/>
      <c r="R46" s="405"/>
      <c r="S46" s="405"/>
      <c r="T46" s="405"/>
      <c r="U46" s="405"/>
      <c r="V46" s="405"/>
      <c r="Y46" s="28">
        <f t="shared" ca="1" si="23"/>
        <v>1</v>
      </c>
      <c r="Z46" s="28">
        <f ca="1">'ריכוז גיליונות עזר'!S46</f>
        <v>2</v>
      </c>
      <c r="AA46" s="28">
        <f ca="1">'ריכוז גיליונות עזר'!R46</f>
        <v>2</v>
      </c>
      <c r="AB46" s="28">
        <f ca="1">'ריכוז גיליונות עזר'!T46</f>
        <v>0</v>
      </c>
      <c r="AC46" s="138">
        <v>1</v>
      </c>
      <c r="AD46" s="28">
        <f t="shared" ca="1" si="24"/>
        <v>0</v>
      </c>
      <c r="AE46" s="405" cm="1">
        <f t="array" aca="1" ref="AE46" ca="1">IF($B46="","",IF($F46="","",INDIRECT("'"&amp;SUBSTITUTE($B46,"'","''")&amp;"'"&amp;"!L6")))</f>
        <v>2</v>
      </c>
      <c r="AF46" s="138">
        <v>1</v>
      </c>
      <c r="AG46" s="28">
        <f t="shared" ca="1" si="49"/>
        <v>1</v>
      </c>
      <c r="AH46" s="410">
        <f ca="1">'ריכוז גיליונות עזר'!U46</f>
        <v>0</v>
      </c>
      <c r="AI46" s="138">
        <v>1</v>
      </c>
      <c r="AJ46" s="28">
        <f ca="1">IF(B46="","",IF(AI46=1,1,IF(AH46&gt;=פרמטרים!$B$46,1,0)))</f>
        <v>1</v>
      </c>
      <c r="AK46" s="25">
        <v>1</v>
      </c>
      <c r="AL46" s="28">
        <f t="shared" ca="1" si="26"/>
        <v>1</v>
      </c>
      <c r="AM46" s="220"/>
      <c r="AN46" s="28"/>
      <c r="AO46" s="26"/>
      <c r="AP46" s="62">
        <f t="shared" ca="1" si="43"/>
        <v>1</v>
      </c>
      <c r="AQ46" s="57">
        <f t="shared" ca="1" si="40"/>
        <v>1</v>
      </c>
      <c r="AR46" s="57">
        <f t="shared" ca="1" si="41"/>
        <v>1</v>
      </c>
      <c r="AS46" s="58">
        <f t="shared" ca="1" si="42"/>
        <v>1</v>
      </c>
      <c r="AT46" s="67">
        <f t="array" aca="1" ref="AT46" ca="1">IF(OR(AP46:AS46=0),0,1)</f>
        <v>1</v>
      </c>
      <c r="AU46" s="65">
        <f t="shared" si="4"/>
        <v>0</v>
      </c>
      <c r="AV46" s="57">
        <f>IF(SUM($AU46:AU46)&lt;$A$1,IF(SUM($U46:V46)&lt;$A$1,U46,$A$1-SUM($AU46:AU46)),0)</f>
        <v>0</v>
      </c>
      <c r="AW46" s="57">
        <f>IF(SUM($AU46:AV46)&lt;$A$1,IF(SUM($T46:V46)&lt;$A$1,T46,$A$1-SUM($AU46:AV46)),0)</f>
        <v>0</v>
      </c>
      <c r="AX46" s="57">
        <f>IF(SUM($AU46:AW46)&lt;$A$1,IF(SUM($S46:V46)&lt;$A$1,S46,$A$1-SUM($AU46:AW46)),0)</f>
        <v>0</v>
      </c>
      <c r="AY46" s="57">
        <f>IF(SUM($AU46:AX46)&lt;$A$1,IF(SUM($R46:V46)&lt;$A$1,R46,$A$1-SUM($AU46:AX46)),0)</f>
        <v>0</v>
      </c>
      <c r="AZ46" s="59">
        <f t="shared" si="44"/>
        <v>0</v>
      </c>
      <c r="BA46" s="57">
        <f t="shared" si="45"/>
        <v>0</v>
      </c>
      <c r="BB46" s="57">
        <f t="shared" si="46"/>
        <v>0</v>
      </c>
      <c r="BC46" s="63">
        <f t="shared" si="47"/>
        <v>0</v>
      </c>
      <c r="BD46" s="63">
        <f t="shared" si="48"/>
        <v>0</v>
      </c>
      <c r="BE46">
        <f t="shared" ca="1" si="27"/>
        <v>0</v>
      </c>
      <c r="BF46">
        <f t="shared" ca="1" si="27"/>
        <v>1</v>
      </c>
      <c r="BG46">
        <f t="shared" ca="1" si="28"/>
        <v>1</v>
      </c>
      <c r="BH46">
        <f t="shared" si="29"/>
        <v>1</v>
      </c>
      <c r="BI46">
        <f t="shared" si="30"/>
        <v>1</v>
      </c>
      <c r="BK46">
        <f t="shared" si="31"/>
        <v>1</v>
      </c>
      <c r="BL46">
        <f t="shared" si="32"/>
        <v>1</v>
      </c>
      <c r="BM46">
        <f t="shared" si="33"/>
        <v>1</v>
      </c>
      <c r="BN46">
        <f t="shared" ca="1" si="34"/>
        <v>1</v>
      </c>
      <c r="BO46">
        <f t="shared" ca="1" si="35"/>
        <v>1</v>
      </c>
      <c r="BP46">
        <f t="shared" ca="1" si="36"/>
        <v>1</v>
      </c>
      <c r="BQ46">
        <f>IF(AC46=1,1,IF(Z46="",0,IF('ריכוז גיליונות עזר'!W46=1,1,0)))</f>
        <v>1</v>
      </c>
      <c r="BR46">
        <f>IF(AC46=1,1,IF(AA46="",0,IF('ריכוז גיליונות עזר'!W46=1,1,0)))</f>
        <v>1</v>
      </c>
      <c r="BS46">
        <f t="shared" ca="1" si="37"/>
        <v>1</v>
      </c>
      <c r="BT46">
        <f t="shared" ca="1" si="38"/>
        <v>1</v>
      </c>
      <c r="BU46">
        <f t="shared" si="39"/>
        <v>1</v>
      </c>
      <c r="BW46" t="e">
        <f>IF(R46*#REF!&lt;200,0,1)</f>
        <v>#REF!</v>
      </c>
      <c r="BX46" t="e">
        <f>IF(S46*#REF!&lt;200,0,1)</f>
        <v>#REF!</v>
      </c>
      <c r="BY46" t="e">
        <f>IF(T46*#REF!&lt;200,0,1)</f>
        <v>#REF!</v>
      </c>
      <c r="BZ46" t="e">
        <f>IF(U46*#REF!&lt;200,0,1)</f>
        <v>#REF!</v>
      </c>
      <c r="CA46" t="e">
        <f>IF(V46*#REF!&lt;200,0,1)</f>
        <v>#REF!</v>
      </c>
    </row>
    <row r="47" spans="1:79" x14ac:dyDescent="0.2">
      <c r="A47" s="24">
        <f t="shared" si="22"/>
        <v>37</v>
      </c>
      <c r="B47" s="493" t="str">
        <f ca="1">IF('37'!$F$1="37","",'37'!$F$1)</f>
        <v/>
      </c>
      <c r="C47" s="265"/>
      <c r="D47" s="155" t="str">
        <f t="shared" ca="1" si="0"/>
        <v/>
      </c>
      <c r="E47" s="25"/>
      <c r="F47" s="138"/>
      <c r="G47" s="138"/>
      <c r="H47" s="138"/>
      <c r="I47" s="138"/>
      <c r="J47" s="138"/>
      <c r="K47" s="138"/>
      <c r="L47" s="25"/>
      <c r="M47" s="28" t="str">
        <f t="shared" ca="1" si="1"/>
        <v/>
      </c>
      <c r="N47" s="25"/>
      <c r="O47" s="25"/>
      <c r="P47" s="28" t="str">
        <f t="shared" ca="1" si="2"/>
        <v/>
      </c>
      <c r="Q47" s="25"/>
      <c r="R47" s="405"/>
      <c r="S47" s="405"/>
      <c r="T47" s="405"/>
      <c r="U47" s="405"/>
      <c r="V47" s="405"/>
      <c r="Y47" s="28" t="str">
        <f t="shared" ca="1" si="23"/>
        <v/>
      </c>
      <c r="Z47" s="28" t="str">
        <f ca="1">'ריכוז גיליונות עזר'!S47</f>
        <v/>
      </c>
      <c r="AA47" s="28" t="str">
        <f ca="1">'ריכוז גיליונות עזר'!R47</f>
        <v/>
      </c>
      <c r="AB47" s="28" t="str">
        <f ca="1">'ריכוז גיליונות עזר'!T47</f>
        <v/>
      </c>
      <c r="AC47" s="138"/>
      <c r="AD47" s="28" t="str">
        <f t="shared" ca="1" si="24"/>
        <v/>
      </c>
      <c r="AE47" s="405" t="str" cm="1">
        <f t="array" aca="1" ref="AE47" ca="1">IF($B47="","",IF($F47="","",INDIRECT("'"&amp;SUBSTITUTE($B47,"'","''")&amp;"'"&amp;"!L6")))</f>
        <v/>
      </c>
      <c r="AF47" s="138"/>
      <c r="AG47" s="28" t="str">
        <f t="shared" ca="1" si="49"/>
        <v/>
      </c>
      <c r="AH47" s="410" t="str">
        <f ca="1">'ריכוז גיליונות עזר'!U47</f>
        <v/>
      </c>
      <c r="AI47" s="138"/>
      <c r="AJ47" s="28" t="str">
        <f ca="1">IF(B47="","",IF(AI47=1,1,IF(AH47&gt;=פרמטרים!$B$46,1,0)))</f>
        <v/>
      </c>
      <c r="AK47" s="25"/>
      <c r="AL47" s="28" t="str">
        <f t="shared" ca="1" si="26"/>
        <v/>
      </c>
      <c r="AM47" s="220"/>
      <c r="AN47" s="28"/>
      <c r="AO47" s="26"/>
      <c r="AP47" s="62">
        <f t="shared" ca="1" si="43"/>
        <v>0</v>
      </c>
      <c r="AQ47" s="57">
        <f t="shared" ca="1" si="40"/>
        <v>0</v>
      </c>
      <c r="AR47" s="57">
        <f t="shared" ca="1" si="41"/>
        <v>0</v>
      </c>
      <c r="AS47" s="58">
        <f t="shared" ca="1" si="42"/>
        <v>0</v>
      </c>
      <c r="AT47" s="67">
        <f t="array" aca="1" ref="AT47" ca="1">IF(OR(AP47:AS47=0),0,1)</f>
        <v>0</v>
      </c>
      <c r="AU47" s="65">
        <f t="shared" si="4"/>
        <v>0</v>
      </c>
      <c r="AV47" s="57">
        <f>IF(SUM($AU47:AU47)&lt;$A$1,IF(SUM($U47:V47)&lt;$A$1,U47,$A$1-SUM($AU47:AU47)),0)</f>
        <v>0</v>
      </c>
      <c r="AW47" s="57">
        <f>IF(SUM($AU47:AV47)&lt;$A$1,IF(SUM($T47:V47)&lt;$A$1,T47,$A$1-SUM($AU47:AV47)),0)</f>
        <v>0</v>
      </c>
      <c r="AX47" s="57">
        <f>IF(SUM($AU47:AW47)&lt;$A$1,IF(SUM($S47:V47)&lt;$A$1,S47,$A$1-SUM($AU47:AW47)),0)</f>
        <v>0</v>
      </c>
      <c r="AY47" s="57">
        <f>IF(SUM($AU47:AX47)&lt;$A$1,IF(SUM($R47:V47)&lt;$A$1,R47,$A$1-SUM($AU47:AX47)),0)</f>
        <v>0</v>
      </c>
      <c r="AZ47" s="59">
        <f t="shared" si="44"/>
        <v>0</v>
      </c>
      <c r="BA47" s="57">
        <f t="shared" si="45"/>
        <v>0</v>
      </c>
      <c r="BB47" s="57">
        <f t="shared" si="46"/>
        <v>0</v>
      </c>
      <c r="BC47" s="63">
        <f t="shared" si="47"/>
        <v>0</v>
      </c>
      <c r="BD47" s="63">
        <f t="shared" si="48"/>
        <v>0</v>
      </c>
      <c r="BE47" t="str">
        <f t="shared" ca="1" si="27"/>
        <v/>
      </c>
      <c r="BF47" t="str">
        <f t="shared" ca="1" si="27"/>
        <v/>
      </c>
      <c r="BG47">
        <f t="shared" ca="1" si="28"/>
        <v>0</v>
      </c>
      <c r="BH47">
        <f t="shared" si="29"/>
        <v>0</v>
      </c>
      <c r="BI47">
        <f t="shared" si="30"/>
        <v>0</v>
      </c>
      <c r="BK47">
        <f t="shared" si="31"/>
        <v>0</v>
      </c>
      <c r="BL47">
        <f t="shared" si="32"/>
        <v>0</v>
      </c>
      <c r="BM47">
        <f t="shared" si="33"/>
        <v>0</v>
      </c>
      <c r="BN47">
        <f t="shared" ca="1" si="34"/>
        <v>0</v>
      </c>
      <c r="BO47">
        <f t="shared" ca="1" si="35"/>
        <v>0</v>
      </c>
      <c r="BP47">
        <f t="shared" ca="1" si="36"/>
        <v>0</v>
      </c>
      <c r="BQ47">
        <f ca="1">IF(AC47=1,1,IF(Z47="",0,IF('ריכוז גיליונות עזר'!W47=1,1,0)))</f>
        <v>0</v>
      </c>
      <c r="BR47">
        <f ca="1">IF(AC47=1,1,IF(AA47="",0,IF('ריכוז גיליונות עזר'!W47=1,1,0)))</f>
        <v>0</v>
      </c>
      <c r="BS47">
        <f t="shared" ca="1" si="37"/>
        <v>0</v>
      </c>
      <c r="BT47">
        <f t="shared" ca="1" si="38"/>
        <v>0</v>
      </c>
      <c r="BU47">
        <f t="shared" si="39"/>
        <v>0</v>
      </c>
      <c r="BW47" t="e">
        <f>IF(R47*#REF!&lt;200,0,1)</f>
        <v>#REF!</v>
      </c>
      <c r="BX47" t="e">
        <f>IF(S47*#REF!&lt;200,0,1)</f>
        <v>#REF!</v>
      </c>
      <c r="BY47" t="e">
        <f>IF(T47*#REF!&lt;200,0,1)</f>
        <v>#REF!</v>
      </c>
      <c r="BZ47" t="e">
        <f>IF(U47*#REF!&lt;200,0,1)</f>
        <v>#REF!</v>
      </c>
      <c r="CA47" t="e">
        <f>IF(V47*#REF!&lt;200,0,1)</f>
        <v>#REF!</v>
      </c>
    </row>
    <row r="48" spans="1:79" x14ac:dyDescent="0.2">
      <c r="A48" s="24">
        <f t="shared" si="22"/>
        <v>38</v>
      </c>
      <c r="B48" s="493" t="str">
        <f ca="1">IF('38'!$F$1="38","",'38'!$F$1)</f>
        <v/>
      </c>
      <c r="C48" s="265"/>
      <c r="D48" s="155" t="str">
        <f t="shared" ca="1" si="0"/>
        <v/>
      </c>
      <c r="E48" s="25"/>
      <c r="F48" s="138"/>
      <c r="G48" s="138"/>
      <c r="H48" s="138"/>
      <c r="I48" s="138"/>
      <c r="J48" s="138"/>
      <c r="K48" s="138"/>
      <c r="L48" s="25"/>
      <c r="M48" s="28" t="str">
        <f t="shared" ca="1" si="1"/>
        <v/>
      </c>
      <c r="N48" s="25"/>
      <c r="O48" s="25"/>
      <c r="P48" s="28" t="str">
        <f t="shared" ca="1" si="2"/>
        <v/>
      </c>
      <c r="Q48" s="25"/>
      <c r="R48" s="405"/>
      <c r="S48" s="405"/>
      <c r="T48" s="405"/>
      <c r="U48" s="405"/>
      <c r="V48" s="405"/>
      <c r="Y48" s="28" t="str">
        <f t="shared" ca="1" si="23"/>
        <v/>
      </c>
      <c r="Z48" s="28" t="str">
        <f ca="1">'ריכוז גיליונות עזר'!S48</f>
        <v/>
      </c>
      <c r="AA48" s="28" t="str">
        <f ca="1">'ריכוז גיליונות עזר'!R48</f>
        <v/>
      </c>
      <c r="AB48" s="28" t="str">
        <f ca="1">'ריכוז גיליונות עזר'!T48</f>
        <v/>
      </c>
      <c r="AC48" s="138"/>
      <c r="AD48" s="28" t="str">
        <f t="shared" ca="1" si="24"/>
        <v/>
      </c>
      <c r="AE48" s="405" t="str" cm="1">
        <f t="array" aca="1" ref="AE48" ca="1">IF($B48="","",IF($F48="","",INDIRECT("'"&amp;SUBSTITUTE($B48,"'","''")&amp;"'"&amp;"!L6")))</f>
        <v/>
      </c>
      <c r="AF48" s="138"/>
      <c r="AG48" s="28" t="str">
        <f t="shared" ca="1" si="49"/>
        <v/>
      </c>
      <c r="AH48" s="410" t="str">
        <f ca="1">'ריכוז גיליונות עזר'!U48</f>
        <v/>
      </c>
      <c r="AI48" s="138"/>
      <c r="AJ48" s="28" t="str">
        <f ca="1">IF(B48="","",IF(AI48=1,1,IF(AH48&gt;=פרמטרים!$B$46,1,0)))</f>
        <v/>
      </c>
      <c r="AK48" s="25"/>
      <c r="AL48" s="28" t="str">
        <f t="shared" ca="1" si="26"/>
        <v/>
      </c>
      <c r="AM48" s="220"/>
      <c r="AN48" s="28"/>
      <c r="AO48" s="26"/>
      <c r="AP48" s="62">
        <f t="shared" ca="1" si="43"/>
        <v>0</v>
      </c>
      <c r="AQ48" s="57">
        <f t="shared" ca="1" si="40"/>
        <v>0</v>
      </c>
      <c r="AR48" s="57">
        <f t="shared" ca="1" si="41"/>
        <v>0</v>
      </c>
      <c r="AS48" s="58">
        <f t="shared" ca="1" si="42"/>
        <v>0</v>
      </c>
      <c r="AT48" s="67">
        <f t="array" aca="1" ref="AT48" ca="1">IF(OR(AP48:AS48=0),0,1)</f>
        <v>0</v>
      </c>
      <c r="AU48" s="65">
        <f t="shared" si="4"/>
        <v>0</v>
      </c>
      <c r="AV48" s="57">
        <f>IF(SUM($AU48:AU48)&lt;$A$1,IF(SUM($U48:V48)&lt;$A$1,U48,$A$1-SUM($AU48:AU48)),0)</f>
        <v>0</v>
      </c>
      <c r="AW48" s="57">
        <f>IF(SUM($AU48:AV48)&lt;$A$1,IF(SUM($T48:V48)&lt;$A$1,T48,$A$1-SUM($AU48:AV48)),0)</f>
        <v>0</v>
      </c>
      <c r="AX48" s="57">
        <f>IF(SUM($AU48:AW48)&lt;$A$1,IF(SUM($S48:V48)&lt;$A$1,S48,$A$1-SUM($AU48:AW48)),0)</f>
        <v>0</v>
      </c>
      <c r="AY48" s="57">
        <f>IF(SUM($AU48:AX48)&lt;$A$1,IF(SUM($R48:V48)&lt;$A$1,R48,$A$1-SUM($AU48:AX48)),0)</f>
        <v>0</v>
      </c>
      <c r="AZ48" s="59">
        <f t="shared" si="44"/>
        <v>0</v>
      </c>
      <c r="BA48" s="57">
        <f t="shared" si="45"/>
        <v>0</v>
      </c>
      <c r="BB48" s="57">
        <f t="shared" si="46"/>
        <v>0</v>
      </c>
      <c r="BC48" s="63">
        <f t="shared" si="47"/>
        <v>0</v>
      </c>
      <c r="BD48" s="63">
        <f t="shared" si="48"/>
        <v>0</v>
      </c>
      <c r="BE48" t="str">
        <f t="shared" ca="1" si="27"/>
        <v/>
      </c>
      <c r="BF48" t="str">
        <f t="shared" ca="1" si="27"/>
        <v/>
      </c>
      <c r="BG48">
        <f t="shared" ca="1" si="28"/>
        <v>0</v>
      </c>
      <c r="BH48">
        <f t="shared" si="29"/>
        <v>0</v>
      </c>
      <c r="BI48">
        <f t="shared" si="30"/>
        <v>0</v>
      </c>
      <c r="BK48">
        <f t="shared" si="31"/>
        <v>0</v>
      </c>
      <c r="BL48">
        <f t="shared" si="32"/>
        <v>0</v>
      </c>
      <c r="BM48">
        <f t="shared" si="33"/>
        <v>0</v>
      </c>
      <c r="BN48">
        <f t="shared" ca="1" si="34"/>
        <v>0</v>
      </c>
      <c r="BO48">
        <f t="shared" ca="1" si="35"/>
        <v>0</v>
      </c>
      <c r="BP48">
        <f t="shared" ca="1" si="36"/>
        <v>0</v>
      </c>
      <c r="BQ48">
        <f ca="1">IF(AC48=1,1,IF(Z48="",0,IF('ריכוז גיליונות עזר'!W48=1,1,0)))</f>
        <v>0</v>
      </c>
      <c r="BR48">
        <f ca="1">IF(AC48=1,1,IF(AA48="",0,IF('ריכוז גיליונות עזר'!W48=1,1,0)))</f>
        <v>0</v>
      </c>
      <c r="BS48">
        <f t="shared" ca="1" si="37"/>
        <v>0</v>
      </c>
      <c r="BT48">
        <f t="shared" ca="1" si="38"/>
        <v>0</v>
      </c>
      <c r="BU48">
        <f t="shared" si="39"/>
        <v>0</v>
      </c>
      <c r="BW48" t="e">
        <f>IF(R48*#REF!&lt;200,0,1)</f>
        <v>#REF!</v>
      </c>
      <c r="BX48" t="e">
        <f>IF(S48*#REF!&lt;200,0,1)</f>
        <v>#REF!</v>
      </c>
      <c r="BY48" t="e">
        <f>IF(T48*#REF!&lt;200,0,1)</f>
        <v>#REF!</v>
      </c>
      <c r="BZ48" t="e">
        <f>IF(U48*#REF!&lt;200,0,1)</f>
        <v>#REF!</v>
      </c>
      <c r="CA48" t="e">
        <f>IF(V48*#REF!&lt;200,0,1)</f>
        <v>#REF!</v>
      </c>
    </row>
    <row r="49" spans="1:79" ht="38.25" customHeight="1" x14ac:dyDescent="0.2">
      <c r="A49" s="24">
        <f t="shared" si="22"/>
        <v>39</v>
      </c>
      <c r="B49" s="493" t="str">
        <f ca="1">IF('39'!$F$1="39","",'39'!$F$1)</f>
        <v/>
      </c>
      <c r="C49" s="265"/>
      <c r="D49" s="155" t="str">
        <f t="shared" ca="1" si="0"/>
        <v/>
      </c>
      <c r="E49" s="25"/>
      <c r="F49" s="138"/>
      <c r="G49" s="138"/>
      <c r="H49" s="138"/>
      <c r="I49" s="138"/>
      <c r="J49" s="138"/>
      <c r="K49" s="138"/>
      <c r="L49" s="25"/>
      <c r="M49" s="28" t="str">
        <f ca="1">IF(B49="","",IF(OR(K49=0,AND(K49=1,L49=1)),1,0))</f>
        <v/>
      </c>
      <c r="N49" s="25"/>
      <c r="O49" s="25"/>
      <c r="P49" s="28" t="str">
        <f ca="1">IF(B49="","",IF(OR(N49=0,AND(N49=1,O49=1)),1,0))</f>
        <v/>
      </c>
      <c r="Q49" s="25"/>
      <c r="R49" s="405"/>
      <c r="S49" s="405"/>
      <c r="T49" s="405"/>
      <c r="U49" s="405"/>
      <c r="V49" s="405"/>
      <c r="Y49" s="28" t="str">
        <f t="shared" ca="1" si="23"/>
        <v/>
      </c>
      <c r="Z49" s="28" t="str">
        <f ca="1">'ריכוז גיליונות עזר'!S49</f>
        <v/>
      </c>
      <c r="AA49" s="28" t="str">
        <f ca="1">'ריכוז גיליונות עזר'!R49</f>
        <v/>
      </c>
      <c r="AB49" s="28" t="str">
        <f ca="1">'ריכוז גיליונות עזר'!T49</f>
        <v/>
      </c>
      <c r="AC49" s="138"/>
      <c r="AD49" s="28" t="str">
        <f t="shared" ca="1" si="24"/>
        <v/>
      </c>
      <c r="AE49" s="404"/>
      <c r="AF49" s="138"/>
      <c r="AG49" s="28" t="str">
        <f t="shared" ca="1" si="49"/>
        <v/>
      </c>
      <c r="AH49" s="410" t="str">
        <f ca="1">'ריכוז גיליונות עזר'!U49</f>
        <v/>
      </c>
      <c r="AI49" s="138"/>
      <c r="AJ49" s="28" t="str">
        <f ca="1">IF(B49="","",IF(AI49=1,1,IF(AH49&gt;=פרמטרים!$B$46,1,0)))</f>
        <v/>
      </c>
      <c r="AK49" s="25"/>
      <c r="AL49" s="28" t="str">
        <f t="shared" ca="1" si="26"/>
        <v/>
      </c>
      <c r="AM49" s="220"/>
      <c r="AN49" s="28"/>
      <c r="AO49" s="26"/>
      <c r="AP49" s="62">
        <f t="shared" ref="AP49:AS50" ca="1" si="50">IF(ISERR(ROUND(R49,0)),0,IF(OR(R49&lt;0,$B49="",R49&lt;&gt;ROUND(R49,0)),0,1))</f>
        <v>0</v>
      </c>
      <c r="AQ49" s="57">
        <f t="shared" ca="1" si="50"/>
        <v>0</v>
      </c>
      <c r="AR49" s="57">
        <f t="shared" ca="1" si="50"/>
        <v>0</v>
      </c>
      <c r="AS49" s="58">
        <f t="shared" ca="1" si="50"/>
        <v>0</v>
      </c>
      <c r="AT49" s="67">
        <f t="array" aca="1" ref="AT49" ca="1">IF(OR(AP49:AS49=0),0,1)</f>
        <v>0</v>
      </c>
      <c r="AU49" s="65">
        <f t="shared" si="4"/>
        <v>0</v>
      </c>
      <c r="AV49" s="57">
        <f>IF(SUM($AU49:AU49)&lt;$A$1,IF(SUM($U49:V49)&lt;$A$1,U49,$A$1-SUM($AU49:AU49)),0)</f>
        <v>0</v>
      </c>
      <c r="AW49" s="57">
        <f>IF(SUM($AU49:AV49)&lt;$A$1,IF(SUM($T49:V49)&lt;$A$1,T49,$A$1-SUM($AU49:AV49)),0)</f>
        <v>0</v>
      </c>
      <c r="AX49" s="57">
        <f>IF(SUM($AU49:AW49)&lt;$A$1,IF(SUM($S49:V49)&lt;$A$1,S49,$A$1-SUM($AU49:AW49)),0)</f>
        <v>0</v>
      </c>
      <c r="AY49" s="57">
        <f>IF(SUM($AU49:AX49)&lt;$A$1,IF(SUM($R49:V49)&lt;$A$1,R49,$A$1-SUM($AU49:AX49)),0)</f>
        <v>0</v>
      </c>
      <c r="AZ49" s="59">
        <f t="shared" si="44"/>
        <v>0</v>
      </c>
      <c r="BA49" s="57">
        <f t="shared" si="45"/>
        <v>0</v>
      </c>
      <c r="BB49" s="57">
        <f t="shared" si="46"/>
        <v>0</v>
      </c>
      <c r="BC49" s="63">
        <f t="shared" si="47"/>
        <v>0</v>
      </c>
      <c r="BD49" s="63">
        <f t="shared" si="48"/>
        <v>0</v>
      </c>
      <c r="BE49" t="str">
        <f ca="1">IF($B49="","",BE$10)</f>
        <v/>
      </c>
      <c r="BF49" t="str">
        <f ca="1">IF($B49="","",BF$10)</f>
        <v/>
      </c>
      <c r="BG49">
        <f t="shared" ca="1" si="28"/>
        <v>0</v>
      </c>
      <c r="BH49">
        <f t="shared" si="29"/>
        <v>0</v>
      </c>
      <c r="BI49">
        <f t="shared" si="30"/>
        <v>0</v>
      </c>
      <c r="BK49">
        <f t="shared" si="31"/>
        <v>0</v>
      </c>
      <c r="BL49">
        <f t="shared" si="32"/>
        <v>0</v>
      </c>
      <c r="BM49">
        <f t="shared" si="33"/>
        <v>0</v>
      </c>
      <c r="BN49">
        <f t="shared" ca="1" si="34"/>
        <v>0</v>
      </c>
      <c r="BO49">
        <f t="shared" ca="1" si="35"/>
        <v>0</v>
      </c>
      <c r="BP49">
        <f t="shared" ca="1" si="36"/>
        <v>0</v>
      </c>
      <c r="BQ49">
        <f ca="1">IF(AC49=1,1,IF(Z49="",0,IF('ריכוז גיליונות עזר'!W49=1,1,0)))</f>
        <v>0</v>
      </c>
      <c r="BR49">
        <f ca="1">IF(AC49=1,1,IF(AA49="",0,IF('ריכוז גיליונות עזר'!W49=1,1,0)))</f>
        <v>0</v>
      </c>
      <c r="BS49">
        <f t="shared" ca="1" si="37"/>
        <v>0</v>
      </c>
      <c r="BT49">
        <f t="shared" ca="1" si="38"/>
        <v>0</v>
      </c>
      <c r="BU49">
        <f t="shared" si="39"/>
        <v>0</v>
      </c>
      <c r="BW49" t="e">
        <f>IF(R49*#REF!&lt;200,0,1)</f>
        <v>#REF!</v>
      </c>
      <c r="BX49" t="e">
        <f>IF(S49*#REF!&lt;200,0,1)</f>
        <v>#REF!</v>
      </c>
      <c r="BY49" t="e">
        <f>IF(T49*#REF!&lt;200,0,1)</f>
        <v>#REF!</v>
      </c>
      <c r="BZ49" t="e">
        <f>IF(U49*#REF!&lt;200,0,1)</f>
        <v>#REF!</v>
      </c>
      <c r="CA49" t="e">
        <f>IF(V49*#REF!&lt;200,0,1)</f>
        <v>#REF!</v>
      </c>
    </row>
    <row r="50" spans="1:79" ht="94.5" customHeight="1" thickBot="1" x14ac:dyDescent="0.25">
      <c r="A50" s="24">
        <f t="shared" si="22"/>
        <v>40</v>
      </c>
      <c r="B50" s="493" t="str">
        <f ca="1">IF('40'!$F$1="40","",'40'!$F$1)</f>
        <v/>
      </c>
      <c r="C50" s="265"/>
      <c r="D50" s="155" t="str">
        <f t="shared" ca="1" si="0"/>
        <v/>
      </c>
      <c r="E50" s="25"/>
      <c r="F50" s="138"/>
      <c r="G50" s="138"/>
      <c r="H50" s="138"/>
      <c r="I50" s="138"/>
      <c r="J50" s="138"/>
      <c r="K50" s="138"/>
      <c r="L50" s="25"/>
      <c r="M50" s="28" t="str">
        <f ca="1">IF(B50="","",IF(OR(K50=0,AND(K50=1,L50=1)),1,0))</f>
        <v/>
      </c>
      <c r="N50" s="25"/>
      <c r="O50" s="25"/>
      <c r="P50" s="28" t="str">
        <f ca="1">IF(B50="","",IF(OR(N50=0,AND(N50=1,O50=1)),1,0))</f>
        <v/>
      </c>
      <c r="Q50" s="25"/>
      <c r="R50" s="405"/>
      <c r="S50" s="405"/>
      <c r="T50" s="405"/>
      <c r="U50" s="405"/>
      <c r="V50" s="405"/>
      <c r="Y50" s="28" t="str">
        <f t="shared" ca="1" si="23"/>
        <v/>
      </c>
      <c r="Z50" s="28" t="str">
        <f ca="1">'ריכוז גיליונות עזר'!S50</f>
        <v/>
      </c>
      <c r="AA50" s="28" t="str">
        <f ca="1">'ריכוז גיליונות עזר'!R50</f>
        <v/>
      </c>
      <c r="AB50" s="28" t="str">
        <f ca="1">'ריכוז גיליונות עזר'!T50</f>
        <v/>
      </c>
      <c r="AC50" s="138"/>
      <c r="AD50" s="28" t="str">
        <f t="shared" ca="1" si="24"/>
        <v/>
      </c>
      <c r="AE50" s="404">
        <f ca="1">IF($B$11="","",'ריכוז גיליונות עזר'!L50)</f>
        <v>0</v>
      </c>
      <c r="AF50" s="138"/>
      <c r="AG50" s="28" t="str">
        <f t="shared" ca="1" si="49"/>
        <v/>
      </c>
      <c r="AH50" s="410" t="str">
        <f ca="1">'ריכוז גיליונות עזר'!U50</f>
        <v/>
      </c>
      <c r="AI50" s="138"/>
      <c r="AJ50" s="28" t="str">
        <f ca="1">IF(B50="","",IF(AI50=1,1,IF(AH50&gt;=פרמטרים!$B$46,1,0)))</f>
        <v/>
      </c>
      <c r="AK50" s="25"/>
      <c r="AL50" s="28" t="str">
        <f t="shared" ca="1" si="26"/>
        <v/>
      </c>
      <c r="AM50" s="220"/>
      <c r="AN50" s="28"/>
      <c r="AO50" s="26"/>
      <c r="AP50" s="62">
        <f t="shared" ca="1" si="50"/>
        <v>0</v>
      </c>
      <c r="AQ50" s="57">
        <f t="shared" ca="1" si="50"/>
        <v>0</v>
      </c>
      <c r="AR50" s="57">
        <f t="shared" ca="1" si="50"/>
        <v>0</v>
      </c>
      <c r="AS50" s="58">
        <f t="shared" ca="1" si="50"/>
        <v>0</v>
      </c>
      <c r="AT50" s="67">
        <f t="array" aca="1" ref="AT50" ca="1">IF(OR(AP50:AS50=0),0,1)</f>
        <v>0</v>
      </c>
      <c r="AU50" s="65">
        <f t="shared" si="4"/>
        <v>0</v>
      </c>
      <c r="AV50" s="57">
        <f>IF(SUM($AU50:AU50)&lt;$A$1,IF(SUM($U50:V50)&lt;$A$1,U50,$A$1-SUM($AU50:AU50)),0)</f>
        <v>0</v>
      </c>
      <c r="AW50" s="57">
        <f>IF(SUM($AU50:AV50)&lt;$A$1,IF(SUM($T50:V50)&lt;$A$1,T50,$A$1-SUM($AU50:AV50)),0)</f>
        <v>0</v>
      </c>
      <c r="AX50" s="57">
        <f>IF(SUM($AU50:AW50)&lt;$A$1,IF(SUM($S50:V50)&lt;$A$1,S50,$A$1-SUM($AU50:AW50)),0)</f>
        <v>0</v>
      </c>
      <c r="AY50" s="57">
        <f>IF(SUM($AU50:AX50)&lt;$A$1,IF(SUM($R50:V50)&lt;$A$1,R50,$A$1-SUM($AU50:AX50)),0)</f>
        <v>0</v>
      </c>
      <c r="AZ50" s="59">
        <f t="shared" si="44"/>
        <v>0</v>
      </c>
      <c r="BA50" s="57">
        <f t="shared" si="45"/>
        <v>0</v>
      </c>
      <c r="BB50" s="57">
        <f t="shared" si="46"/>
        <v>0</v>
      </c>
      <c r="BC50" s="63">
        <f t="shared" si="47"/>
        <v>0</v>
      </c>
      <c r="BD50" s="63">
        <f t="shared" si="48"/>
        <v>0</v>
      </c>
      <c r="BE50" t="str">
        <f ca="1">IF($B50="","",BE$10)</f>
        <v/>
      </c>
      <c r="BF50" t="str">
        <f ca="1">IF($B50="","",BF$10)</f>
        <v/>
      </c>
      <c r="BG50">
        <f t="shared" ca="1" si="28"/>
        <v>0</v>
      </c>
      <c r="BH50">
        <f t="shared" si="29"/>
        <v>0</v>
      </c>
      <c r="BI50">
        <f t="shared" si="30"/>
        <v>0</v>
      </c>
      <c r="BK50">
        <f t="shared" si="31"/>
        <v>0</v>
      </c>
      <c r="BL50">
        <f t="shared" si="32"/>
        <v>0</v>
      </c>
      <c r="BM50">
        <f t="shared" si="33"/>
        <v>0</v>
      </c>
      <c r="BN50">
        <f t="shared" ca="1" si="34"/>
        <v>0</v>
      </c>
      <c r="BO50">
        <f t="shared" ca="1" si="35"/>
        <v>0</v>
      </c>
      <c r="BP50">
        <f t="shared" ca="1" si="36"/>
        <v>0</v>
      </c>
      <c r="BQ50">
        <f ca="1">IF(AC50=1,1,IF(Z50="",0,IF('ריכוז גיליונות עזר'!W50=1,1,0)))</f>
        <v>0</v>
      </c>
      <c r="BR50">
        <f ca="1">IF(AC50=1,1,IF(AA50="",0,IF('ריכוז גיליונות עזר'!W50=1,1,0)))</f>
        <v>0</v>
      </c>
      <c r="BS50">
        <f t="shared" ca="1" si="37"/>
        <v>0</v>
      </c>
      <c r="BT50">
        <f t="shared" ca="1" si="38"/>
        <v>0</v>
      </c>
      <c r="BU50">
        <f t="shared" si="39"/>
        <v>0</v>
      </c>
      <c r="BW50" t="e">
        <f>IF(R50*#REF!&lt;200,0,1)</f>
        <v>#REF!</v>
      </c>
      <c r="BX50" t="e">
        <f>IF(S50*#REF!&lt;200,0,1)</f>
        <v>#REF!</v>
      </c>
      <c r="BY50" t="e">
        <f>IF(T50*#REF!&lt;200,0,1)</f>
        <v>#REF!</v>
      </c>
      <c r="BZ50" t="e">
        <f>IF(U50*#REF!&lt;200,0,1)</f>
        <v>#REF!</v>
      </c>
      <c r="CA50" t="e">
        <f>IF(V50*#REF!&lt;200,0,1)</f>
        <v>#REF!</v>
      </c>
    </row>
    <row r="51" spans="1:79" ht="52.5" customHeight="1" thickTop="1" thickBot="1" x14ac:dyDescent="0.25">
      <c r="A51" s="607" t="s">
        <v>54</v>
      </c>
      <c r="B51" s="608"/>
      <c r="C51" s="264"/>
      <c r="D51" s="264"/>
      <c r="E51" s="456">
        <f t="shared" ref="E51:O51" si="51">SUM(E11:E50)</f>
        <v>23</v>
      </c>
      <c r="F51" s="456">
        <f t="shared" si="51"/>
        <v>23</v>
      </c>
      <c r="G51" s="456">
        <f t="shared" si="51"/>
        <v>0</v>
      </c>
      <c r="H51" s="456">
        <f t="shared" si="51"/>
        <v>23</v>
      </c>
      <c r="I51" s="456">
        <f t="shared" si="51"/>
        <v>23</v>
      </c>
      <c r="J51" s="456">
        <f t="shared" si="51"/>
        <v>23</v>
      </c>
      <c r="K51" s="456">
        <f t="shared" si="51"/>
        <v>16</v>
      </c>
      <c r="L51" s="456">
        <f t="shared" si="51"/>
        <v>16</v>
      </c>
      <c r="M51" s="456">
        <f t="shared" ca="1" si="51"/>
        <v>23</v>
      </c>
      <c r="N51" s="456">
        <f t="shared" si="51"/>
        <v>1</v>
      </c>
      <c r="O51" s="456">
        <f t="shared" si="51"/>
        <v>9</v>
      </c>
      <c r="P51" s="456">
        <f ca="1">SUM(P11:P50)</f>
        <v>23</v>
      </c>
      <c r="Q51" s="456"/>
      <c r="R51" s="456"/>
      <c r="S51" s="456"/>
      <c r="T51" s="456"/>
      <c r="U51" s="456"/>
      <c r="V51" s="456"/>
      <c r="Y51" s="456">
        <f t="shared" ref="Y51" ca="1" si="52">SUM(Y11:Y50)</f>
        <v>23</v>
      </c>
      <c r="Z51" s="456">
        <f t="shared" ref="Z51" ca="1" si="53">SUM(Z11:Z50)</f>
        <v>65</v>
      </c>
      <c r="AA51" s="456">
        <f t="shared" ref="AA51" ca="1" si="54">SUM(AA11:AA50)</f>
        <v>65</v>
      </c>
      <c r="AB51" s="456">
        <f t="shared" ref="AB51" ca="1" si="55">SUM(AB11:AB50)</f>
        <v>63</v>
      </c>
      <c r="AC51" s="456">
        <f t="shared" ref="AC51" si="56">SUM(AC11:AC50)</f>
        <v>1</v>
      </c>
      <c r="AD51" s="456"/>
      <c r="AE51" s="456">
        <f ca="1">SUM(AE11:AE50)</f>
        <v>2</v>
      </c>
      <c r="AF51" s="456">
        <f t="shared" ref="AF51" si="57">SUM(AF11:AF50)</f>
        <v>1</v>
      </c>
      <c r="AG51" s="456">
        <f t="shared" ref="AG51" ca="1" si="58">SUM(AG11:AG50)</f>
        <v>23</v>
      </c>
      <c r="AH51" s="456">
        <f t="shared" ref="AH51" ca="1" si="59">SUM(AH11:AH50)</f>
        <v>20.563011293722223</v>
      </c>
      <c r="AI51" s="456">
        <f t="shared" ref="AI51" si="60">SUM(AI11:AI50)</f>
        <v>1</v>
      </c>
      <c r="AJ51" s="456">
        <f t="shared" ref="AJ51:AK51" ca="1" si="61">SUM(AJ11:AJ50)</f>
        <v>23</v>
      </c>
      <c r="AK51" s="456">
        <f t="shared" si="61"/>
        <v>24</v>
      </c>
      <c r="AL51" s="456">
        <f t="shared" ref="AL51" ca="1" si="62">SUM(AL11:AL50)</f>
        <v>23</v>
      </c>
      <c r="AM51" s="457"/>
      <c r="AN51" s="458"/>
      <c r="AO51" s="459"/>
      <c r="AU51" s="175">
        <f>SUM(AU11:AU50)</f>
        <v>0</v>
      </c>
      <c r="AV51" s="175">
        <f>SUM(AV11:AV50)</f>
        <v>0</v>
      </c>
      <c r="AW51" s="175">
        <f>SUM(AW11:AW50)</f>
        <v>0</v>
      </c>
      <c r="AX51" s="175">
        <f>SUM(AX11:AX50)</f>
        <v>0</v>
      </c>
      <c r="AY51" s="175">
        <f>SUM(AY11:AY50)</f>
        <v>0</v>
      </c>
      <c r="BD51" s="176">
        <f t="shared" si="48"/>
        <v>0</v>
      </c>
    </row>
    <row r="52" spans="1:79" ht="13.5" thickTop="1" x14ac:dyDescent="0.2"/>
    <row r="53" spans="1:79" x14ac:dyDescent="0.2">
      <c r="AO53" s="17"/>
    </row>
  </sheetData>
  <sheetProtection algorithmName="SHA-512" hashValue="KZfuc9AXDvhNCYDi9jW+isy7zd4Qu//n+L1PvhSwnxm0cJSqRNqWvoWxwX2YOFzQRyPTJMMcow8XUY7MFz+EGA==" saltValue="9hwxBTTR8uszTLvwb8A5Cw==" spinCount="100000" sheet="1" scenarios="1" formatColumns="0" formatRows="0"/>
  <mergeCells count="5">
    <mergeCell ref="A51:B51"/>
    <mergeCell ref="A1:D1"/>
    <mergeCell ref="A2:A3"/>
    <mergeCell ref="B2:C2"/>
    <mergeCell ref="D2:D3"/>
  </mergeCells>
  <conditionalFormatting sqref="E11:E50 I11:J50">
    <cfRule type="expression" dxfId="1034" priority="480">
      <formula>IF(BI11=0,1,0)</formula>
    </cfRule>
  </conditionalFormatting>
  <conditionalFormatting sqref="F11:J50">
    <cfRule type="expression" dxfId="1033" priority="481">
      <formula>IF(BI11=0,1,0)</formula>
    </cfRule>
  </conditionalFormatting>
  <conditionalFormatting sqref="H11:H50">
    <cfRule type="expression" dxfId="1032" priority="65">
      <formula>IF(BM11=0,1,0)</formula>
    </cfRule>
  </conditionalFormatting>
  <conditionalFormatting sqref="K11:L50 N11:N50">
    <cfRule type="expression" dxfId="1031" priority="51">
      <formula>IF(BK11=0,1,0)</formula>
    </cfRule>
  </conditionalFormatting>
  <conditionalFormatting sqref="L11:L50">
    <cfRule type="expression" dxfId="1030" priority="30">
      <formula>$K11&lt;&gt;1</formula>
    </cfRule>
  </conditionalFormatting>
  <conditionalFormatting sqref="M11:M50">
    <cfRule type="expression" dxfId="1029" priority="49">
      <formula>IF(BN11=0,1,0)</formula>
    </cfRule>
  </conditionalFormatting>
  <conditionalFormatting sqref="O11:O50">
    <cfRule type="expression" dxfId="1028" priority="19">
      <formula>$N11&lt;&gt;1</formula>
    </cfRule>
    <cfRule type="expression" dxfId="1027" priority="55">
      <formula>IF(#REF!=0,1,0)</formula>
    </cfRule>
  </conditionalFormatting>
  <conditionalFormatting sqref="P11:P50">
    <cfRule type="expression" dxfId="1026" priority="479">
      <formula>IF(BP11=0,1,0)</formula>
    </cfRule>
  </conditionalFormatting>
  <conditionalFormatting sqref="Q11:Q50">
    <cfRule type="expression" dxfId="1025" priority="8">
      <formula>IF(BQ11=0,1,0)</formula>
    </cfRule>
  </conditionalFormatting>
  <conditionalFormatting sqref="Y11:Y50">
    <cfRule type="expression" dxfId="1024" priority="79">
      <formula>IF(BH11=0,1,0)</formula>
    </cfRule>
  </conditionalFormatting>
  <conditionalFormatting sqref="AC11:AC50">
    <cfRule type="expression" dxfId="1023" priority="10">
      <formula>IF(BK11=0,1,0)</formula>
    </cfRule>
  </conditionalFormatting>
  <conditionalFormatting sqref="AF11:AF50">
    <cfRule type="expression" dxfId="1022" priority="12">
      <formula>IF(BH11=0,1,0)</formula>
    </cfRule>
  </conditionalFormatting>
  <conditionalFormatting sqref="AG11:AH50 AM12:AM43">
    <cfRule type="cellIs" dxfId="1021" priority="9" operator="equal">
      <formula>0</formula>
    </cfRule>
  </conditionalFormatting>
  <conditionalFormatting sqref="AI11:AI50">
    <cfRule type="expression" dxfId="1020" priority="11">
      <formula>IF(BN11=0,1,0)</formula>
    </cfRule>
  </conditionalFormatting>
  <conditionalFormatting sqref="AJ11:AL50">
    <cfRule type="cellIs" dxfId="1019" priority="14" operator="equal">
      <formula>0</formula>
    </cfRule>
  </conditionalFormatting>
  <conditionalFormatting sqref="AM45:AM50">
    <cfRule type="cellIs" dxfId="1018" priority="32" operator="equal">
      <formula>0</formula>
    </cfRule>
  </conditionalFormatting>
  <dataValidations count="5">
    <dataValidation type="list" errorStyle="warning" operator="greaterThanOrEqual" allowBlank="1" showInputMessage="1" showErrorMessage="1" errorTitle="נתון לא חוקי" error="יש לוודא כי הוזן שם כתב העת_x000a__x000a_יש להזין 0 או 1 בהתאם לעמידה בתנאי" sqref="N11:O50 Q11:Q50 AF11:AF50 E11:L50 AI11:AI50 AC11:AC50" xr:uid="{7223BDF0-65CE-4685-ABD1-7A844FDEB4E3}">
      <formula1>$BE11:$BF11</formula1>
    </dataValidation>
    <dataValidation errorStyle="warning" operator="greaterThanOrEqual" allowBlank="1" showInputMessage="1" showErrorMessage="1" errorTitle="נתון לא חוקי" error="יש לוודא כי הוזן שם כתב העת_x000a__x000a_יש להזין 0 או 1 בהתאם לעמידה בתנאי" sqref="Z11:AB50 AJ11:AJ50 AD11:AG50" xr:uid="{2849ACDF-8CDB-41C7-A0A6-9C2D75BEC3D0}"/>
    <dataValidation type="list" errorStyle="warning" operator="greaterThanOrEqual" allowBlank="1" showInputMessage="1" showErrorMessage="1" errorTitle="נתון לא חוקי" error="יש לוודא כי הוזן שם כתב העת_x000a__x000a_יש להזין 0 או 1 בהתאם לעמידה בתנאי" sqref="AK11:AK50" xr:uid="{F42C1EE3-409B-44CB-9CB8-15FFA490E46F}">
      <formula1>"0,1"</formula1>
    </dataValidation>
    <dataValidation type="custom" errorStyle="warning" operator="greaterThanOrEqual" allowBlank="1" showInputMessage="1" showErrorMessage="1" errorTitle="נתון לא חוקי" error="יש לוודא כי הוזן שם כתב העת_x000a__x000a_יש להזין מספר שלם וחיובי של חוברות" sqref="R11:V50" xr:uid="{80096B9C-29CA-4B12-8F1A-72B1E9F2B695}">
      <formula1>AP11</formula1>
    </dataValidation>
    <dataValidation type="custom" errorStyle="warning" operator="greaterThanOrEqual" allowBlank="1" showInputMessage="1" showErrorMessage="1" errorTitle="נתון לא חוקי" error="יש לוודא כי הוזן שם כתב העת_x000a__x000a_יש להזין מספר שלם וחיובי של חוברות" sqref="AE11:AE50" xr:uid="{209CB973-6540-43C7-A3FE-6DA6E0738E8C}">
      <formula1>AU11</formula1>
    </dataValidation>
  </dataValidations>
  <pageMargins left="0.27559055118110237" right="0.19685039370078741" top="0.51181102362204722" bottom="0.39370078740157483" header="0.15748031496062992" footer="0.19685039370078741"/>
  <pageSetup paperSize="9" scale="60" fitToHeight="0" orientation="landscape"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&amp;L&amp;"Arial,מודגש"&amp;12א. חפץ ושות'
יעוץ כלכלי&amp;Cעמוד &amp;P מתוך &amp;N&amp;R&amp;A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גיליון3">
    <tabColor indexed="46"/>
    <pageSetUpPr fitToPage="1"/>
  </sheetPr>
  <dimension ref="A1:G52"/>
  <sheetViews>
    <sheetView rightToLeft="1" view="pageBreakPreview" zoomScaleNormal="100" zoomScaleSheetLayoutView="100" workbookViewId="0"/>
  </sheetViews>
  <sheetFormatPr defaultColWidth="9.140625" defaultRowHeight="12.75" x14ac:dyDescent="0.2"/>
  <cols>
    <col min="1" max="1" width="12.140625" customWidth="1"/>
    <col min="2" max="2" width="32.42578125" customWidth="1"/>
    <col min="3" max="3" width="20.140625" customWidth="1"/>
    <col min="4" max="4" width="16.140625" customWidth="1"/>
    <col min="5" max="5" width="14.7109375" customWidth="1"/>
    <col min="6" max="6" width="14.42578125" hidden="1" customWidth="1"/>
    <col min="7" max="7" width="5.5703125" hidden="1" customWidth="1"/>
    <col min="8" max="9" width="0" hidden="1" customWidth="1"/>
  </cols>
  <sheetData>
    <row r="1" spans="1:7" ht="17.25" thickTop="1" thickBot="1" x14ac:dyDescent="0.3">
      <c r="B1" s="584" t="str">
        <f>פרמטרים!E23</f>
        <v>מכפיל סיווג כתב העת</v>
      </c>
      <c r="C1" s="585"/>
      <c r="D1" s="19" t="str">
        <f>פרמטרים!B1</f>
        <v>שנת התקציב</v>
      </c>
      <c r="E1" s="10">
        <f>פרמטרים!C1</f>
        <v>2025</v>
      </c>
    </row>
    <row r="2" spans="1:7" ht="18.75" thickBot="1" x14ac:dyDescent="0.25">
      <c r="B2" s="71" t="str">
        <f>פרמטרים!E24</f>
        <v>קבוצה</v>
      </c>
      <c r="C2" s="72" t="str">
        <f>פרמטרים!F24</f>
        <v>מכפיל ניקוד</v>
      </c>
      <c r="D2" s="20" t="str">
        <f>פרמטרים!B2</f>
        <v>תקציב</v>
      </c>
      <c r="E2" s="9">
        <f>פרמטרים!C2</f>
        <v>1906914</v>
      </c>
    </row>
    <row r="3" spans="1:7" ht="16.5" thickTop="1" x14ac:dyDescent="0.25">
      <c r="B3" s="82" t="str">
        <f>פרמטרים!E25</f>
        <v>רמה אמנותית נאותה</v>
      </c>
      <c r="C3" s="83">
        <f>פרמטרים!F25</f>
        <v>1</v>
      </c>
      <c r="F3" s="152" t="s">
        <v>129</v>
      </c>
      <c r="G3" s="153">
        <f>C4</f>
        <v>1.075</v>
      </c>
    </row>
    <row r="4" spans="1:7" ht="15.75" x14ac:dyDescent="0.25">
      <c r="B4" s="82" t="str">
        <f>פרמטרים!E26</f>
        <v>רמה אמנותית גבוהה</v>
      </c>
      <c r="C4" s="149">
        <f>פרמטרים!F26</f>
        <v>1.075</v>
      </c>
      <c r="F4" s="152" t="s">
        <v>130</v>
      </c>
      <c r="G4" s="153">
        <f>C3</f>
        <v>1</v>
      </c>
    </row>
    <row r="5" spans="1:7" ht="31.5" x14ac:dyDescent="0.25">
      <c r="B5" s="82" t="str">
        <f>פרמטרים!E27</f>
        <v>רמה אמנותית גבוהה ובעלת תרומה משמעותית</v>
      </c>
      <c r="C5" s="346">
        <f>פרמטרים!F27</f>
        <v>1.1499999999999999</v>
      </c>
      <c r="F5" s="152" t="s">
        <v>131</v>
      </c>
      <c r="G5" s="153">
        <f>C5</f>
        <v>1.1499999999999999</v>
      </c>
    </row>
    <row r="6" spans="1:7" ht="16.5" thickBot="1" x14ac:dyDescent="0.3">
      <c r="B6" s="163"/>
      <c r="C6" s="164"/>
      <c r="F6" s="152"/>
      <c r="G6" s="153"/>
    </row>
    <row r="7" spans="1:7" ht="15.75" hidden="1" x14ac:dyDescent="0.25">
      <c r="B7" s="163"/>
      <c r="C7" s="164"/>
      <c r="F7" s="152"/>
      <c r="G7" s="153"/>
    </row>
    <row r="8" spans="1:7" ht="16.5" hidden="1" thickBot="1" x14ac:dyDescent="0.3">
      <c r="B8" s="163"/>
      <c r="C8" s="164"/>
      <c r="F8" s="152"/>
      <c r="G8" s="153"/>
    </row>
    <row r="9" spans="1:7" ht="17.25" thickTop="1" thickBot="1" x14ac:dyDescent="0.3">
      <c r="A9" s="609" t="s">
        <v>55</v>
      </c>
      <c r="B9" s="610"/>
      <c r="C9" s="610"/>
      <c r="D9" s="610"/>
      <c r="E9" s="610"/>
      <c r="F9" s="611"/>
    </row>
    <row r="10" spans="1:7" ht="66" customHeight="1" thickTop="1" thickBot="1" x14ac:dyDescent="0.25">
      <c r="A10" s="3" t="str">
        <f>וותק!A5</f>
        <v>מספר סידורי</v>
      </c>
      <c r="B10" s="1" t="str">
        <f>וותק!B5</f>
        <v>שם כתב העת</v>
      </c>
      <c r="C10" s="1" t="s">
        <v>132</v>
      </c>
      <c r="D10" s="4" t="s">
        <v>57</v>
      </c>
    </row>
    <row r="11" spans="1:7" x14ac:dyDescent="0.2">
      <c r="A11" s="21">
        <f>'היקף החוברות'!A11</f>
        <v>1</v>
      </c>
      <c r="B11" s="30" t="str">
        <f ca="1">IF('תנאי סף'!B11="","",'תנאי סף'!B11)</f>
        <v>1280 מעלות (אמנים יוצרים)</v>
      </c>
      <c r="C11" s="34" t="s">
        <v>131</v>
      </c>
      <c r="D11" s="154">
        <f t="shared" ref="D11:D50" si="0">IF(C11="","",VLOOKUP(C11,$F$3:$G$5,2))</f>
        <v>1.1499999999999999</v>
      </c>
      <c r="F11" s="152"/>
    </row>
    <row r="12" spans="1:7" x14ac:dyDescent="0.2">
      <c r="A12" s="24">
        <f>'היקף החוברות'!A12</f>
        <v>2</v>
      </c>
      <c r="B12" s="30" t="str">
        <f ca="1">IF('תנאי סף'!B12="","",'תנאי סף'!B12)</f>
        <v>יהי (אורי צבי גרינברג)</v>
      </c>
      <c r="C12" s="34" t="s">
        <v>131</v>
      </c>
      <c r="D12" s="154">
        <f t="shared" ref="D12:D14" si="1">IF(C12="","",VLOOKUP(C12,$F$3:$G$5,2))</f>
        <v>1.1499999999999999</v>
      </c>
    </row>
    <row r="13" spans="1:7" x14ac:dyDescent="0.2">
      <c r="A13" s="24">
        <f>'היקף החוברות'!A13</f>
        <v>3</v>
      </c>
      <c r="B13" s="30" t="str">
        <f ca="1">IF('תנאי סף'!B13="","",'תנאי סף'!B13)</f>
        <v/>
      </c>
      <c r="C13" s="34"/>
      <c r="D13" s="154" t="str">
        <f t="shared" si="1"/>
        <v/>
      </c>
    </row>
    <row r="14" spans="1:7" x14ac:dyDescent="0.2">
      <c r="A14" s="24">
        <f>'היקף החוברות'!A14</f>
        <v>4</v>
      </c>
      <c r="B14" s="30" t="str">
        <f ca="1">IF('תנאי סף'!B14="","",'תנאי סף'!B14)</f>
        <v>דעות (ברית נאמני תורה ועבודה)</v>
      </c>
      <c r="C14" s="34" t="s">
        <v>131</v>
      </c>
      <c r="D14" s="154">
        <f t="shared" si="1"/>
        <v>1.1499999999999999</v>
      </c>
    </row>
    <row r="15" spans="1:7" x14ac:dyDescent="0.2">
      <c r="A15" s="24">
        <f>'היקף החוברות'!A15</f>
        <v>5</v>
      </c>
      <c r="B15" s="30" t="str">
        <f ca="1">IF('תנאי סף'!B15="","",'תנאי סף'!B15)</f>
        <v>הליקון</v>
      </c>
      <c r="C15" s="34" t="s">
        <v>131</v>
      </c>
      <c r="D15" s="154">
        <f t="shared" si="0"/>
        <v>1.1499999999999999</v>
      </c>
    </row>
    <row r="16" spans="1:7" x14ac:dyDescent="0.2">
      <c r="A16" s="24">
        <f>'היקף החוברות'!A16</f>
        <v>6</v>
      </c>
      <c r="B16" s="30" t="str">
        <f ca="1">IF('תנאי סף'!B16="","",'תנאי סף'!B16)</f>
        <v/>
      </c>
      <c r="C16" s="34"/>
      <c r="D16" s="154" t="str">
        <f t="shared" si="0"/>
        <v/>
      </c>
    </row>
    <row r="17" spans="1:4" x14ac:dyDescent="0.2">
      <c r="A17" s="24">
        <f>'היקף החוברות'!A17</f>
        <v>7</v>
      </c>
      <c r="B17" s="30" t="str">
        <f ca="1">IF('תנאי סף'!B17="","",'תנאי סף'!B17)</f>
        <v/>
      </c>
      <c r="C17" s="34"/>
      <c r="D17" s="154" t="str">
        <f t="shared" si="0"/>
        <v/>
      </c>
    </row>
    <row r="18" spans="1:4" x14ac:dyDescent="0.2">
      <c r="A18" s="24">
        <f>'היקף החוברות'!A18</f>
        <v>8</v>
      </c>
      <c r="B18" s="30" t="str">
        <f ca="1">IF('תנאי סף'!B18="","",'תנאי סף'!B18)</f>
        <v>ננפואטיקה (עמותת מקום לשירה)</v>
      </c>
      <c r="C18" s="34" t="s">
        <v>131</v>
      </c>
      <c r="D18" s="154">
        <f t="shared" si="0"/>
        <v>1.1499999999999999</v>
      </c>
    </row>
    <row r="19" spans="1:4" x14ac:dyDescent="0.2">
      <c r="A19" s="24">
        <f>'היקף החוברות'!A19</f>
        <v>9</v>
      </c>
      <c r="B19" s="30" t="str">
        <f ca="1">IF('תנאי סף'!B19="","",'תנאי סף'!B19)</f>
        <v>מאזניים (אגודת הסופרים העבריים)</v>
      </c>
      <c r="C19" s="34" t="s">
        <v>131</v>
      </c>
      <c r="D19" s="154">
        <f t="shared" si="0"/>
        <v>1.1499999999999999</v>
      </c>
    </row>
    <row r="20" spans="1:4" x14ac:dyDescent="0.2">
      <c r="A20" s="24">
        <f>'היקף החוברות'!A20</f>
        <v>10</v>
      </c>
      <c r="B20" s="30" t="str">
        <f ca="1">IF('תנאי סף'!B20="","",'תנאי סף'!B20)</f>
        <v>משיב הרוח</v>
      </c>
      <c r="C20" s="34" t="s">
        <v>131</v>
      </c>
      <c r="D20" s="154">
        <f t="shared" si="0"/>
        <v>1.1499999999999999</v>
      </c>
    </row>
    <row r="21" spans="1:4" x14ac:dyDescent="0.2">
      <c r="A21" s="24">
        <f>'היקף החוברות'!A21</f>
        <v>11</v>
      </c>
      <c r="B21" s="30" t="str">
        <f ca="1">IF('תנאי סף'!B21="","",'תנאי סף'!B21)</f>
        <v>עמדה (עמותת מונטן)</v>
      </c>
      <c r="C21" s="34" t="s">
        <v>129</v>
      </c>
      <c r="D21" s="154">
        <f t="shared" si="0"/>
        <v>1.075</v>
      </c>
    </row>
    <row r="22" spans="1:4" x14ac:dyDescent="0.2">
      <c r="A22" s="24">
        <f>'היקף החוברות'!A22</f>
        <v>12</v>
      </c>
      <c r="B22" s="30" t="str">
        <f ca="1">IF('תנאי סף'!B22="","",'תנאי סף'!B22)</f>
        <v>עתון 77 (אגודת סופרים ואמנים)</v>
      </c>
      <c r="C22" s="34" t="s">
        <v>129</v>
      </c>
      <c r="D22" s="154">
        <f t="shared" si="0"/>
        <v>1.075</v>
      </c>
    </row>
    <row r="23" spans="1:4" x14ac:dyDescent="0.2">
      <c r="A23" s="24">
        <f>'היקף החוברות'!A23</f>
        <v>13</v>
      </c>
      <c r="B23" s="30" t="str">
        <f ca="1">IF('תנאי סף'!B23="","",'תנאי סף'!B23)</f>
        <v/>
      </c>
      <c r="C23" s="34"/>
      <c r="D23" s="154" t="str">
        <f t="shared" si="0"/>
        <v/>
      </c>
    </row>
    <row r="24" spans="1:4" x14ac:dyDescent="0.2">
      <c r="A24" s="24">
        <f>'היקף החוברות'!A24</f>
        <v>14</v>
      </c>
      <c r="B24" s="30" t="str">
        <f ca="1">IF('תנאי סף'!B24="","",'תנאי סף'!B24)</f>
        <v>פסיפס</v>
      </c>
      <c r="C24" s="34" t="s">
        <v>129</v>
      </c>
      <c r="D24" s="154">
        <f t="shared" si="0"/>
        <v>1.075</v>
      </c>
    </row>
    <row r="25" spans="1:4" x14ac:dyDescent="0.2">
      <c r="A25" s="24">
        <f>'היקף החוברות'!A25</f>
        <v>15</v>
      </c>
      <c r="B25" s="30" t="str">
        <f ca="1">IF('תנאי סף'!B25="","",'תנאי סף'!B25)</f>
        <v>קתרזיס ( עמותת מצרף)</v>
      </c>
      <c r="C25" s="34" t="s">
        <v>129</v>
      </c>
      <c r="D25" s="154">
        <f t="shared" si="0"/>
        <v>1.075</v>
      </c>
    </row>
    <row r="26" spans="1:4" x14ac:dyDescent="0.2">
      <c r="A26" s="24">
        <f>'היקף החוברות'!A26</f>
        <v>16</v>
      </c>
      <c r="B26" s="30" t="str">
        <f ca="1">IF('תנאי סף'!B26="","",'תנאי סף'!B26)</f>
        <v/>
      </c>
      <c r="C26" s="34"/>
      <c r="D26" s="154" t="str">
        <f t="shared" si="0"/>
        <v/>
      </c>
    </row>
    <row r="27" spans="1:4" x14ac:dyDescent="0.2">
      <c r="A27" s="24">
        <f>'היקף החוברות'!A27</f>
        <v>17</v>
      </c>
      <c r="B27" s="30" t="str">
        <f ca="1">IF('תנאי סף'!B27="","",'תנאי סף'!B27)</f>
        <v>הכיוון מזרח (עמותת אחותי)</v>
      </c>
      <c r="C27" s="34" t="s">
        <v>131</v>
      </c>
      <c r="D27" s="154">
        <f t="shared" si="0"/>
        <v>1.1499999999999999</v>
      </c>
    </row>
    <row r="28" spans="1:4" x14ac:dyDescent="0.2">
      <c r="A28" s="24">
        <f>'היקף החוברות'!A28</f>
        <v>18</v>
      </c>
      <c r="B28" s="30" t="str">
        <f ca="1">IF('תנאי סף'!B28="","",'תנאי סף'!B28)</f>
        <v/>
      </c>
      <c r="C28" s="34"/>
      <c r="D28" s="154" t="str">
        <f t="shared" si="0"/>
        <v/>
      </c>
    </row>
    <row r="29" spans="1:4" x14ac:dyDescent="0.2">
      <c r="A29" s="24">
        <f>'היקף החוברות'!A29</f>
        <v>19</v>
      </c>
      <c r="B29" s="30" t="str">
        <f ca="1">IF('תנאי סף'!B29="","",'תנאי סף'!B29)</f>
        <v>הו</v>
      </c>
      <c r="C29" s="34" t="s">
        <v>131</v>
      </c>
      <c r="D29" s="154">
        <f t="shared" si="0"/>
        <v>1.1499999999999999</v>
      </c>
    </row>
    <row r="30" spans="1:4" x14ac:dyDescent="0.2">
      <c r="A30" s="24">
        <f>'היקף החוברות'!A30</f>
        <v>20</v>
      </c>
      <c r="B30" s="30" t="str">
        <f ca="1">IF('תנאי סף'!B30="","",'תנאי סף'!B30)</f>
        <v>הבא להבא (עמותת מקום לשירה)</v>
      </c>
      <c r="C30" s="34" t="s">
        <v>131</v>
      </c>
      <c r="D30" s="154">
        <f t="shared" si="0"/>
        <v>1.1499999999999999</v>
      </c>
    </row>
    <row r="31" spans="1:4" x14ac:dyDescent="0.2">
      <c r="A31" s="24">
        <f>'היקף החוברות'!A31</f>
        <v>21</v>
      </c>
      <c r="B31" s="30" t="str">
        <f ca="1">IF('תנאי סף'!B31="","",'תנאי סף'!B31)</f>
        <v>היסטוריה (החברה ההיסטורית הישרא</v>
      </c>
      <c r="C31" s="34" t="s">
        <v>131</v>
      </c>
      <c r="D31" s="154">
        <f t="shared" si="0"/>
        <v>1.1499999999999999</v>
      </c>
    </row>
    <row r="32" spans="1:4" x14ac:dyDescent="0.2">
      <c r="A32" s="24">
        <f>'היקף החוברות'!A32</f>
        <v>22</v>
      </c>
      <c r="B32" s="30" t="str">
        <f ca="1">IF('תנאי סף'!B32="","",'תנאי סף'!B32)</f>
        <v>מחול עכשיו (תמונע)</v>
      </c>
      <c r="C32" s="34" t="s">
        <v>131</v>
      </c>
      <c r="D32" s="154">
        <f t="shared" si="0"/>
        <v>1.1499999999999999</v>
      </c>
    </row>
    <row r="33" spans="1:4" x14ac:dyDescent="0.2">
      <c r="A33" s="24">
        <f>'היקף החוברות'!A33</f>
        <v>23</v>
      </c>
      <c r="B33" s="30" t="str">
        <f ca="1">IF('תנאי סף'!B33="","",'תנאי סף'!B33)</f>
        <v>קול אישה שירה (תואר)</v>
      </c>
      <c r="C33" s="34" t="s">
        <v>130</v>
      </c>
      <c r="D33" s="154">
        <f t="shared" si="0"/>
        <v>1</v>
      </c>
    </row>
    <row r="34" spans="1:4" x14ac:dyDescent="0.2">
      <c r="A34" s="24">
        <f>'היקף החוברות'!A34</f>
        <v>24</v>
      </c>
      <c r="B34" s="30" t="str">
        <f ca="1">IF('תנאי סף'!B34="","",'תנאי סף'!B34)</f>
        <v>האיגוד העולמי למדעי היהדות</v>
      </c>
      <c r="C34" s="34" t="s">
        <v>131</v>
      </c>
      <c r="D34" s="154">
        <f t="shared" si="0"/>
        <v>1.1499999999999999</v>
      </c>
    </row>
    <row r="35" spans="1:4" x14ac:dyDescent="0.2">
      <c r="A35" s="24">
        <f>'היקף החוברות'!A35</f>
        <v>25</v>
      </c>
      <c r="B35" s="30" t="str">
        <f ca="1">IF('תנאי סף'!B35="","",'תנאי סף'!B35)</f>
        <v/>
      </c>
      <c r="C35" s="34"/>
      <c r="D35" s="154" t="str">
        <f t="shared" si="0"/>
        <v/>
      </c>
    </row>
    <row r="36" spans="1:4" x14ac:dyDescent="0.2">
      <c r="A36" s="24">
        <f>'היקף החוברות'!A36</f>
        <v>26</v>
      </c>
      <c r="B36" s="30" t="str">
        <f ca="1">IF('תנאי סף'!B36="","",'תנאי סף'!B36)</f>
        <v/>
      </c>
      <c r="C36" s="34"/>
      <c r="D36" s="154" t="str">
        <f t="shared" si="0"/>
        <v/>
      </c>
    </row>
    <row r="37" spans="1:4" x14ac:dyDescent="0.2">
      <c r="A37" s="24">
        <f>'היקף החוברות'!A37</f>
        <v>27</v>
      </c>
      <c r="B37" s="30" t="str">
        <f ca="1">IF('תנאי סף'!B37="","",'תנאי סף'!B37)</f>
        <v/>
      </c>
      <c r="C37" s="34"/>
      <c r="D37" s="154" t="str">
        <f t="shared" si="0"/>
        <v/>
      </c>
    </row>
    <row r="38" spans="1:4" x14ac:dyDescent="0.2">
      <c r="A38" s="24">
        <f>'היקף החוברות'!A38</f>
        <v>28</v>
      </c>
      <c r="B38" s="30" t="str">
        <f ca="1">IF('תנאי סף'!B38="","",'תנאי סף'!B38)</f>
        <v/>
      </c>
      <c r="C38" s="34"/>
      <c r="D38" s="154" t="str">
        <f t="shared" si="0"/>
        <v/>
      </c>
    </row>
    <row r="39" spans="1:4" x14ac:dyDescent="0.2">
      <c r="A39" s="24">
        <f>'היקף החוברות'!A39</f>
        <v>29</v>
      </c>
      <c r="B39" s="30" t="str">
        <f ca="1">IF('תנאי סף'!B39="","",'תנאי סף'!B39)</f>
        <v>גופא (נתיב האומן )</v>
      </c>
      <c r="C39" s="34" t="s">
        <v>130</v>
      </c>
      <c r="D39" s="154">
        <f t="shared" si="0"/>
        <v>1</v>
      </c>
    </row>
    <row r="40" spans="1:4" x14ac:dyDescent="0.2">
      <c r="A40" s="24">
        <f>'היקף החוברות'!A40</f>
        <v>30</v>
      </c>
      <c r="B40" s="30" t="str">
        <f ca="1">IF('תנאי סף'!B40="","",'תנאי סף'!B40)</f>
        <v>ערב רב (בר קיימא)</v>
      </c>
      <c r="C40" s="34" t="s">
        <v>129</v>
      </c>
      <c r="D40" s="154">
        <f t="shared" si="0"/>
        <v>1.075</v>
      </c>
    </row>
    <row r="41" spans="1:4" x14ac:dyDescent="0.2">
      <c r="A41" s="24">
        <f>'היקף החוברות'!A41</f>
        <v>31</v>
      </c>
      <c r="B41" s="30" t="str">
        <f ca="1">IF('תנאי סף'!B41="","",'תנאי סף'!B41)</f>
        <v/>
      </c>
      <c r="C41" s="34"/>
      <c r="D41" s="154" t="str">
        <f t="shared" si="0"/>
        <v/>
      </c>
    </row>
    <row r="42" spans="1:4" x14ac:dyDescent="0.2">
      <c r="A42" s="24">
        <f>'היקף החוברות'!A42</f>
        <v>32</v>
      </c>
      <c r="B42" s="30" t="str">
        <f ca="1">IF('תנאי סף'!B42="","",'תנאי סף'!B42)</f>
        <v>מעלה</v>
      </c>
      <c r="C42" s="34" t="s">
        <v>129</v>
      </c>
      <c r="D42" s="154">
        <f t="shared" si="0"/>
        <v>1.075</v>
      </c>
    </row>
    <row r="43" spans="1:4" x14ac:dyDescent="0.2">
      <c r="A43" s="24">
        <f>'היקף החוברות'!A43</f>
        <v>33</v>
      </c>
      <c r="B43" s="30" t="str">
        <f ca="1">IF('תנאי סף'!B43="","",'תנאי סף'!B43)</f>
        <v/>
      </c>
      <c r="C43" s="34"/>
      <c r="D43" s="154" t="str">
        <f t="shared" si="0"/>
        <v/>
      </c>
    </row>
    <row r="44" spans="1:4" x14ac:dyDescent="0.2">
      <c r="A44" s="24">
        <f>'היקף החוברות'!A44</f>
        <v>34</v>
      </c>
      <c r="B44" s="30" t="str">
        <f ca="1">IF('תנאי סף'!B44="","",'תנאי סף'!B44)</f>
        <v>כתב עת ירושלמי</v>
      </c>
      <c r="C44" s="34" t="s">
        <v>130</v>
      </c>
      <c r="D44" s="154">
        <f t="shared" si="0"/>
        <v>1</v>
      </c>
    </row>
    <row r="45" spans="1:4" x14ac:dyDescent="0.2">
      <c r="A45" s="24">
        <f>'היקף החוברות'!A45</f>
        <v>35</v>
      </c>
      <c r="B45" s="30" t="str">
        <f ca="1">IF('תנאי סף'!B45="","",'תנאי סף'!B45)</f>
        <v/>
      </c>
      <c r="C45" s="34"/>
      <c r="D45" s="154" t="str">
        <f t="shared" si="0"/>
        <v/>
      </c>
    </row>
    <row r="46" spans="1:4" x14ac:dyDescent="0.2">
      <c r="A46" s="24">
        <f>'היקף החוברות'!A46</f>
        <v>36</v>
      </c>
      <c r="B46" s="30" t="str">
        <f ca="1">IF('תנאי סף'!B46="","",'תנאי סף'!B46)</f>
        <v>העמותה ליצירה פנטסטית- אוטופיה</v>
      </c>
      <c r="C46" s="34" t="s">
        <v>130</v>
      </c>
      <c r="D46" s="154">
        <f t="shared" si="0"/>
        <v>1</v>
      </c>
    </row>
    <row r="47" spans="1:4" x14ac:dyDescent="0.2">
      <c r="A47" s="24">
        <f>'היקף החוברות'!A47</f>
        <v>37</v>
      </c>
      <c r="B47" s="30" t="str">
        <f ca="1">IF('תנאי סף'!B47="","",'תנאי סף'!B47)</f>
        <v/>
      </c>
      <c r="C47" s="34"/>
      <c r="D47" s="154" t="str">
        <f t="shared" si="0"/>
        <v/>
      </c>
    </row>
    <row r="48" spans="1:4" x14ac:dyDescent="0.2">
      <c r="A48" s="24">
        <f>'היקף החוברות'!A48</f>
        <v>38</v>
      </c>
      <c r="B48" s="30" t="str">
        <f ca="1">IF('תנאי סף'!B48="","",'תנאי סף'!B48)</f>
        <v/>
      </c>
      <c r="C48" s="34"/>
      <c r="D48" s="154" t="str">
        <f t="shared" si="0"/>
        <v/>
      </c>
    </row>
    <row r="49" spans="1:4" x14ac:dyDescent="0.2">
      <c r="A49" s="24">
        <f>'היקף החוברות'!A49</f>
        <v>39</v>
      </c>
      <c r="B49" s="30" t="str">
        <f ca="1">IF('תנאי סף'!B49="","",'תנאי סף'!B49)</f>
        <v/>
      </c>
      <c r="C49" s="34"/>
      <c r="D49" s="154" t="str">
        <f t="shared" si="0"/>
        <v/>
      </c>
    </row>
    <row r="50" spans="1:4" ht="13.5" thickBot="1" x14ac:dyDescent="0.25">
      <c r="A50" s="24">
        <f>'היקף החוברות'!A50</f>
        <v>40</v>
      </c>
      <c r="B50" s="30" t="str">
        <f ca="1">IF('תנאי סף'!B50="","",'תנאי סף'!B50)</f>
        <v/>
      </c>
      <c r="C50" s="34"/>
      <c r="D50" s="154" t="str">
        <f t="shared" si="0"/>
        <v/>
      </c>
    </row>
    <row r="51" spans="1:4" ht="14.25" thickTop="1" thickBot="1" x14ac:dyDescent="0.25">
      <c r="A51" s="150"/>
      <c r="B51" s="151"/>
      <c r="C51" s="139"/>
      <c r="D51" s="14"/>
    </row>
    <row r="52" spans="1:4" ht="13.5" thickTop="1" x14ac:dyDescent="0.2"/>
  </sheetData>
  <sheetProtection algorithmName="SHA-512" hashValue="W26pIYC7A3wqoe6WqOzsbMdjlZb+ryAPtAx+cf9e8z1zMSb2AHYaJFX6p/vrzHTZUvaaQk1d3hKBdq6sySQYOQ==" saltValue="QPyHgsSalCiT0AG8z0ifVQ==" spinCount="100000" sheet="1" scenarios="1" formatColumns="0" formatRows="0"/>
  <mergeCells count="2">
    <mergeCell ref="B1:C1"/>
    <mergeCell ref="A9:F9"/>
  </mergeCells>
  <dataValidations count="1">
    <dataValidation type="list" operator="greaterThanOrEqual" allowBlank="1" showInputMessage="1" showErrorMessage="1" errorTitle="נתון לא חוקי" error="יש לוודא כי הוזן שם כתב העת_x000a__x000a_יש להזין מספר שלם 1 או 0" sqref="C11:C50" xr:uid="{00000000-0002-0000-0400-000001000000}">
      <formula1>$F$3:$F$5</formula1>
    </dataValidation>
  </dataValidations>
  <pageMargins left="0.27559055118110237" right="0.19685039370078741" top="0.51181102362204722" bottom="0.39370078740157483" header="0.15748031496062992" footer="0.19685039370078741"/>
  <pageSetup paperSize="9" scale="74" orientation="landscape" horizontalDpi="1200"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&amp;L&amp;"Arial,מודגש"&amp;12א. חפץ ושות'
יעוץ כלכלי&amp;Cעמוד &amp;P מתוך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46"/>
    <pageSetUpPr fitToPage="1"/>
  </sheetPr>
  <dimension ref="A1:K53"/>
  <sheetViews>
    <sheetView rightToLeft="1" view="pageBreakPreview" zoomScale="90" zoomScaleNormal="100" zoomScaleSheetLayoutView="90" workbookViewId="0">
      <selection sqref="A1:D1"/>
    </sheetView>
  </sheetViews>
  <sheetFormatPr defaultColWidth="9.140625" defaultRowHeight="12.75" outlineLevelRow="1" x14ac:dyDescent="0.2"/>
  <cols>
    <col min="1" max="1" width="12.85546875" bestFit="1" customWidth="1"/>
    <col min="2" max="2" width="34" bestFit="1" customWidth="1"/>
    <col min="3" max="6" width="15.7109375" customWidth="1"/>
    <col min="7" max="9" width="15.7109375" hidden="1" customWidth="1"/>
    <col min="10" max="11" width="15.5703125" hidden="1" customWidth="1"/>
    <col min="12" max="12" width="10.5703125" customWidth="1"/>
    <col min="13" max="13" width="9.42578125" customWidth="1"/>
    <col min="14" max="15" width="5.42578125" customWidth="1"/>
    <col min="16" max="16" width="5.28515625" customWidth="1"/>
    <col min="17" max="20" width="5.5703125" customWidth="1"/>
    <col min="21" max="25" width="2.42578125" customWidth="1"/>
  </cols>
  <sheetData>
    <row r="1" spans="1:6" ht="16.5" outlineLevel="1" thickBot="1" x14ac:dyDescent="0.3">
      <c r="A1" s="612">
        <f>פרמטרים!A5</f>
        <v>6</v>
      </c>
      <c r="B1" s="613"/>
      <c r="C1" s="613"/>
      <c r="D1" s="614"/>
    </row>
    <row r="2" spans="1:6" ht="15.75" outlineLevel="1" x14ac:dyDescent="0.2">
      <c r="A2" s="603" t="str">
        <f>פרמטרים!A6</f>
        <v>סימול</v>
      </c>
      <c r="B2" s="615" t="str">
        <f>פרמטרים!B6</f>
        <v>מספר העמודים</v>
      </c>
      <c r="C2" s="616"/>
      <c r="D2" s="605" t="str">
        <f>פרמטרים!D6</f>
        <v>ניקוד</v>
      </c>
    </row>
    <row r="3" spans="1:6" ht="16.5" outlineLevel="1" thickBot="1" x14ac:dyDescent="0.25">
      <c r="A3" s="604">
        <f>פרמטרים!A7</f>
        <v>0</v>
      </c>
      <c r="B3" s="45" t="str">
        <f>פרמטרים!B7</f>
        <v>מ-</v>
      </c>
      <c r="C3" s="45" t="str">
        <f>פרמטרים!C7</f>
        <v xml:space="preserve">עד - </v>
      </c>
      <c r="D3" s="606">
        <f>פרמטרים!D7</f>
        <v>0</v>
      </c>
    </row>
    <row r="4" spans="1:6" ht="15.75" outlineLevel="1" x14ac:dyDescent="0.25">
      <c r="A4" s="93" t="str">
        <f>פרמטרים!A8</f>
        <v>א'</v>
      </c>
      <c r="B4" s="94">
        <f>פרמטרים!B8</f>
        <v>32</v>
      </c>
      <c r="C4" s="95">
        <f>פרמטרים!C8</f>
        <v>47</v>
      </c>
      <c r="D4" s="96">
        <f>פרמטרים!D8</f>
        <v>1</v>
      </c>
    </row>
    <row r="5" spans="1:6" ht="15.75" outlineLevel="1" x14ac:dyDescent="0.25">
      <c r="A5" s="97" t="str">
        <f>פרמטרים!A9</f>
        <v>ב'</v>
      </c>
      <c r="B5" s="98">
        <f>פרמטרים!B9</f>
        <v>48</v>
      </c>
      <c r="C5" s="99">
        <f>פרמטרים!C9</f>
        <v>63</v>
      </c>
      <c r="D5" s="100">
        <f>פרמטרים!D9</f>
        <v>2</v>
      </c>
    </row>
    <row r="6" spans="1:6" ht="15.75" outlineLevel="1" x14ac:dyDescent="0.25">
      <c r="A6" s="97" t="str">
        <f>פרמטרים!A10</f>
        <v>ג'</v>
      </c>
      <c r="B6" s="98">
        <f>פרמטרים!B10</f>
        <v>64</v>
      </c>
      <c r="C6" s="99">
        <f>פרמטרים!C10</f>
        <v>79</v>
      </c>
      <c r="D6" s="100">
        <f>פרמטרים!D10</f>
        <v>3</v>
      </c>
    </row>
    <row r="7" spans="1:6" ht="15.75" outlineLevel="1" x14ac:dyDescent="0.25">
      <c r="A7" s="97" t="str">
        <f>פרמטרים!A11</f>
        <v>ד'</v>
      </c>
      <c r="B7" s="98">
        <f>פרמטרים!B11</f>
        <v>80</v>
      </c>
      <c r="C7" s="99">
        <f>פרמטרים!C11</f>
        <v>95</v>
      </c>
      <c r="D7" s="100">
        <f>פרמטרים!D11</f>
        <v>4</v>
      </c>
    </row>
    <row r="8" spans="1:6" ht="16.5" outlineLevel="1" thickBot="1" x14ac:dyDescent="0.3">
      <c r="A8" s="101" t="str">
        <f>פרמטרים!A12</f>
        <v>ה'</v>
      </c>
      <c r="B8" s="102">
        <f>פרמטרים!B12</f>
        <v>96</v>
      </c>
      <c r="C8" s="103">
        <f>פרמטרים!C12</f>
        <v>1000000</v>
      </c>
      <c r="D8" s="104">
        <f>פרמטרים!D12</f>
        <v>5</v>
      </c>
    </row>
    <row r="9" spans="1:6" ht="17.25" thickTop="1" thickBot="1" x14ac:dyDescent="0.3">
      <c r="A9" s="609" t="str">
        <f ca="1">"שיעור יחסי במשתנה "&amp;MID(CELL("filename",A9),FIND("]",CELL("filename",A9),1)+1,99)</f>
        <v>שיעור יחסי במשתנה היקף החוברות</v>
      </c>
      <c r="B9" s="610"/>
      <c r="C9" s="610"/>
      <c r="D9" s="610"/>
      <c r="E9" s="610"/>
      <c r="F9" s="610"/>
    </row>
    <row r="10" spans="1:6" ht="52.15" customHeight="1" thickTop="1" thickBot="1" x14ac:dyDescent="0.25">
      <c r="A10" s="3" t="s">
        <v>102</v>
      </c>
      <c r="B10" s="1" t="s">
        <v>103</v>
      </c>
      <c r="C10" s="1" t="s">
        <v>403</v>
      </c>
      <c r="D10" s="1" t="s">
        <v>133</v>
      </c>
      <c r="E10" s="1" t="str">
        <f ca="1">"ניקוד "&amp;MID(CELL("filename",A9),FIND("]",CELL("filename",A9),1)+1,99)</f>
        <v>ניקוד היקף החוברות</v>
      </c>
      <c r="F10" s="4" t="s">
        <v>122</v>
      </c>
    </row>
    <row r="11" spans="1:6" x14ac:dyDescent="0.2">
      <c r="A11" s="21">
        <v>1</v>
      </c>
      <c r="B11" s="30" t="str">
        <f ca="1">IF('תנאי סף'!AL11&lt;&gt;1,"",'תנאי סף'!B11)</f>
        <v>1280 מעלות (אמנים יוצרים)</v>
      </c>
      <c r="C11" s="196" cm="1">
        <f t="array" aca="1" ref="C11" ca="1">IF($B11="","",SUMPRODUCT((INDIRECT("'"&amp;SUBSTITUTE($B11,"'","''")&amp;"'"&amp;"!L2:P2")),TRANSPOSE($D$4:$D$8)))</f>
        <v>7</v>
      </c>
      <c r="D11" s="412">
        <f>סיווג!D11</f>
        <v>1.1499999999999999</v>
      </c>
      <c r="E11" s="514">
        <f ca="1">IF(OR(B11="",B11=0,'תנאי סף'!AT11&lt;&gt;1,'תנאי סף'!AL11&lt;&gt;1),"",D11*C11)</f>
        <v>8.0499999999999989</v>
      </c>
      <c r="F11" s="23">
        <f t="shared" ref="F11:F31" ca="1" si="0">IF(ISERR(E11/$E$51),"",E11/$E$51)</f>
        <v>2.9914529914529909E-2</v>
      </c>
    </row>
    <row r="12" spans="1:6" x14ac:dyDescent="0.2">
      <c r="A12" s="24">
        <f t="shared" ref="A12:A50" si="1">A11+1</f>
        <v>2</v>
      </c>
      <c r="B12" s="30" t="str">
        <f ca="1">IF('תנאי סף'!AL12&lt;&gt;1,"",'תנאי סף'!B12)</f>
        <v>יהי (אורי צבי גרינברג)</v>
      </c>
      <c r="C12" s="196" cm="1">
        <f t="array" aca="1" ref="C12" ca="1">IF($B12="","",SUMPRODUCT((INDIRECT("'"&amp;SUBSTITUTE($B12,"'","''")&amp;"'"&amp;"!L2:P2")),TRANSPOSE($D$4:$D$8)))</f>
        <v>7</v>
      </c>
      <c r="D12" s="412">
        <f>סיווג!D12</f>
        <v>1.1499999999999999</v>
      </c>
      <c r="E12" s="514">
        <f ca="1">IF(OR(B12="",B12=0,'תנאי סף'!AT12&lt;&gt;1,'תנאי סף'!AL12&lt;&gt;1),"",D12*C12)</f>
        <v>8.0499999999999989</v>
      </c>
      <c r="F12" s="26">
        <f t="shared" ref="F12:F13" ca="1" si="2">IF(ISERR(E12/$E$51),"",E12/$E$51)</f>
        <v>2.9914529914529909E-2</v>
      </c>
    </row>
    <row r="13" spans="1:6" x14ac:dyDescent="0.2">
      <c r="A13" s="24">
        <f t="shared" si="1"/>
        <v>3</v>
      </c>
      <c r="B13" s="30" t="str">
        <f ca="1">IF('תנאי סף'!AL13&lt;&gt;1,"",'תנאי סף'!B13)</f>
        <v/>
      </c>
      <c r="C13" s="196" t="str" cm="1">
        <f t="array" aca="1" ref="C13" ca="1">IF($B13="","",SUMPRODUCT((INDIRECT("'"&amp;SUBSTITUTE($B13,"'","''")&amp;"'"&amp;"!L2:P2")),TRANSPOSE($D$4:$D$8)))</f>
        <v/>
      </c>
      <c r="D13" s="412" t="str">
        <f>סיווג!D13</f>
        <v/>
      </c>
      <c r="E13" s="514" t="str">
        <f ca="1">IF(OR(B13="",B13=0,'תנאי סף'!AT13&lt;&gt;1,'תנאי סף'!AL13&lt;&gt;1),"",D13*C13)</f>
        <v/>
      </c>
      <c r="F13" s="26" t="str">
        <f t="shared" ca="1" si="2"/>
        <v/>
      </c>
    </row>
    <row r="14" spans="1:6" x14ac:dyDescent="0.2">
      <c r="A14" s="24">
        <f t="shared" si="1"/>
        <v>4</v>
      </c>
      <c r="B14" s="30" t="str">
        <f ca="1">IF('תנאי סף'!AL14&lt;&gt;1,"",'תנאי סף'!B14)</f>
        <v>דעות (ברית נאמני תורה ועבודה)</v>
      </c>
      <c r="C14" s="196" cm="1">
        <f t="array" aca="1" ref="C14" ca="1">IF($B14="","",SUMPRODUCT((INDIRECT("'"&amp;SUBSTITUTE($B14,"'","''")&amp;"'"&amp;"!L2:P2")),TRANSPOSE($D$4:$D$8)))</f>
        <v>6</v>
      </c>
      <c r="D14" s="412">
        <f>סיווג!D14</f>
        <v>1.1499999999999999</v>
      </c>
      <c r="E14" s="514">
        <f ca="1">IF(OR(B14="",B14=0,'תנאי סף'!AT14&lt;&gt;1,'תנאי סף'!AL14&lt;&gt;1),"",D14*C14)</f>
        <v>6.8999999999999995</v>
      </c>
      <c r="F14" s="26">
        <f t="shared" ca="1" si="0"/>
        <v>2.5641025641025637E-2</v>
      </c>
    </row>
    <row r="15" spans="1:6" x14ac:dyDescent="0.2">
      <c r="A15" s="24">
        <f t="shared" si="1"/>
        <v>5</v>
      </c>
      <c r="B15" s="30" t="str">
        <f ca="1">IF('תנאי סף'!AL15&lt;&gt;1,"",'תנאי סף'!B15)</f>
        <v>הליקון</v>
      </c>
      <c r="C15" s="196" cm="1">
        <f t="array" aca="1" ref="C15" ca="1">IF($B15="","",SUMPRODUCT((INDIRECT("'"&amp;SUBSTITUTE($B15,"'","''")&amp;"'"&amp;"!L2:P2")),TRANSPOSE($D$4:$D$8)))</f>
        <v>15</v>
      </c>
      <c r="D15" s="412">
        <f>סיווג!D15</f>
        <v>1.1499999999999999</v>
      </c>
      <c r="E15" s="514">
        <f ca="1">IF(OR(B15="",B15=0,'תנאי סף'!AT15&lt;&gt;1,'תנאי סף'!AL15&lt;&gt;1),"",D15*C15)</f>
        <v>17.25</v>
      </c>
      <c r="F15" s="26">
        <f t="shared" ca="1" si="0"/>
        <v>6.4102564102564097E-2</v>
      </c>
    </row>
    <row r="16" spans="1:6" x14ac:dyDescent="0.2">
      <c r="A16" s="24">
        <f t="shared" si="1"/>
        <v>6</v>
      </c>
      <c r="B16" s="30" t="str">
        <f ca="1">IF('תנאי סף'!AL16&lt;&gt;1,"",'תנאי סף'!B16)</f>
        <v/>
      </c>
      <c r="C16" s="196" t="str" cm="1">
        <f t="array" aca="1" ref="C16" ca="1">IF($B16="","",SUMPRODUCT((INDIRECT("'"&amp;SUBSTITUTE($B16,"'","''")&amp;"'"&amp;"!L2:P2")),TRANSPOSE($D$4:$D$8)))</f>
        <v/>
      </c>
      <c r="D16" s="412" t="str">
        <f>סיווג!D16</f>
        <v/>
      </c>
      <c r="E16" s="514" t="str">
        <f ca="1">IF(OR(B16="",B16=0,'תנאי סף'!AT16&lt;&gt;1,'תנאי סף'!AL16&lt;&gt;1),"",D16*C16)</f>
        <v/>
      </c>
      <c r="F16" s="26" t="str">
        <f t="shared" ca="1" si="0"/>
        <v/>
      </c>
    </row>
    <row r="17" spans="1:6" x14ac:dyDescent="0.2">
      <c r="A17" s="24">
        <f t="shared" si="1"/>
        <v>7</v>
      </c>
      <c r="B17" s="30" t="str">
        <f ca="1">IF('תנאי סף'!AL17&lt;&gt;1,"",'תנאי סף'!B17)</f>
        <v/>
      </c>
      <c r="C17" s="196" t="str" cm="1">
        <f t="array" aca="1" ref="C17" ca="1">IF($B17="","",SUMPRODUCT((INDIRECT("'"&amp;SUBSTITUTE($B17,"'","''")&amp;"'"&amp;"!L2:P2")),TRANSPOSE($D$4:$D$8)))</f>
        <v/>
      </c>
      <c r="D17" s="412" t="str">
        <f>סיווג!D17</f>
        <v/>
      </c>
      <c r="E17" s="514" t="str">
        <f ca="1">IF(OR(B17="",B17=0,'תנאי סף'!AT17&lt;&gt;1,'תנאי סף'!AL17&lt;&gt;1),"",D17*C17)</f>
        <v/>
      </c>
      <c r="F17" s="26" t="str">
        <f t="shared" ca="1" si="0"/>
        <v/>
      </c>
    </row>
    <row r="18" spans="1:6" x14ac:dyDescent="0.2">
      <c r="A18" s="24">
        <f t="shared" si="1"/>
        <v>8</v>
      </c>
      <c r="B18" s="30" t="str">
        <f ca="1">IF('תנאי סף'!AL18&lt;&gt;1,"",'תנאי סף'!B18)</f>
        <v>ננפואטיקה (עמותת מקום לשירה)</v>
      </c>
      <c r="C18" s="196" cm="1">
        <f t="array" aca="1" ref="C18" ca="1">IF($B18="","",SUMPRODUCT((INDIRECT("'"&amp;SUBSTITUTE($B18,"'","''")&amp;"'"&amp;"!L2:P2")),TRANSPOSE($D$4:$D$8)))</f>
        <v>25</v>
      </c>
      <c r="D18" s="412">
        <f>סיווג!D18</f>
        <v>1.1499999999999999</v>
      </c>
      <c r="E18" s="514">
        <f ca="1">IF(OR(B18="",B18=0,'תנאי סף'!AT18&lt;&gt;1,'תנאי סף'!AL18&lt;&gt;1),"",D18*C18)</f>
        <v>28.749999999999996</v>
      </c>
      <c r="F18" s="26">
        <f t="shared" ca="1" si="0"/>
        <v>0.10683760683760682</v>
      </c>
    </row>
    <row r="19" spans="1:6" x14ac:dyDescent="0.2">
      <c r="A19" s="24">
        <f t="shared" si="1"/>
        <v>9</v>
      </c>
      <c r="B19" s="30" t="str">
        <f ca="1">IF('תנאי סף'!AL19&lt;&gt;1,"",'תנאי סף'!B19)</f>
        <v>מאזניים (אגודת הסופרים העבריים)</v>
      </c>
      <c r="C19" s="196" cm="1">
        <f t="array" aca="1" ref="C19" ca="1">IF($B19="","",SUMPRODUCT((INDIRECT("'"&amp;SUBSTITUTE($B19,"'","''")&amp;"'"&amp;"!L2:P2")),TRANSPOSE($D$4:$D$8)))</f>
        <v>25</v>
      </c>
      <c r="D19" s="412">
        <f>סיווג!D19</f>
        <v>1.1499999999999999</v>
      </c>
      <c r="E19" s="514">
        <f ca="1">IF(OR(B19="",B19=0,'תנאי סף'!AT19&lt;&gt;1,'תנאי סף'!AL19&lt;&gt;1),"",D19*C19)</f>
        <v>28.749999999999996</v>
      </c>
      <c r="F19" s="26">
        <f t="shared" ca="1" si="0"/>
        <v>0.10683760683760682</v>
      </c>
    </row>
    <row r="20" spans="1:6" x14ac:dyDescent="0.2">
      <c r="A20" s="24">
        <f t="shared" si="1"/>
        <v>10</v>
      </c>
      <c r="B20" s="30" t="str">
        <f ca="1">IF('תנאי סף'!AL20&lt;&gt;1,"",'תנאי סף'!B20)</f>
        <v>משיב הרוח</v>
      </c>
      <c r="C20" s="196" cm="1">
        <f t="array" aca="1" ref="C20" ca="1">IF($B20="","",SUMPRODUCT((INDIRECT("'"&amp;SUBSTITUTE($B20,"'","''")&amp;"'"&amp;"!L2:P2")),TRANSPOSE($D$4:$D$8)))</f>
        <v>22</v>
      </c>
      <c r="D20" s="412">
        <f>סיווג!D20</f>
        <v>1.1499999999999999</v>
      </c>
      <c r="E20" s="514">
        <f ca="1">IF(OR(B20="",B20=0,'תנאי סף'!AT20&lt;&gt;1,'תנאי סף'!AL20&lt;&gt;1),"",D20*C20)</f>
        <v>25.299999999999997</v>
      </c>
      <c r="F20" s="26">
        <f t="shared" ca="1" si="0"/>
        <v>9.4017094017094002E-2</v>
      </c>
    </row>
    <row r="21" spans="1:6" x14ac:dyDescent="0.2">
      <c r="A21" s="24">
        <f t="shared" si="1"/>
        <v>11</v>
      </c>
      <c r="B21" s="30" t="str">
        <f ca="1">IF('תנאי סף'!AL21&lt;&gt;1,"",'תנאי סף'!B21)</f>
        <v>עמדה (עמותת מונטן)</v>
      </c>
      <c r="C21" s="196" cm="1">
        <f t="array" aca="1" ref="C21" ca="1">IF($B21="","",SUMPRODUCT((INDIRECT("'"&amp;SUBSTITUTE($B21,"'","''")&amp;"'"&amp;"!L2:P2")),TRANSPOSE($D$4:$D$8)))</f>
        <v>10</v>
      </c>
      <c r="D21" s="412">
        <f>סיווג!D21</f>
        <v>1.075</v>
      </c>
      <c r="E21" s="514">
        <f ca="1">IF(OR(B21="",B21=0,'תנאי סף'!AT21&lt;&gt;1,'תנאי סף'!AL21&lt;&gt;1),"",D21*C21)</f>
        <v>10.75</v>
      </c>
      <c r="F21" s="26">
        <f t="shared" ca="1" si="0"/>
        <v>3.9947974730583424E-2</v>
      </c>
    </row>
    <row r="22" spans="1:6" x14ac:dyDescent="0.2">
      <c r="A22" s="24">
        <f t="shared" si="1"/>
        <v>12</v>
      </c>
      <c r="B22" s="30" t="str">
        <f ca="1">IF('תנאי סף'!AL22&lt;&gt;1,"",'תנאי סף'!B22)</f>
        <v>עתון 77 (אגודת סופרים ואמנים)</v>
      </c>
      <c r="C22" s="196" cm="1">
        <f t="array" aca="1" ref="C22" ca="1">IF($B22="","",SUMPRODUCT((INDIRECT("'"&amp;SUBSTITUTE($B22,"'","''")&amp;"'"&amp;"!L2:P2")),TRANSPOSE($D$4:$D$8)))</f>
        <v>18</v>
      </c>
      <c r="D22" s="412">
        <f>סיווג!D22</f>
        <v>1.075</v>
      </c>
      <c r="E22" s="514">
        <f ca="1">IF(OR(B22="",B22=0,'תנאי סף'!AT22&lt;&gt;1,'תנאי סף'!AL22&lt;&gt;1),"",D22*C22)</f>
        <v>19.349999999999998</v>
      </c>
      <c r="F22" s="26">
        <f t="shared" ca="1" si="0"/>
        <v>7.1906354515050147E-2</v>
      </c>
    </row>
    <row r="23" spans="1:6" x14ac:dyDescent="0.2">
      <c r="A23" s="24">
        <f t="shared" si="1"/>
        <v>13</v>
      </c>
      <c r="B23" s="30" t="str">
        <f ca="1">IF('תנאי סף'!AL23&lt;&gt;1,"",'תנאי סף'!B23)</f>
        <v/>
      </c>
      <c r="C23" s="196" t="str" cm="1">
        <f t="array" aca="1" ref="C23" ca="1">IF($B23="","",SUMPRODUCT((INDIRECT("'"&amp;SUBSTITUTE($B23,"'","''")&amp;"'"&amp;"!L2:P2")),TRANSPOSE($D$4:$D$8)))</f>
        <v/>
      </c>
      <c r="D23" s="412" t="str">
        <f>סיווג!D23</f>
        <v/>
      </c>
      <c r="E23" s="514" t="str">
        <f ca="1">IF(OR(B23="",B23=0,'תנאי סף'!AT23&lt;&gt;1,'תנאי סף'!AL23&lt;&gt;1),"",D23*C23)</f>
        <v/>
      </c>
      <c r="F23" s="26" t="str">
        <f t="shared" ca="1" si="0"/>
        <v/>
      </c>
    </row>
    <row r="24" spans="1:6" x14ac:dyDescent="0.2">
      <c r="A24" s="24">
        <f t="shared" si="1"/>
        <v>14</v>
      </c>
      <c r="B24" s="30" t="str">
        <f ca="1">IF('תנאי סף'!AL24&lt;&gt;1,"",'תנאי סף'!B24)</f>
        <v>פסיפס</v>
      </c>
      <c r="C24" s="196" cm="1">
        <f t="array" aca="1" ref="C24" ca="1">IF($B24="","",SUMPRODUCT((INDIRECT("'"&amp;SUBSTITUTE($B24,"'","''")&amp;"'"&amp;"!L2:P2")),TRANSPOSE($D$4:$D$8)))</f>
        <v>4</v>
      </c>
      <c r="D24" s="412">
        <f>סיווג!D24</f>
        <v>1.075</v>
      </c>
      <c r="E24" s="514">
        <f ca="1">IF(OR(B24="",B24=0,'תנאי סף'!AT24&lt;&gt;1,'תנאי סף'!AL24&lt;&gt;1),"",D24*C24)</f>
        <v>4.3</v>
      </c>
      <c r="F24" s="26">
        <f t="shared" ca="1" si="0"/>
        <v>1.5979189892233368E-2</v>
      </c>
    </row>
    <row r="25" spans="1:6" x14ac:dyDescent="0.2">
      <c r="A25" s="24">
        <f t="shared" si="1"/>
        <v>15</v>
      </c>
      <c r="B25" s="30" t="str">
        <f ca="1">IF('תנאי סף'!AL25&lt;&gt;1,"",'תנאי סף'!B25)</f>
        <v>קתרזיס ( עמותת מצרף)</v>
      </c>
      <c r="C25" s="196" cm="1">
        <f t="array" aca="1" ref="C25" ca="1">IF($B25="","",SUMPRODUCT((INDIRECT("'"&amp;SUBSTITUTE($B25,"'","''")&amp;"'"&amp;"!L2:P2")),TRANSPOSE($D$4:$D$8)))</f>
        <v>10</v>
      </c>
      <c r="D25" s="412">
        <f>סיווג!D25</f>
        <v>1.075</v>
      </c>
      <c r="E25" s="514">
        <f ca="1">IF(OR(B25="",B25=0,'תנאי סף'!AT25&lt;&gt;1,'תנאי סף'!AL25&lt;&gt;1),"",D25*C25)</f>
        <v>10.75</v>
      </c>
      <c r="F25" s="26">
        <f t="shared" ca="1" si="0"/>
        <v>3.9947974730583424E-2</v>
      </c>
    </row>
    <row r="26" spans="1:6" x14ac:dyDescent="0.2">
      <c r="A26" s="24">
        <f t="shared" si="1"/>
        <v>16</v>
      </c>
      <c r="B26" s="30" t="str">
        <f ca="1">IF('תנאי סף'!AL26&lt;&gt;1,"",'תנאי סף'!B26)</f>
        <v/>
      </c>
      <c r="C26" s="196" t="str" cm="1">
        <f t="array" aca="1" ref="C26" ca="1">IF($B26="","",SUMPRODUCT((INDIRECT("'"&amp;SUBSTITUTE($B26,"'","''")&amp;"'"&amp;"!L2:P2")),TRANSPOSE($D$4:$D$8)))</f>
        <v/>
      </c>
      <c r="D26" s="412" t="str">
        <f>סיווג!D26</f>
        <v/>
      </c>
      <c r="E26" s="514" t="str">
        <f ca="1">IF(OR(B26="",B26=0,'תנאי סף'!AT26&lt;&gt;1,'תנאי סף'!AL26&lt;&gt;1),"",D26*C26)</f>
        <v/>
      </c>
      <c r="F26" s="26" t="str">
        <f t="shared" ca="1" si="0"/>
        <v/>
      </c>
    </row>
    <row r="27" spans="1:6" x14ac:dyDescent="0.2">
      <c r="A27" s="24">
        <f t="shared" si="1"/>
        <v>17</v>
      </c>
      <c r="B27" s="30" t="str">
        <f ca="1">IF('תנאי סף'!AL27&lt;&gt;1,"",'תנאי סף'!B27)</f>
        <v>הכיוון מזרח (עמותת אחותי)</v>
      </c>
      <c r="C27" s="196" cm="1">
        <f t="array" aca="1" ref="C27" ca="1">IF($B27="","",SUMPRODUCT((INDIRECT("'"&amp;SUBSTITUTE($B27,"'","''")&amp;"'"&amp;"!L2:P2")),TRANSPOSE($D$4:$D$8)))</f>
        <v>10</v>
      </c>
      <c r="D27" s="412">
        <f>סיווג!D27</f>
        <v>1.1499999999999999</v>
      </c>
      <c r="E27" s="514">
        <f ca="1">IF(OR(B27="",B27=0,'תנאי סף'!AT27&lt;&gt;1,'תנאי סף'!AL27&lt;&gt;1),"",D27*C27)</f>
        <v>11.5</v>
      </c>
      <c r="F27" s="26">
        <f t="shared" ca="1" si="0"/>
        <v>4.2735042735042729E-2</v>
      </c>
    </row>
    <row r="28" spans="1:6" x14ac:dyDescent="0.2">
      <c r="A28" s="24">
        <f t="shared" si="1"/>
        <v>18</v>
      </c>
      <c r="B28" s="30" t="str">
        <f ca="1">IF('תנאי סף'!AL28&lt;&gt;1,"",'תנאי סף'!B28)</f>
        <v/>
      </c>
      <c r="C28" s="196" t="str" cm="1">
        <f t="array" aca="1" ref="C28" ca="1">IF($B28="","",SUMPRODUCT((INDIRECT("'"&amp;SUBSTITUTE($B28,"'","''")&amp;"'"&amp;"!L2:P2")),TRANSPOSE($D$4:$D$8)))</f>
        <v/>
      </c>
      <c r="D28" s="412" t="str">
        <f>סיווג!D28</f>
        <v/>
      </c>
      <c r="E28" s="514" t="str">
        <f ca="1">IF(OR(B28="",B28=0,'תנאי סף'!AT28&lt;&gt;1,'תנאי סף'!AL28&lt;&gt;1),"",D28*C28)</f>
        <v/>
      </c>
      <c r="F28" s="26" t="str">
        <f t="shared" ca="1" si="0"/>
        <v/>
      </c>
    </row>
    <row r="29" spans="1:6" x14ac:dyDescent="0.2">
      <c r="A29" s="24">
        <f t="shared" si="1"/>
        <v>19</v>
      </c>
      <c r="B29" s="30" t="str">
        <f ca="1">IF('תנאי סף'!AL29&lt;&gt;1,"",'תנאי סף'!B29)</f>
        <v>הו</v>
      </c>
      <c r="C29" s="196" cm="1">
        <f t="array" aca="1" ref="C29" ca="1">IF($B29="","",SUMPRODUCT((INDIRECT("'"&amp;SUBSTITUTE($B29,"'","''")&amp;"'"&amp;"!L2:P2")),TRANSPOSE($D$4:$D$8)))</f>
        <v>10</v>
      </c>
      <c r="D29" s="412">
        <f>סיווג!D29</f>
        <v>1.1499999999999999</v>
      </c>
      <c r="E29" s="514">
        <f ca="1">IF(OR(B29="",B29=0,'תנאי סף'!AT29&lt;&gt;1,'תנאי סף'!AL29&lt;&gt;1),"",D29*C29)</f>
        <v>11.5</v>
      </c>
      <c r="F29" s="26">
        <f t="shared" ca="1" si="0"/>
        <v>4.2735042735042729E-2</v>
      </c>
    </row>
    <row r="30" spans="1:6" x14ac:dyDescent="0.2">
      <c r="A30" s="24">
        <f t="shared" si="1"/>
        <v>20</v>
      </c>
      <c r="B30" s="30" t="str">
        <f ca="1">IF('תנאי סף'!AL30&lt;&gt;1,"",'תנאי סף'!B30)</f>
        <v>הבא להבא (עמותת מקום לשירה)</v>
      </c>
      <c r="C30" s="196" cm="1">
        <f t="array" aca="1" ref="C30" ca="1">IF($B30="","",SUMPRODUCT((INDIRECT("'"&amp;SUBSTITUTE($B30,"'","''")&amp;"'"&amp;"!L2:P2")),TRANSPOSE($D$4:$D$8)))</f>
        <v>14</v>
      </c>
      <c r="D30" s="412">
        <f>סיווג!D30</f>
        <v>1.1499999999999999</v>
      </c>
      <c r="E30" s="514">
        <f ca="1">IF(OR(B30="",B30=0,'תנאי סף'!AT30&lt;&gt;1,'תנאי סף'!AL30&lt;&gt;1),"",D30*C30)</f>
        <v>16.099999999999998</v>
      </c>
      <c r="F30" s="26">
        <f t="shared" ca="1" si="0"/>
        <v>5.9829059829059818E-2</v>
      </c>
    </row>
    <row r="31" spans="1:6" x14ac:dyDescent="0.2">
      <c r="A31" s="24">
        <f t="shared" si="1"/>
        <v>21</v>
      </c>
      <c r="B31" s="30" t="str">
        <f ca="1">IF('תנאי סף'!AL31&lt;&gt;1,"",'תנאי סף'!B31)</f>
        <v>היסטוריה (החברה ההיסטורית הישרא</v>
      </c>
      <c r="C31" s="196" cm="1">
        <f t="array" aca="1" ref="C31" ca="1">IF($B31="","",SUMPRODUCT((INDIRECT("'"&amp;SUBSTITUTE($B31,"'","''")&amp;"'"&amp;"!L2:P2")),TRANSPOSE($D$4:$D$8)))</f>
        <v>10</v>
      </c>
      <c r="D31" s="412">
        <f>סיווג!D31</f>
        <v>1.1499999999999999</v>
      </c>
      <c r="E31" s="514">
        <f ca="1">IF(OR(B31="",B31=0,'תנאי סף'!AT31&lt;&gt;1,'תנאי סף'!AL31&lt;&gt;1),"",D31*C31)</f>
        <v>11.5</v>
      </c>
      <c r="F31" s="26">
        <f t="shared" ca="1" si="0"/>
        <v>4.2735042735042729E-2</v>
      </c>
    </row>
    <row r="32" spans="1:6" ht="13.5" customHeight="1" x14ac:dyDescent="0.2">
      <c r="A32" s="24">
        <f t="shared" si="1"/>
        <v>22</v>
      </c>
      <c r="B32" s="30" t="str">
        <f ca="1">IF('תנאי סף'!AL32&lt;&gt;1,"",'תנאי סף'!B32)</f>
        <v>מחול עכשיו (תמונע)</v>
      </c>
      <c r="C32" s="196" cm="1">
        <f t="array" aca="1" ref="C32" ca="1">IF($B32="","",SUMPRODUCT((INDIRECT("'"&amp;SUBSTITUTE($B32,"'","''")&amp;"'"&amp;"!L2:P2")),TRANSPOSE($D$4:$D$8)))</f>
        <v>6</v>
      </c>
      <c r="D32" s="412">
        <f>סיווג!D32</f>
        <v>1.1499999999999999</v>
      </c>
      <c r="E32" s="514">
        <f ca="1">IF(OR(B32="",B32=0,'תנאי סף'!AT32&lt;&gt;1,'תנאי סף'!AL32&lt;&gt;1),"",D32*C32)</f>
        <v>6.8999999999999995</v>
      </c>
      <c r="F32" s="26">
        <f t="shared" ref="F32:F50" ca="1" si="3">IF(ISERR(E32/$E$51),"",E32/$E$51)</f>
        <v>2.5641025641025637E-2</v>
      </c>
    </row>
    <row r="33" spans="1:6" x14ac:dyDescent="0.2">
      <c r="A33" s="24">
        <f t="shared" si="1"/>
        <v>23</v>
      </c>
      <c r="B33" s="30" t="str">
        <f ca="1">IF('תנאי סף'!AL33&lt;&gt;1,"",'תנאי סף'!B33)</f>
        <v>קול אישה שירה (תואר)</v>
      </c>
      <c r="C33" s="196" cm="1">
        <f t="array" aca="1" ref="C33" ca="1">IF($B33="","",SUMPRODUCT((INDIRECT("'"&amp;SUBSTITUTE($B33,"'","''")&amp;"'"&amp;"!L2:P2")),TRANSPOSE($D$4:$D$8)))</f>
        <v>7</v>
      </c>
      <c r="D33" s="412">
        <f>סיווג!D33</f>
        <v>1</v>
      </c>
      <c r="E33" s="514">
        <f ca="1">IF(OR(B33="",B33=0,'תנאי סף'!AT33&lt;&gt;1,'תנאי סף'!AL33&lt;&gt;1),"",D33*C33)</f>
        <v>7</v>
      </c>
      <c r="F33" s="26">
        <f t="shared" ca="1" si="3"/>
        <v>2.601263470828688E-2</v>
      </c>
    </row>
    <row r="34" spans="1:6" x14ac:dyDescent="0.2">
      <c r="A34" s="24">
        <f t="shared" si="1"/>
        <v>24</v>
      </c>
      <c r="B34" s="30" t="str">
        <f ca="1">IF('תנאי סף'!AL34&lt;&gt;1,"",'תנאי סף'!B34)</f>
        <v>האיגוד העולמי למדעי היהדות</v>
      </c>
      <c r="C34" s="196" cm="1">
        <f t="array" aca="1" ref="C34" ca="1">IF($B34="","",SUMPRODUCT((INDIRECT("'"&amp;SUBSTITUTE($B34,"'","''")&amp;"'"&amp;"!L2:P2")),TRANSPOSE($D$4:$D$8)))</f>
        <v>10</v>
      </c>
      <c r="D34" s="412">
        <f>סיווג!D34</f>
        <v>1.1499999999999999</v>
      </c>
      <c r="E34" s="514">
        <f ca="1">IF(OR(B34="",B34=0,'תנאי סף'!AT34&lt;&gt;1,'תנאי סף'!AL34&lt;&gt;1),"",D34*C34)</f>
        <v>11.5</v>
      </c>
      <c r="F34" s="26">
        <f t="shared" ca="1" si="3"/>
        <v>4.2735042735042729E-2</v>
      </c>
    </row>
    <row r="35" spans="1:6" x14ac:dyDescent="0.2">
      <c r="A35" s="24">
        <f t="shared" si="1"/>
        <v>25</v>
      </c>
      <c r="B35" s="30" t="str">
        <f ca="1">IF('תנאי סף'!AL35&lt;&gt;1,"",'תנאי סף'!B35)</f>
        <v/>
      </c>
      <c r="C35" s="196" t="str" cm="1">
        <f t="array" aca="1" ref="C35" ca="1">IF($B35="","",SUMPRODUCT((INDIRECT("'"&amp;SUBSTITUTE($B35,"'","''")&amp;"'"&amp;"!L2:P2")),TRANSPOSE($D$4:$D$8)))</f>
        <v/>
      </c>
      <c r="D35" s="412" t="str">
        <f>סיווג!D35</f>
        <v/>
      </c>
      <c r="E35" s="514" t="str">
        <f ca="1">IF(OR(B35="",B35=0,'תנאי סף'!AT35&lt;&gt;1,'תנאי סף'!AL35&lt;&gt;1),"",D35*C35)</f>
        <v/>
      </c>
      <c r="F35" s="26" t="str">
        <f t="shared" ca="1" si="3"/>
        <v/>
      </c>
    </row>
    <row r="36" spans="1:6" x14ac:dyDescent="0.2">
      <c r="A36" s="24">
        <f t="shared" si="1"/>
        <v>26</v>
      </c>
      <c r="B36" s="30" t="str">
        <f ca="1">IF('תנאי סף'!AL36&lt;&gt;1,"",'תנאי סף'!B36)</f>
        <v/>
      </c>
      <c r="C36" s="196" t="str" cm="1">
        <f t="array" aca="1" ref="C36" ca="1">IF($B36="","",SUMPRODUCT((INDIRECT("'"&amp;SUBSTITUTE($B36,"'","''")&amp;"'"&amp;"!L2:P2")),TRANSPOSE($D$4:$D$8)))</f>
        <v/>
      </c>
      <c r="D36" s="412" t="str">
        <f>סיווג!D36</f>
        <v/>
      </c>
      <c r="E36" s="514" t="str">
        <f ca="1">IF(OR(B36="",B36=0,'תנאי סף'!AT36&lt;&gt;1,'תנאי סף'!AL36&lt;&gt;1),"",D36*C36)</f>
        <v/>
      </c>
      <c r="F36" s="26" t="str">
        <f t="shared" ca="1" si="3"/>
        <v/>
      </c>
    </row>
    <row r="37" spans="1:6" x14ac:dyDescent="0.2">
      <c r="A37" s="24">
        <f t="shared" si="1"/>
        <v>27</v>
      </c>
      <c r="B37" s="30" t="str">
        <f ca="1">IF('תנאי סף'!AL37&lt;&gt;1,"",'תנאי סף'!B37)</f>
        <v/>
      </c>
      <c r="C37" s="196" t="str" cm="1">
        <f t="array" aca="1" ref="C37" ca="1">IF($B37="","",SUMPRODUCT((INDIRECT("'"&amp;SUBSTITUTE($B37,"'","''")&amp;"'"&amp;"!L2:P2")),TRANSPOSE($D$4:$D$8)))</f>
        <v/>
      </c>
      <c r="D37" s="412" t="str">
        <f>סיווג!D37</f>
        <v/>
      </c>
      <c r="E37" s="514" t="str">
        <f ca="1">IF(OR(B37="",B37=0,'תנאי סף'!AT37&lt;&gt;1,'תנאי סף'!AL37&lt;&gt;1),"",D37*C37)</f>
        <v/>
      </c>
      <c r="F37" s="26" t="str">
        <f t="shared" ca="1" si="3"/>
        <v/>
      </c>
    </row>
    <row r="38" spans="1:6" x14ac:dyDescent="0.2">
      <c r="A38" s="24">
        <f t="shared" si="1"/>
        <v>28</v>
      </c>
      <c r="B38" s="30" t="str">
        <f ca="1">IF('תנאי סף'!AL38&lt;&gt;1,"",'תנאי סף'!B38)</f>
        <v/>
      </c>
      <c r="C38" s="196" t="str" cm="1">
        <f t="array" aca="1" ref="C38" ca="1">IF($B38="","",SUMPRODUCT((INDIRECT("'"&amp;SUBSTITUTE($B38,"'","''")&amp;"'"&amp;"!L2:P2")),TRANSPOSE($D$4:$D$8)))</f>
        <v/>
      </c>
      <c r="D38" s="412" t="str">
        <f>סיווג!D38</f>
        <v/>
      </c>
      <c r="E38" s="514" t="str">
        <f ca="1">IF(OR(B38="",B38=0,'תנאי סף'!AT38&lt;&gt;1,'תנאי סף'!AL38&lt;&gt;1),"",D38*C38)</f>
        <v/>
      </c>
      <c r="F38" s="26" t="str">
        <f t="shared" ca="1" si="3"/>
        <v/>
      </c>
    </row>
    <row r="39" spans="1:6" x14ac:dyDescent="0.2">
      <c r="A39" s="24">
        <f t="shared" si="1"/>
        <v>29</v>
      </c>
      <c r="B39" s="30" t="str">
        <f ca="1">IF('תנאי סף'!AL39&lt;&gt;1,"",'תנאי סף'!B39)</f>
        <v>גופא (נתיב האומן )</v>
      </c>
      <c r="C39" s="196" cm="1">
        <f t="array" aca="1" ref="C39" ca="1">IF($B39="","",SUMPRODUCT((INDIRECT("'"&amp;SUBSTITUTE($B39,"'","''")&amp;"'"&amp;"!L2:P2")),TRANSPOSE($D$4:$D$8)))</f>
        <v>2</v>
      </c>
      <c r="D39" s="412">
        <f>סיווג!D39</f>
        <v>1</v>
      </c>
      <c r="E39" s="514">
        <f ca="1">IF(OR(B39="",B39=0,'תנאי סף'!AT39&lt;&gt;1,'תנאי סף'!AL39&lt;&gt;1),"",D39*C39)</f>
        <v>2</v>
      </c>
      <c r="F39" s="26">
        <f t="shared" ca="1" si="3"/>
        <v>7.4321813452248231E-3</v>
      </c>
    </row>
    <row r="40" spans="1:6" x14ac:dyDescent="0.2">
      <c r="A40" s="24">
        <f t="shared" si="1"/>
        <v>30</v>
      </c>
      <c r="B40" s="30" t="str">
        <f ca="1">IF('תנאי סף'!AL40&lt;&gt;1,"",'תנאי סף'!B40)</f>
        <v>ערב רב (בר קיימא)</v>
      </c>
      <c r="C40" s="196" cm="1">
        <f t="array" aca="1" ref="C40" ca="1">IF($B40="","",SUMPRODUCT((INDIRECT("'"&amp;SUBSTITUTE($B40,"'","''")&amp;"'"&amp;"!L2:P2")),TRANSPOSE($D$4:$D$8)))</f>
        <v>8</v>
      </c>
      <c r="D40" s="412">
        <f>סיווג!D40</f>
        <v>1.075</v>
      </c>
      <c r="E40" s="514">
        <f ca="1">IF(OR(B40="",B40=0,'תנאי סף'!AT40&lt;&gt;1,'תנאי סף'!AL40&lt;&gt;1),"",D40*C40)</f>
        <v>8.6</v>
      </c>
      <c r="F40" s="26">
        <f t="shared" ca="1" si="3"/>
        <v>3.1958379784466737E-2</v>
      </c>
    </row>
    <row r="41" spans="1:6" x14ac:dyDescent="0.2">
      <c r="A41" s="24">
        <f t="shared" si="1"/>
        <v>31</v>
      </c>
      <c r="B41" s="30" t="str">
        <f ca="1">IF('תנאי סף'!AL41&lt;&gt;1,"",'תנאי סף'!B41)</f>
        <v/>
      </c>
      <c r="C41" s="196" t="str" cm="1">
        <f t="array" aca="1" ref="C41" ca="1">IF($B41="","",SUMPRODUCT((INDIRECT("'"&amp;SUBSTITUTE($B41,"'","''")&amp;"'"&amp;"!L2:P2")),TRANSPOSE($D$4:$D$8)))</f>
        <v/>
      </c>
      <c r="D41" s="412" t="str">
        <f>סיווג!D41</f>
        <v/>
      </c>
      <c r="E41" s="514" t="str">
        <f ca="1">IF(OR(B41="",B41=0,'תנאי סף'!AT41&lt;&gt;1,'תנאי סף'!AL41&lt;&gt;1),"",D41*C41)</f>
        <v/>
      </c>
      <c r="F41" s="26" t="str">
        <f t="shared" ca="1" si="3"/>
        <v/>
      </c>
    </row>
    <row r="42" spans="1:6" x14ac:dyDescent="0.2">
      <c r="A42" s="24">
        <f t="shared" si="1"/>
        <v>32</v>
      </c>
      <c r="B42" s="30" t="str">
        <f ca="1">IF('תנאי סף'!AL42&lt;&gt;1,"",'תנאי סף'!B42)</f>
        <v>מעלה</v>
      </c>
      <c r="C42" s="196" cm="1">
        <f t="array" aca="1" ref="C42" ca="1">IF($B42="","",SUMPRODUCT((INDIRECT("'"&amp;SUBSTITUTE($B42,"'","''")&amp;"'"&amp;"!L2:P2")),TRANSPOSE($D$4:$D$8)))</f>
        <v>4</v>
      </c>
      <c r="D42" s="412">
        <f>סיווג!D42</f>
        <v>1.075</v>
      </c>
      <c r="E42" s="514">
        <f ca="1">IF(OR(B42="",B42=0,'תנאי סף'!AT42&lt;&gt;1,'תנאי סף'!AL42&lt;&gt;1),"",D42*C42)</f>
        <v>4.3</v>
      </c>
      <c r="F42" s="26">
        <f t="shared" ca="1" si="3"/>
        <v>1.5979189892233368E-2</v>
      </c>
    </row>
    <row r="43" spans="1:6" x14ac:dyDescent="0.2">
      <c r="A43" s="24">
        <f t="shared" si="1"/>
        <v>33</v>
      </c>
      <c r="B43" s="30" t="str">
        <f ca="1">IF('תנאי סף'!AL43&lt;&gt;1,"",'תנאי סף'!B43)</f>
        <v/>
      </c>
      <c r="C43" s="196" t="str" cm="1">
        <f t="array" aca="1" ref="C43" ca="1">IF($B43="","",SUMPRODUCT((INDIRECT("'"&amp;SUBSTITUTE($B43,"'","''")&amp;"'"&amp;"!L2:P2")),TRANSPOSE($D$4:$D$8)))</f>
        <v/>
      </c>
      <c r="D43" s="412" t="str">
        <f>סיווג!D43</f>
        <v/>
      </c>
      <c r="E43" s="514" t="str">
        <f ca="1">IF(OR(B43="",B43=0,'תנאי סף'!AT43&lt;&gt;1,'תנאי סף'!AL43&lt;&gt;1),"",D43*C43)</f>
        <v/>
      </c>
      <c r="F43" s="26" t="str">
        <f t="shared" ca="1" si="3"/>
        <v/>
      </c>
    </row>
    <row r="44" spans="1:6" x14ac:dyDescent="0.2">
      <c r="A44" s="24">
        <f>A43+1</f>
        <v>34</v>
      </c>
      <c r="B44" s="30" t="str">
        <f ca="1">IF('תנאי סף'!AL44&lt;&gt;1,"",'תנאי סף'!B44)</f>
        <v>כתב עת ירושלמי</v>
      </c>
      <c r="C44" s="196" cm="1">
        <f t="array" aca="1" ref="C44" ca="1">IF($B44="","",SUMPRODUCT((INDIRECT("'"&amp;SUBSTITUTE($B44,"'","''")&amp;"'"&amp;"!L2:P2")),TRANSPOSE($D$4:$D$8)))</f>
        <v>10</v>
      </c>
      <c r="D44" s="412">
        <f>סיווג!D44</f>
        <v>1</v>
      </c>
      <c r="E44" s="514">
        <f ca="1">IF(OR(B44="",B44=0,'תנאי סף'!AT44&lt;&gt;1,'תנאי סף'!AL44&lt;&gt;1),"",D44*C44)</f>
        <v>10</v>
      </c>
      <c r="F44" s="26">
        <f t="shared" ca="1" si="3"/>
        <v>3.7160906726124113E-2</v>
      </c>
    </row>
    <row r="45" spans="1:6" x14ac:dyDescent="0.2">
      <c r="A45" s="24">
        <f t="shared" si="1"/>
        <v>35</v>
      </c>
      <c r="B45" s="30" t="str">
        <f ca="1">IF('תנאי סף'!AL45&lt;&gt;1,"",'תנאי סף'!B45)</f>
        <v/>
      </c>
      <c r="C45" s="196" t="str" cm="1">
        <f t="array" aca="1" ref="C45" ca="1">IF($B45="","",SUMPRODUCT((INDIRECT("'"&amp;SUBSTITUTE($B45,"'","''")&amp;"'"&amp;"!L2:P2")),TRANSPOSE($D$4:$D$8)))</f>
        <v/>
      </c>
      <c r="D45" s="412" t="str">
        <f>סיווג!D45</f>
        <v/>
      </c>
      <c r="E45" s="514" t="str">
        <f ca="1">IF(OR(B45="",B45=0,'תנאי סף'!AT45&lt;&gt;1,'תנאי סף'!AL45&lt;&gt;1),"",D45*C45)</f>
        <v/>
      </c>
      <c r="F45" s="26" t="str">
        <f t="shared" ca="1" si="3"/>
        <v/>
      </c>
    </row>
    <row r="46" spans="1:6" x14ac:dyDescent="0.2">
      <c r="A46" s="24">
        <f t="shared" si="1"/>
        <v>36</v>
      </c>
      <c r="B46" s="30" t="str">
        <f ca="1">IF('תנאי סף'!AL46&lt;&gt;1,"",'תנאי סף'!B46)</f>
        <v>העמותה ליצירה פנטסטית- אוטופיה</v>
      </c>
      <c r="C46" s="196" cm="1">
        <f t="array" aca="1" ref="C46" ca="1">IF($B46="","",SUMPRODUCT((INDIRECT("'"&amp;SUBSTITUTE($B46,"'","''")&amp;"'"&amp;"!L2:P2")),TRANSPOSE($D$4:$D$8)))</f>
        <v>0</v>
      </c>
      <c r="D46" s="412">
        <f>סיווג!D46</f>
        <v>1</v>
      </c>
      <c r="E46" s="514">
        <f ca="1">IF(OR(B46="",B46=0,'תנאי סף'!AT46&lt;&gt;1,'תנאי סף'!AL46&lt;&gt;1),"",D46*C46)</f>
        <v>0</v>
      </c>
      <c r="F46" s="26">
        <f t="shared" ca="1" si="3"/>
        <v>0</v>
      </c>
    </row>
    <row r="47" spans="1:6" x14ac:dyDescent="0.2">
      <c r="A47" s="24">
        <f t="shared" si="1"/>
        <v>37</v>
      </c>
      <c r="B47" s="30" t="str">
        <f ca="1">IF('תנאי סף'!AL47&lt;&gt;1,"",'תנאי סף'!B47)</f>
        <v/>
      </c>
      <c r="C47" s="196" t="str" cm="1">
        <f t="array" aca="1" ref="C47" ca="1">IF($B47="","",SUMPRODUCT((INDIRECT("'"&amp;SUBSTITUTE($B47,"'","''")&amp;"'"&amp;"!L2:P2")),TRANSPOSE($D$4:$D$8)))</f>
        <v/>
      </c>
      <c r="D47" s="412" t="str">
        <f>סיווג!D47</f>
        <v/>
      </c>
      <c r="E47" s="514" t="str">
        <f ca="1">IF(OR(B47="",B47=0,'תנאי סף'!AT47&lt;&gt;1,'תנאי סף'!AL47&lt;&gt;1),"",D47*C47)</f>
        <v/>
      </c>
      <c r="F47" s="26" t="str">
        <f t="shared" ca="1" si="3"/>
        <v/>
      </c>
    </row>
    <row r="48" spans="1:6" x14ac:dyDescent="0.2">
      <c r="A48" s="24">
        <f t="shared" si="1"/>
        <v>38</v>
      </c>
      <c r="B48" s="30" t="str">
        <f ca="1">IF('תנאי סף'!AL48&lt;&gt;1,"",'תנאי סף'!B48)</f>
        <v/>
      </c>
      <c r="C48" s="196" t="str" cm="1">
        <f t="array" aca="1" ref="C48" ca="1">IF($B48="","",SUMPRODUCT((INDIRECT("'"&amp;SUBSTITUTE($B48,"'","''")&amp;"'"&amp;"!L2:P2")),TRANSPOSE($D$4:$D$8)))</f>
        <v/>
      </c>
      <c r="D48" s="412" t="str">
        <f>סיווג!D48</f>
        <v/>
      </c>
      <c r="E48" s="514" t="str">
        <f ca="1">IF(OR(B48="",B48=0,'תנאי סף'!AT48&lt;&gt;1,'תנאי סף'!AL48&lt;&gt;1),"",D48*C48)</f>
        <v/>
      </c>
      <c r="F48" s="26" t="str">
        <f t="shared" ca="1" si="3"/>
        <v/>
      </c>
    </row>
    <row r="49" spans="1:7" x14ac:dyDescent="0.2">
      <c r="A49" s="24">
        <f t="shared" si="1"/>
        <v>39</v>
      </c>
      <c r="B49" s="30" t="str">
        <f ca="1">IF('תנאי סף'!AL49&lt;&gt;1,"",'תנאי סף'!B49)</f>
        <v/>
      </c>
      <c r="C49" s="196" t="str" cm="1">
        <f t="array" aca="1" ref="C49" ca="1">IF($B49="","",SUMPRODUCT((INDIRECT("'"&amp;SUBSTITUTE($B49,"'","''")&amp;"'"&amp;"!L2:P2")),TRANSPOSE($D$4:$D$8)))</f>
        <v/>
      </c>
      <c r="D49" s="412" t="str">
        <f>סיווג!D49</f>
        <v/>
      </c>
      <c r="E49" s="514" t="str">
        <f ca="1">IF(OR(B49="",B49=0,'תנאי סף'!AT49&lt;&gt;1,'תנאי סף'!AL49&lt;&gt;1),"",D49*C49)</f>
        <v/>
      </c>
      <c r="F49" s="26" t="str">
        <f t="shared" ca="1" si="3"/>
        <v/>
      </c>
    </row>
    <row r="50" spans="1:7" ht="13.5" thickBot="1" x14ac:dyDescent="0.25">
      <c r="A50" s="24">
        <f t="shared" si="1"/>
        <v>40</v>
      </c>
      <c r="B50" s="30" t="str">
        <f ca="1">IF('תנאי סף'!AL50&lt;&gt;1,"",'תנאי סף'!B50)</f>
        <v/>
      </c>
      <c r="C50" s="196" t="str" cm="1">
        <f t="array" aca="1" ref="C50" ca="1">IF($B50="","",SUMPRODUCT((INDIRECT("'"&amp;SUBSTITUTE($B50,"'","''")&amp;"'"&amp;"!L2:P2")),TRANSPOSE($D$4:$D$8)))</f>
        <v/>
      </c>
      <c r="D50" s="412" t="str">
        <f>סיווג!D50</f>
        <v/>
      </c>
      <c r="E50" s="514" t="str">
        <f ca="1">IF(OR(B50="",B50=0,'תנאי סף'!AT50&lt;&gt;1,'תנאי סף'!AL50&lt;&gt;1),"",D50*C50)</f>
        <v/>
      </c>
      <c r="F50" s="26" t="str">
        <f t="shared" ca="1" si="3"/>
        <v/>
      </c>
    </row>
    <row r="51" spans="1:7" ht="14.25" thickTop="1" thickBot="1" x14ac:dyDescent="0.25">
      <c r="A51" s="607" t="s">
        <v>54</v>
      </c>
      <c r="B51" s="608"/>
      <c r="C51" s="177">
        <f t="shared" ref="C51" ca="1" si="4">SUM(C11:C50)</f>
        <v>240</v>
      </c>
      <c r="D51" s="264"/>
      <c r="E51" s="177">
        <f ca="1">SUM(E11:E50)</f>
        <v>269.10000000000002</v>
      </c>
      <c r="F51" s="178">
        <f ca="1">SUM(F11:F50)</f>
        <v>0.99999999999999967</v>
      </c>
    </row>
    <row r="52" spans="1:7" ht="13.5" thickTop="1" x14ac:dyDescent="0.2"/>
    <row r="53" spans="1:7" x14ac:dyDescent="0.2">
      <c r="G53" s="17"/>
    </row>
  </sheetData>
  <sheetProtection algorithmName="SHA-512" hashValue="CPuEo2yu3M4JmYksxqrd2TUVj6sdYHlOm/rK/1FMVwemrZC2maEK3bjSEeUELsNJhL9egoiev2fe2nh+5XAcsg==" saltValue="XNliVYITBZF9in2VhL/ZgQ==" spinCount="100000" sheet="1" scenarios="1" formatColumns="0" formatRows="0"/>
  <mergeCells count="6">
    <mergeCell ref="A1:D1"/>
    <mergeCell ref="A51:B51"/>
    <mergeCell ref="D2:D3"/>
    <mergeCell ref="A2:A3"/>
    <mergeCell ref="B2:C2"/>
    <mergeCell ref="A9:F9"/>
  </mergeCells>
  <phoneticPr fontId="0" type="noConversion"/>
  <pageMargins left="0.27559055118110237" right="0.19685039370078741" top="0.51181102362204722" bottom="0.39370078740157483" header="0.15748031496062992" footer="0.19685039370078741"/>
  <pageSetup paperSize="9" scale="74" orientation="landscape" horizontalDpi="1200"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&amp;L&amp;"Arial,מודגש"&amp;12א. חפץ ושות'
יעוץ כלכלי&amp;Cעמוד &amp;P מתוך &amp;N&amp;R&amp;A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indexed="46"/>
    <pageSetUpPr fitToPage="1"/>
  </sheetPr>
  <dimension ref="A1:J53"/>
  <sheetViews>
    <sheetView rightToLeft="1" view="pageBreakPreview" zoomScaleNormal="100" zoomScaleSheetLayoutView="100" workbookViewId="0"/>
  </sheetViews>
  <sheetFormatPr defaultColWidth="9.140625" defaultRowHeight="12.75" x14ac:dyDescent="0.2"/>
  <cols>
    <col min="1" max="1" width="12.85546875" bestFit="1" customWidth="1"/>
    <col min="2" max="2" width="31.7109375" bestFit="1" customWidth="1"/>
    <col min="3" max="3" width="15.5703125" bestFit="1" customWidth="1"/>
    <col min="4" max="4" width="15.5703125" customWidth="1"/>
    <col min="5" max="5" width="12.42578125" bestFit="1" customWidth="1"/>
    <col min="6" max="6" width="11.28515625" bestFit="1" customWidth="1"/>
    <col min="7" max="7" width="4.85546875" hidden="1" customWidth="1"/>
    <col min="8" max="10" width="2.42578125" hidden="1" customWidth="1"/>
  </cols>
  <sheetData>
    <row r="1" spans="1:10" ht="17.25" thickTop="1" thickBot="1" x14ac:dyDescent="0.25">
      <c r="B1" s="19" t="str">
        <f>פרמטרים!B1</f>
        <v>שנת התקציב</v>
      </c>
      <c r="C1" s="38">
        <f>פרמטרים!C1</f>
        <v>2025</v>
      </c>
      <c r="D1" s="427"/>
    </row>
    <row r="2" spans="1:10" ht="18.75" thickBot="1" x14ac:dyDescent="0.25">
      <c r="B2" s="20" t="str">
        <f>פרמטרים!B2</f>
        <v>תקציב</v>
      </c>
      <c r="C2" s="39">
        <f>פרמטרים!C2</f>
        <v>1906914</v>
      </c>
      <c r="D2" s="428"/>
    </row>
    <row r="3" spans="1:10" ht="14.25" thickTop="1" thickBot="1" x14ac:dyDescent="0.25"/>
    <row r="4" spans="1:10" hidden="1" x14ac:dyDescent="0.2"/>
    <row r="5" spans="1:10" hidden="1" x14ac:dyDescent="0.2"/>
    <row r="6" spans="1:10" hidden="1" x14ac:dyDescent="0.2"/>
    <row r="7" spans="1:10" hidden="1" x14ac:dyDescent="0.2"/>
    <row r="8" spans="1:10" ht="13.5" hidden="1" thickBot="1" x14ac:dyDescent="0.25"/>
    <row r="9" spans="1:10" ht="17.25" thickTop="1" thickBot="1" x14ac:dyDescent="0.3">
      <c r="A9" s="609" t="str">
        <f ca="1">"שיעור יחסי במשתנה "&amp;MID(CELL("filename",E9),FIND("]",CELL("filename",E9),1)+1,99)</f>
        <v>שיעור יחסי במשתנה רמה הפקתית</v>
      </c>
      <c r="B9" s="610"/>
      <c r="C9" s="610"/>
      <c r="D9" s="610"/>
      <c r="E9" s="610"/>
      <c r="F9" s="611"/>
    </row>
    <row r="10" spans="1:10" ht="33" thickTop="1" thickBot="1" x14ac:dyDescent="0.25">
      <c r="A10" s="3" t="str">
        <f>'היקף החוברות'!A10</f>
        <v>מספר סידורי</v>
      </c>
      <c r="B10" s="1" t="str">
        <f>'היקף החוברות'!B10</f>
        <v>שם כתב העת</v>
      </c>
      <c r="C10" s="1" t="s">
        <v>134</v>
      </c>
      <c r="D10" s="1" t="s">
        <v>133</v>
      </c>
      <c r="E10" s="1" t="str">
        <f ca="1">"ניקוד "&amp;MID(CELL("filename",C11),FIND("]",CELL("filename",C11),1)+1,99)</f>
        <v>ניקוד רמה הפקתית</v>
      </c>
      <c r="F10" s="4" t="str">
        <f>'היקף החוברות'!F10</f>
        <v>שיעור יחסי</v>
      </c>
      <c r="G10" s="121"/>
      <c r="H10" s="123">
        <v>1</v>
      </c>
      <c r="I10" s="118">
        <v>2</v>
      </c>
      <c r="J10" s="118">
        <v>3</v>
      </c>
    </row>
    <row r="11" spans="1:10" x14ac:dyDescent="0.2">
      <c r="A11" s="21">
        <f>'היקף החוברות'!A11</f>
        <v>1</v>
      </c>
      <c r="B11" s="30" t="str">
        <f ca="1">'היקף החוברות'!B11</f>
        <v>1280 מעלות (אמנים יוצרים)</v>
      </c>
      <c r="C11" s="33">
        <v>3</v>
      </c>
      <c r="D11" s="429">
        <f ca="1">IF(B11="","",סיווג!D11)</f>
        <v>1.1499999999999999</v>
      </c>
      <c r="E11" s="179">
        <f ca="1">IF(OR(G11&lt;&gt;1,'היקף החוברות'!E11=""),"",C11*סיווג!D11)</f>
        <v>3.4499999999999997</v>
      </c>
      <c r="F11" s="23">
        <f t="shared" ref="F11:F31" ca="1" si="0">IF(ISERR(E11/$E$51),"",E11/$E$51)</f>
        <v>5.81787521079258E-2</v>
      </c>
      <c r="G11" s="122">
        <f ca="1">IF(OR('תנאי סף'!AL11&lt;&gt;1,ISNA(MATCH(C11,$H$10:$J$10,0)),B11=""),0,1)</f>
        <v>1</v>
      </c>
      <c r="H11" s="59">
        <f t="shared" ref="H11:J20" ca="1" si="1">IF($B11="","",H$10)</f>
        <v>1</v>
      </c>
      <c r="I11" s="57">
        <f t="shared" ca="1" si="1"/>
        <v>2</v>
      </c>
      <c r="J11" s="57">
        <f t="shared" ca="1" si="1"/>
        <v>3</v>
      </c>
    </row>
    <row r="12" spans="1:10" x14ac:dyDescent="0.2">
      <c r="A12" s="24">
        <f>'היקף החוברות'!A12</f>
        <v>2</v>
      </c>
      <c r="B12" s="30" t="str">
        <f ca="1">'היקף החוברות'!B12</f>
        <v>יהי (אורי צבי גרינברג)</v>
      </c>
      <c r="C12" s="34">
        <v>3</v>
      </c>
      <c r="D12" s="429">
        <f ca="1">IF(B12="","",סיווג!D12)</f>
        <v>1.1499999999999999</v>
      </c>
      <c r="E12" s="179">
        <f ca="1">IF(OR(G12&lt;&gt;1,'היקף החוברות'!E12=""),"",C12*סיווג!D12)</f>
        <v>3.4499999999999997</v>
      </c>
      <c r="F12" s="26">
        <f t="shared" ref="F12:F14" ca="1" si="2">IF(ISERR(E12/$E$51),"",E12/$E$51)</f>
        <v>5.81787521079258E-2</v>
      </c>
      <c r="G12" s="122">
        <f ca="1">IF(OR('תנאי סף'!AL12&lt;&gt;1,ISNA(MATCH(C12,$H$10:$J$10,0)),B12=""),0,1)</f>
        <v>1</v>
      </c>
      <c r="H12" s="59">
        <f t="shared" ca="1" si="1"/>
        <v>1</v>
      </c>
      <c r="I12" s="57">
        <f t="shared" ca="1" si="1"/>
        <v>2</v>
      </c>
      <c r="J12" s="57">
        <f t="shared" ca="1" si="1"/>
        <v>3</v>
      </c>
    </row>
    <row r="13" spans="1:10" x14ac:dyDescent="0.2">
      <c r="A13" s="24">
        <f>'היקף החוברות'!A13</f>
        <v>3</v>
      </c>
      <c r="B13" s="30" t="str">
        <f ca="1">'היקף החוברות'!B13</f>
        <v/>
      </c>
      <c r="C13" s="34"/>
      <c r="D13" s="429" t="str">
        <f ca="1">IF(B13="","",סיווג!D13)</f>
        <v/>
      </c>
      <c r="E13" s="179" t="str">
        <f ca="1">IF(OR(G13&lt;&gt;1,'היקף החוברות'!E13=""),"",C13*סיווג!D13)</f>
        <v/>
      </c>
      <c r="F13" s="26" t="str">
        <f t="shared" ca="1" si="2"/>
        <v/>
      </c>
      <c r="G13" s="122">
        <f ca="1">IF(OR('תנאי סף'!AL13&lt;&gt;1,ISNA(MATCH(C13,$H$10:$J$10,0)),B13=""),0,1)</f>
        <v>0</v>
      </c>
      <c r="H13" s="59" t="str">
        <f t="shared" ca="1" si="1"/>
        <v/>
      </c>
      <c r="I13" s="57" t="str">
        <f t="shared" ca="1" si="1"/>
        <v/>
      </c>
      <c r="J13" s="57" t="str">
        <f t="shared" ca="1" si="1"/>
        <v/>
      </c>
    </row>
    <row r="14" spans="1:10" x14ac:dyDescent="0.2">
      <c r="A14" s="24">
        <f>'היקף החוברות'!A14</f>
        <v>4</v>
      </c>
      <c r="B14" s="30" t="str">
        <f ca="1">'היקף החוברות'!B14</f>
        <v>דעות (ברית נאמני תורה ועבודה)</v>
      </c>
      <c r="C14" s="34">
        <v>3</v>
      </c>
      <c r="D14" s="429">
        <f ca="1">IF(B14="","",סיווג!D14)</f>
        <v>1.1499999999999999</v>
      </c>
      <c r="E14" s="179">
        <f ca="1">IF(OR(G14&lt;&gt;1,'היקף החוברות'!E14=""),"",C14*סיווג!D14)</f>
        <v>3.4499999999999997</v>
      </c>
      <c r="F14" s="26">
        <f t="shared" ca="1" si="2"/>
        <v>5.81787521079258E-2</v>
      </c>
      <c r="G14" s="122">
        <f ca="1">IF(OR('תנאי סף'!AL14&lt;&gt;1,ISNA(MATCH(C14,$H$10:$J$10,0)),B14=""),0,1)</f>
        <v>1</v>
      </c>
      <c r="H14" s="59">
        <f t="shared" ca="1" si="1"/>
        <v>1</v>
      </c>
      <c r="I14" s="57">
        <f t="shared" ca="1" si="1"/>
        <v>2</v>
      </c>
      <c r="J14" s="57">
        <f t="shared" ca="1" si="1"/>
        <v>3</v>
      </c>
    </row>
    <row r="15" spans="1:10" x14ac:dyDescent="0.2">
      <c r="A15" s="24">
        <f>'היקף החוברות'!A15</f>
        <v>5</v>
      </c>
      <c r="B15" s="30" t="str">
        <f ca="1">'היקף החוברות'!B15</f>
        <v>הליקון</v>
      </c>
      <c r="C15" s="34">
        <v>3</v>
      </c>
      <c r="D15" s="429">
        <f ca="1">IF(B15="","",סיווג!D15)</f>
        <v>1.1499999999999999</v>
      </c>
      <c r="E15" s="179">
        <f ca="1">IF(OR(G15&lt;&gt;1,'היקף החוברות'!E15=""),"",C15*סיווג!D15)</f>
        <v>3.4499999999999997</v>
      </c>
      <c r="F15" s="26">
        <f t="shared" ca="1" si="0"/>
        <v>5.81787521079258E-2</v>
      </c>
      <c r="G15" s="122">
        <f ca="1">IF(OR('תנאי סף'!AL15&lt;&gt;1,ISNA(MATCH(C15,$H$10:$J$10,0)),B15=""),0,1)</f>
        <v>1</v>
      </c>
      <c r="H15" s="59">
        <f t="shared" ca="1" si="1"/>
        <v>1</v>
      </c>
      <c r="I15" s="57">
        <f t="shared" ca="1" si="1"/>
        <v>2</v>
      </c>
      <c r="J15" s="57">
        <f t="shared" ca="1" si="1"/>
        <v>3</v>
      </c>
    </row>
    <row r="16" spans="1:10" x14ac:dyDescent="0.2">
      <c r="A16" s="24">
        <f>'היקף החוברות'!A16</f>
        <v>6</v>
      </c>
      <c r="B16" s="30" t="str">
        <f ca="1">'היקף החוברות'!B16</f>
        <v/>
      </c>
      <c r="C16" s="34"/>
      <c r="D16" s="429" t="str">
        <f ca="1">IF(B16="","",סיווג!D16)</f>
        <v/>
      </c>
      <c r="E16" s="179" t="str">
        <f ca="1">IF(OR(G16&lt;&gt;1,'היקף החוברות'!E16=""),"",C16*סיווג!D16)</f>
        <v/>
      </c>
      <c r="F16" s="26" t="str">
        <f t="shared" ca="1" si="0"/>
        <v/>
      </c>
      <c r="G16" s="122">
        <f ca="1">IF(OR('תנאי סף'!AL16&lt;&gt;1,ISNA(MATCH(C16,$H$10:$J$10,0)),B16=""),0,1)</f>
        <v>0</v>
      </c>
      <c r="H16" s="59" t="str">
        <f t="shared" ca="1" si="1"/>
        <v/>
      </c>
      <c r="I16" s="57" t="str">
        <f t="shared" ca="1" si="1"/>
        <v/>
      </c>
      <c r="J16" s="57" t="str">
        <f t="shared" ca="1" si="1"/>
        <v/>
      </c>
    </row>
    <row r="17" spans="1:10" x14ac:dyDescent="0.2">
      <c r="A17" s="24">
        <f>'היקף החוברות'!A17</f>
        <v>7</v>
      </c>
      <c r="B17" s="30" t="str">
        <f ca="1">'היקף החוברות'!B17</f>
        <v/>
      </c>
      <c r="C17" s="34"/>
      <c r="D17" s="429" t="str">
        <f ca="1">IF(B17="","",סיווג!D17)</f>
        <v/>
      </c>
      <c r="E17" s="179" t="str">
        <f ca="1">IF(OR(G17&lt;&gt;1,'היקף החוברות'!E17=""),"",C17*סיווג!D17)</f>
        <v/>
      </c>
      <c r="F17" s="26" t="str">
        <f t="shared" ca="1" si="0"/>
        <v/>
      </c>
      <c r="G17" s="122">
        <f ca="1">IF(OR('תנאי סף'!AL17&lt;&gt;1,ISNA(MATCH(C17,$H$10:$J$10,0)),B17=""),0,1)</f>
        <v>0</v>
      </c>
      <c r="H17" s="59" t="str">
        <f t="shared" ca="1" si="1"/>
        <v/>
      </c>
      <c r="I17" s="57" t="str">
        <f t="shared" ca="1" si="1"/>
        <v/>
      </c>
      <c r="J17" s="57" t="str">
        <f t="shared" ca="1" si="1"/>
        <v/>
      </c>
    </row>
    <row r="18" spans="1:10" x14ac:dyDescent="0.2">
      <c r="A18" s="24">
        <f>'היקף החוברות'!A18</f>
        <v>8</v>
      </c>
      <c r="B18" s="30" t="str">
        <f ca="1">'היקף החוברות'!B18</f>
        <v>ננפואטיקה (עמותת מקום לשירה)</v>
      </c>
      <c r="C18" s="34">
        <v>2</v>
      </c>
      <c r="D18" s="429">
        <f ca="1">IF(B18="","",סיווג!D18)</f>
        <v>1.1499999999999999</v>
      </c>
      <c r="E18" s="179">
        <f ca="1">IF(OR(G18&lt;&gt;1,'היקף החוברות'!E18=""),"",C18*סיווג!D18)</f>
        <v>2.2999999999999998</v>
      </c>
      <c r="F18" s="26">
        <f t="shared" ca="1" si="0"/>
        <v>3.87858347386172E-2</v>
      </c>
      <c r="G18" s="122">
        <f ca="1">IF(OR('תנאי סף'!AL18&lt;&gt;1,ISNA(MATCH(C18,$H$10:$J$10,0)),B18=""),0,1)</f>
        <v>1</v>
      </c>
      <c r="H18" s="59">
        <f t="shared" ca="1" si="1"/>
        <v>1</v>
      </c>
      <c r="I18" s="57">
        <f t="shared" ca="1" si="1"/>
        <v>2</v>
      </c>
      <c r="J18" s="57">
        <f t="shared" ca="1" si="1"/>
        <v>3</v>
      </c>
    </row>
    <row r="19" spans="1:10" x14ac:dyDescent="0.2">
      <c r="A19" s="24">
        <f>'היקף החוברות'!A19</f>
        <v>9</v>
      </c>
      <c r="B19" s="30" t="str">
        <f ca="1">'היקף החוברות'!B19</f>
        <v>מאזניים (אגודת הסופרים העבריים)</v>
      </c>
      <c r="C19" s="34">
        <v>3</v>
      </c>
      <c r="D19" s="429">
        <f ca="1">IF(B19="","",סיווג!D19)</f>
        <v>1.1499999999999999</v>
      </c>
      <c r="E19" s="179">
        <f ca="1">IF(OR(G19&lt;&gt;1,'היקף החוברות'!E19=""),"",C19*סיווג!D19)</f>
        <v>3.4499999999999997</v>
      </c>
      <c r="F19" s="26">
        <f t="shared" ca="1" si="0"/>
        <v>5.81787521079258E-2</v>
      </c>
      <c r="G19" s="122">
        <f ca="1">IF(OR('תנאי סף'!AL19&lt;&gt;1,ISNA(MATCH(C19,$H$10:$J$10,0)),B19=""),0,1)</f>
        <v>1</v>
      </c>
      <c r="H19" s="59">
        <f t="shared" ca="1" si="1"/>
        <v>1</v>
      </c>
      <c r="I19" s="57">
        <f t="shared" ca="1" si="1"/>
        <v>2</v>
      </c>
      <c r="J19" s="57">
        <f t="shared" ca="1" si="1"/>
        <v>3</v>
      </c>
    </row>
    <row r="20" spans="1:10" x14ac:dyDescent="0.2">
      <c r="A20" s="24">
        <f>'היקף החוברות'!A20</f>
        <v>10</v>
      </c>
      <c r="B20" s="30" t="str">
        <f ca="1">'היקף החוברות'!B20</f>
        <v>משיב הרוח</v>
      </c>
      <c r="C20" s="34">
        <v>3</v>
      </c>
      <c r="D20" s="429">
        <f ca="1">IF(B20="","",סיווג!D20)</f>
        <v>1.1499999999999999</v>
      </c>
      <c r="E20" s="179">
        <f ca="1">IF(OR(G20&lt;&gt;1,'היקף החוברות'!E20=""),"",C20*סיווג!D20)</f>
        <v>3.4499999999999997</v>
      </c>
      <c r="F20" s="26">
        <f t="shared" ca="1" si="0"/>
        <v>5.81787521079258E-2</v>
      </c>
      <c r="G20" s="122">
        <f ca="1">IF(OR('תנאי סף'!AL20&lt;&gt;1,ISNA(MATCH(C20,$H$10:$J$10,0)),B20=""),0,1)</f>
        <v>1</v>
      </c>
      <c r="H20" s="59">
        <f t="shared" ca="1" si="1"/>
        <v>1</v>
      </c>
      <c r="I20" s="57">
        <f t="shared" ca="1" si="1"/>
        <v>2</v>
      </c>
      <c r="J20" s="57">
        <f t="shared" ca="1" si="1"/>
        <v>3</v>
      </c>
    </row>
    <row r="21" spans="1:10" x14ac:dyDescent="0.2">
      <c r="A21" s="24">
        <f>'היקף החוברות'!A21</f>
        <v>11</v>
      </c>
      <c r="B21" s="30" t="str">
        <f ca="1">'היקף החוברות'!B21</f>
        <v>עמדה (עמותת מונטן)</v>
      </c>
      <c r="C21" s="34">
        <v>3</v>
      </c>
      <c r="D21" s="429">
        <f ca="1">IF(B21="","",סיווג!D21)</f>
        <v>1.075</v>
      </c>
      <c r="E21" s="179">
        <f ca="1">IF(OR(G21&lt;&gt;1,'היקף החוברות'!E21=""),"",C21*סיווג!D21)</f>
        <v>3.2249999999999996</v>
      </c>
      <c r="F21" s="26">
        <f t="shared" ca="1" si="0"/>
        <v>5.438448566610455E-2</v>
      </c>
      <c r="G21" s="122">
        <f ca="1">IF(OR('תנאי סף'!AL21&lt;&gt;1,ISNA(MATCH(C21,$H$10:$J$10,0)),B21=""),0,1)</f>
        <v>1</v>
      </c>
      <c r="H21" s="59">
        <f t="shared" ref="H21:J50" ca="1" si="3">IF($B21="","",H$10)</f>
        <v>1</v>
      </c>
      <c r="I21" s="57">
        <f t="shared" ca="1" si="3"/>
        <v>2</v>
      </c>
      <c r="J21" s="57">
        <f t="shared" ca="1" si="3"/>
        <v>3</v>
      </c>
    </row>
    <row r="22" spans="1:10" x14ac:dyDescent="0.2">
      <c r="A22" s="24">
        <f>'היקף החוברות'!A22</f>
        <v>12</v>
      </c>
      <c r="B22" s="30" t="str">
        <f ca="1">'היקף החוברות'!B22</f>
        <v>עתון 77 (אגודת סופרים ואמנים)</v>
      </c>
      <c r="C22" s="34">
        <v>2</v>
      </c>
      <c r="D22" s="429">
        <f ca="1">IF(B22="","",סיווג!D22)</f>
        <v>1.075</v>
      </c>
      <c r="E22" s="179">
        <f ca="1">IF(OR(G22&lt;&gt;1,'היקף החוברות'!E22=""),"",C22*סיווג!D22)</f>
        <v>2.15</v>
      </c>
      <c r="F22" s="26">
        <f t="shared" ca="1" si="0"/>
        <v>3.6256323777403038E-2</v>
      </c>
      <c r="G22" s="122">
        <f ca="1">IF(OR('תנאי סף'!AL22&lt;&gt;1,ISNA(MATCH(C22,$H$10:$J$10,0)),B22=""),0,1)</f>
        <v>1</v>
      </c>
      <c r="H22" s="59">
        <f t="shared" ca="1" si="3"/>
        <v>1</v>
      </c>
      <c r="I22" s="57">
        <f t="shared" ca="1" si="3"/>
        <v>2</v>
      </c>
      <c r="J22" s="57">
        <f t="shared" ca="1" si="3"/>
        <v>3</v>
      </c>
    </row>
    <row r="23" spans="1:10" x14ac:dyDescent="0.2">
      <c r="A23" s="24">
        <f>'היקף החוברות'!A23</f>
        <v>13</v>
      </c>
      <c r="B23" s="30" t="str">
        <f ca="1">'היקף החוברות'!B23</f>
        <v/>
      </c>
      <c r="C23" s="34"/>
      <c r="D23" s="429" t="str">
        <f ca="1">IF(B23="","",סיווג!D23)</f>
        <v/>
      </c>
      <c r="E23" s="179" t="str">
        <f ca="1">IF(OR(G23&lt;&gt;1,'היקף החוברות'!E23=""),"",C23*סיווג!D23)</f>
        <v/>
      </c>
      <c r="F23" s="26" t="str">
        <f t="shared" ca="1" si="0"/>
        <v/>
      </c>
      <c r="G23" s="122">
        <f ca="1">IF(OR('תנאי סף'!AL23&lt;&gt;1,ISNA(MATCH(C23,$H$10:$J$10,0)),B23=""),0,1)</f>
        <v>0</v>
      </c>
      <c r="H23" s="59" t="str">
        <f t="shared" ca="1" si="3"/>
        <v/>
      </c>
      <c r="I23" s="57" t="str">
        <f t="shared" ca="1" si="3"/>
        <v/>
      </c>
      <c r="J23" s="57" t="str">
        <f t="shared" ca="1" si="3"/>
        <v/>
      </c>
    </row>
    <row r="24" spans="1:10" x14ac:dyDescent="0.2">
      <c r="A24" s="24">
        <f>'היקף החוברות'!A24</f>
        <v>14</v>
      </c>
      <c r="B24" s="30" t="str">
        <f ca="1">'היקף החוברות'!B24</f>
        <v>פסיפס</v>
      </c>
      <c r="C24" s="34">
        <v>1</v>
      </c>
      <c r="D24" s="429">
        <f ca="1">IF(B24="","",סיווג!D24)</f>
        <v>1.075</v>
      </c>
      <c r="E24" s="179">
        <f ca="1">IF(OR(G24&lt;&gt;1,'היקף החוברות'!E24=""),"",C24*סיווג!D24)</f>
        <v>1.075</v>
      </c>
      <c r="F24" s="26">
        <f t="shared" ca="1" si="0"/>
        <v>1.8128161888701519E-2</v>
      </c>
      <c r="G24" s="122">
        <f ca="1">IF(OR('תנאי סף'!AL24&lt;&gt;1,ISNA(MATCH(C24,$H$10:$J$10,0)),B24=""),0,1)</f>
        <v>1</v>
      </c>
      <c r="H24" s="59">
        <f t="shared" ca="1" si="3"/>
        <v>1</v>
      </c>
      <c r="I24" s="57">
        <f t="shared" ca="1" si="3"/>
        <v>2</v>
      </c>
      <c r="J24" s="57">
        <f t="shared" ca="1" si="3"/>
        <v>3</v>
      </c>
    </row>
    <row r="25" spans="1:10" x14ac:dyDescent="0.2">
      <c r="A25" s="24">
        <f>'היקף החוברות'!A25</f>
        <v>15</v>
      </c>
      <c r="B25" s="30" t="str">
        <f ca="1">'היקף החוברות'!B25</f>
        <v>קתרזיס ( עמותת מצרף)</v>
      </c>
      <c r="C25" s="34">
        <v>1</v>
      </c>
      <c r="D25" s="429">
        <f ca="1">IF(B25="","",סיווג!D25)</f>
        <v>1.075</v>
      </c>
      <c r="E25" s="179">
        <f ca="1">IF(OR(G25&lt;&gt;1,'היקף החוברות'!E25=""),"",C25*סיווג!D25)</f>
        <v>1.075</v>
      </c>
      <c r="F25" s="26">
        <f t="shared" ca="1" si="0"/>
        <v>1.8128161888701519E-2</v>
      </c>
      <c r="G25" s="122">
        <f ca="1">IF(OR('תנאי סף'!AL25&lt;&gt;1,ISNA(MATCH(C25,$H$10:$J$10,0)),B25=""),0,1)</f>
        <v>1</v>
      </c>
      <c r="H25" s="59">
        <f t="shared" ca="1" si="3"/>
        <v>1</v>
      </c>
      <c r="I25" s="57">
        <f t="shared" ca="1" si="3"/>
        <v>2</v>
      </c>
      <c r="J25" s="57">
        <f t="shared" ca="1" si="3"/>
        <v>3</v>
      </c>
    </row>
    <row r="26" spans="1:10" x14ac:dyDescent="0.2">
      <c r="A26" s="24">
        <f>'היקף החוברות'!A26</f>
        <v>16</v>
      </c>
      <c r="B26" s="30" t="str">
        <f ca="1">'היקף החוברות'!B26</f>
        <v/>
      </c>
      <c r="C26" s="34"/>
      <c r="D26" s="429" t="str">
        <f ca="1">IF(B26="","",סיווג!D26)</f>
        <v/>
      </c>
      <c r="E26" s="179" t="str">
        <f ca="1">IF(OR(G26&lt;&gt;1,'היקף החוברות'!E26=""),"",C26*סיווג!D26)</f>
        <v/>
      </c>
      <c r="F26" s="26" t="str">
        <f t="shared" ca="1" si="0"/>
        <v/>
      </c>
      <c r="G26" s="122">
        <f ca="1">IF(OR('תנאי סף'!AL26&lt;&gt;1,ISNA(MATCH(C26,$H$10:$J$10,0)),B26=""),0,1)</f>
        <v>0</v>
      </c>
      <c r="H26" s="59" t="str">
        <f t="shared" ca="1" si="3"/>
        <v/>
      </c>
      <c r="I26" s="57" t="str">
        <f t="shared" ca="1" si="3"/>
        <v/>
      </c>
      <c r="J26" s="57" t="str">
        <f t="shared" ca="1" si="3"/>
        <v/>
      </c>
    </row>
    <row r="27" spans="1:10" x14ac:dyDescent="0.2">
      <c r="A27" s="24">
        <f>'היקף החוברות'!A27</f>
        <v>17</v>
      </c>
      <c r="B27" s="30" t="str">
        <f ca="1">'היקף החוברות'!B27</f>
        <v>הכיוון מזרח (עמותת אחותי)</v>
      </c>
      <c r="C27" s="34">
        <v>3</v>
      </c>
      <c r="D27" s="429">
        <f ca="1">IF(B27="","",סיווג!D27)</f>
        <v>1.1499999999999999</v>
      </c>
      <c r="E27" s="179">
        <f ca="1">IF(OR(G27&lt;&gt;1,'היקף החוברות'!E27=""),"",C27*סיווג!D27)</f>
        <v>3.4499999999999997</v>
      </c>
      <c r="F27" s="26">
        <f t="shared" ca="1" si="0"/>
        <v>5.81787521079258E-2</v>
      </c>
      <c r="G27" s="122">
        <f ca="1">IF(OR('תנאי סף'!AL27&lt;&gt;1,ISNA(MATCH(C27,$H$10:$J$10,0)),B27=""),0,1)</f>
        <v>1</v>
      </c>
      <c r="H27" s="59">
        <f t="shared" ca="1" si="3"/>
        <v>1</v>
      </c>
      <c r="I27" s="57">
        <f t="shared" ca="1" si="3"/>
        <v>2</v>
      </c>
      <c r="J27" s="57">
        <f t="shared" ca="1" si="3"/>
        <v>3</v>
      </c>
    </row>
    <row r="28" spans="1:10" x14ac:dyDescent="0.2">
      <c r="A28" s="24">
        <f>'היקף החוברות'!A28</f>
        <v>18</v>
      </c>
      <c r="B28" s="30" t="str">
        <f ca="1">'היקף החוברות'!B28</f>
        <v/>
      </c>
      <c r="C28" s="34"/>
      <c r="D28" s="429" t="str">
        <f ca="1">IF(B28="","",סיווג!D28)</f>
        <v/>
      </c>
      <c r="E28" s="179" t="str">
        <f ca="1">IF(OR(G28&lt;&gt;1,'היקף החוברות'!E28=""),"",C28*סיווג!D28)</f>
        <v/>
      </c>
      <c r="F28" s="26" t="str">
        <f t="shared" ca="1" si="0"/>
        <v/>
      </c>
      <c r="G28" s="122">
        <f ca="1">IF(OR('תנאי סף'!AL28&lt;&gt;1,ISNA(MATCH(C28,$H$10:$J$10,0)),B28=""),0,1)</f>
        <v>0</v>
      </c>
      <c r="H28" s="59" t="str">
        <f t="shared" ca="1" si="3"/>
        <v/>
      </c>
      <c r="I28" s="57" t="str">
        <f t="shared" ca="1" si="3"/>
        <v/>
      </c>
      <c r="J28" s="57" t="str">
        <f t="shared" ca="1" si="3"/>
        <v/>
      </c>
    </row>
    <row r="29" spans="1:10" x14ac:dyDescent="0.2">
      <c r="A29" s="24">
        <f>'היקף החוברות'!A29</f>
        <v>19</v>
      </c>
      <c r="B29" s="30" t="str">
        <f ca="1">'היקף החוברות'!B29</f>
        <v>הו</v>
      </c>
      <c r="C29" s="34">
        <v>3</v>
      </c>
      <c r="D29" s="429">
        <f ca="1">IF(B29="","",סיווג!D29)</f>
        <v>1.1499999999999999</v>
      </c>
      <c r="E29" s="179">
        <f ca="1">IF(OR(G29&lt;&gt;1,'היקף החוברות'!E29=""),"",C29*סיווג!D29)</f>
        <v>3.4499999999999997</v>
      </c>
      <c r="F29" s="26">
        <f t="shared" ca="1" si="0"/>
        <v>5.81787521079258E-2</v>
      </c>
      <c r="G29" s="122">
        <f ca="1">IF(OR('תנאי סף'!AL29&lt;&gt;1,ISNA(MATCH(C29,$H$10:$J$10,0)),B29=""),0,1)</f>
        <v>1</v>
      </c>
      <c r="H29" s="59">
        <f t="shared" ca="1" si="3"/>
        <v>1</v>
      </c>
      <c r="I29" s="57">
        <f t="shared" ca="1" si="3"/>
        <v>2</v>
      </c>
      <c r="J29" s="57">
        <f t="shared" ca="1" si="3"/>
        <v>3</v>
      </c>
    </row>
    <row r="30" spans="1:10" x14ac:dyDescent="0.2">
      <c r="A30" s="24">
        <f>'היקף החוברות'!A30</f>
        <v>20</v>
      </c>
      <c r="B30" s="30" t="str">
        <f ca="1">'היקף החוברות'!B30</f>
        <v>הבא להבא (עמותת מקום לשירה)</v>
      </c>
      <c r="C30" s="34">
        <v>2</v>
      </c>
      <c r="D30" s="429">
        <f ca="1">IF(B30="","",סיווג!D30)</f>
        <v>1.1499999999999999</v>
      </c>
      <c r="E30" s="179">
        <f ca="1">IF(OR(G30&lt;&gt;1,'היקף החוברות'!E30=""),"",C30*סיווג!D30)</f>
        <v>2.2999999999999998</v>
      </c>
      <c r="F30" s="26">
        <f t="shared" ca="1" si="0"/>
        <v>3.87858347386172E-2</v>
      </c>
      <c r="G30" s="122">
        <f ca="1">IF(OR('תנאי סף'!AL30&lt;&gt;1,ISNA(MATCH(C30,$H$10:$J$10,0)),B30=""),0,1)</f>
        <v>1</v>
      </c>
      <c r="H30" s="59">
        <f t="shared" ca="1" si="3"/>
        <v>1</v>
      </c>
      <c r="I30" s="57">
        <f t="shared" ca="1" si="3"/>
        <v>2</v>
      </c>
      <c r="J30" s="57">
        <f t="shared" ca="1" si="3"/>
        <v>3</v>
      </c>
    </row>
    <row r="31" spans="1:10" x14ac:dyDescent="0.2">
      <c r="A31" s="24">
        <f>'היקף החוברות'!A31</f>
        <v>21</v>
      </c>
      <c r="B31" s="30" t="str">
        <f ca="1">'היקף החוברות'!B31</f>
        <v>היסטוריה (החברה ההיסטורית הישרא</v>
      </c>
      <c r="C31" s="34">
        <v>2</v>
      </c>
      <c r="D31" s="429">
        <f ca="1">IF(B31="","",סיווג!D31)</f>
        <v>1.1499999999999999</v>
      </c>
      <c r="E31" s="179">
        <f ca="1">IF(OR(G31&lt;&gt;1,'היקף החוברות'!E31=""),"",C31*סיווג!D31)</f>
        <v>2.2999999999999998</v>
      </c>
      <c r="F31" s="26">
        <f t="shared" ca="1" si="0"/>
        <v>3.87858347386172E-2</v>
      </c>
      <c r="G31" s="122">
        <f ca="1">IF(OR('תנאי סף'!AL31&lt;&gt;1,ISNA(MATCH(C31,$H$10:$J$10,0)),B31=""),0,1)</f>
        <v>1</v>
      </c>
      <c r="H31" s="59">
        <f t="shared" ca="1" si="3"/>
        <v>1</v>
      </c>
      <c r="I31" s="57">
        <f t="shared" ca="1" si="3"/>
        <v>2</v>
      </c>
      <c r="J31" s="57">
        <f t="shared" ca="1" si="3"/>
        <v>3</v>
      </c>
    </row>
    <row r="32" spans="1:10" x14ac:dyDescent="0.2">
      <c r="A32" s="24">
        <f>'היקף החוברות'!A32</f>
        <v>22</v>
      </c>
      <c r="B32" s="30" t="str">
        <f ca="1">'היקף החוברות'!B32</f>
        <v>מחול עכשיו (תמונע)</v>
      </c>
      <c r="C32" s="34">
        <v>3</v>
      </c>
      <c r="D32" s="429">
        <f ca="1">IF(B32="","",סיווג!D32)</f>
        <v>1.1499999999999999</v>
      </c>
      <c r="E32" s="179">
        <f ca="1">IF(OR(G32&lt;&gt;1,'היקף החוברות'!E32=""),"",C32*סיווג!D32)</f>
        <v>3.4499999999999997</v>
      </c>
      <c r="F32" s="26">
        <f t="shared" ref="F32:F50" ca="1" si="4">IF(ISERR(E32/$E$51),"",E32/$E$51)</f>
        <v>5.81787521079258E-2</v>
      </c>
      <c r="G32" s="122">
        <f ca="1">IF(OR('תנאי סף'!AL32&lt;&gt;1,ISNA(MATCH(C32,$H$10:$J$10,0)),B32=""),0,1)</f>
        <v>1</v>
      </c>
      <c r="H32" s="59">
        <f t="shared" ca="1" si="3"/>
        <v>1</v>
      </c>
      <c r="I32" s="57">
        <f t="shared" ca="1" si="3"/>
        <v>2</v>
      </c>
      <c r="J32" s="57">
        <f t="shared" ca="1" si="3"/>
        <v>3</v>
      </c>
    </row>
    <row r="33" spans="1:10" x14ac:dyDescent="0.2">
      <c r="A33" s="24">
        <f>'היקף החוברות'!A33</f>
        <v>23</v>
      </c>
      <c r="B33" s="30" t="str">
        <f ca="1">'היקף החוברות'!B33</f>
        <v>קול אישה שירה (תואר)</v>
      </c>
      <c r="C33" s="34">
        <v>3</v>
      </c>
      <c r="D33" s="429">
        <f ca="1">IF(B33="","",סיווג!D33)</f>
        <v>1</v>
      </c>
      <c r="E33" s="179">
        <f ca="1">IF(OR(G33&lt;&gt;1,'היקף החוברות'!E33=""),"",C33*סיווג!D33)</f>
        <v>3</v>
      </c>
      <c r="F33" s="26">
        <f t="shared" ca="1" si="4"/>
        <v>5.0590219224283306E-2</v>
      </c>
      <c r="G33" s="122">
        <f ca="1">IF(OR('תנאי סף'!AL33&lt;&gt;1,ISNA(MATCH(C33,$H$10:$J$10,0)),B33=""),0,1)</f>
        <v>1</v>
      </c>
      <c r="H33" s="59">
        <f t="shared" ca="1" si="3"/>
        <v>1</v>
      </c>
      <c r="I33" s="57">
        <f t="shared" ca="1" si="3"/>
        <v>2</v>
      </c>
      <c r="J33" s="57">
        <f t="shared" ca="1" si="3"/>
        <v>3</v>
      </c>
    </row>
    <row r="34" spans="1:10" x14ac:dyDescent="0.2">
      <c r="A34" s="24">
        <f>'היקף החוברות'!A34</f>
        <v>24</v>
      </c>
      <c r="B34" s="30" t="str">
        <f ca="1">'היקף החוברות'!B34</f>
        <v>האיגוד העולמי למדעי היהדות</v>
      </c>
      <c r="C34" s="34">
        <v>3</v>
      </c>
      <c r="D34" s="429">
        <f ca="1">IF(B34="","",סיווג!D34)</f>
        <v>1.1499999999999999</v>
      </c>
      <c r="E34" s="179">
        <f ca="1">IF(OR(G34&lt;&gt;1,'היקף החוברות'!E34=""),"",C34*סיווג!D34)</f>
        <v>3.4499999999999997</v>
      </c>
      <c r="F34" s="26">
        <f t="shared" ca="1" si="4"/>
        <v>5.81787521079258E-2</v>
      </c>
      <c r="G34" s="122">
        <f ca="1">IF(OR('תנאי סף'!AL34&lt;&gt;1,ISNA(MATCH(C34,$H$10:$J$10,0)),B34=""),0,1)</f>
        <v>1</v>
      </c>
      <c r="H34" s="59">
        <f t="shared" ca="1" si="3"/>
        <v>1</v>
      </c>
      <c r="I34" s="57">
        <f t="shared" ca="1" si="3"/>
        <v>2</v>
      </c>
      <c r="J34" s="57">
        <f t="shared" ca="1" si="3"/>
        <v>3</v>
      </c>
    </row>
    <row r="35" spans="1:10" x14ac:dyDescent="0.2">
      <c r="A35" s="24">
        <f>'היקף החוברות'!A35</f>
        <v>25</v>
      </c>
      <c r="B35" s="30" t="str">
        <f ca="1">'היקף החוברות'!B35</f>
        <v/>
      </c>
      <c r="C35" s="34"/>
      <c r="D35" s="429" t="str">
        <f ca="1">IF(B35="","",סיווג!D35)</f>
        <v/>
      </c>
      <c r="E35" s="179" t="str">
        <f ca="1">IF(OR(G35&lt;&gt;1,'היקף החוברות'!E35=""),"",C35*סיווג!D35)</f>
        <v/>
      </c>
      <c r="F35" s="26" t="str">
        <f t="shared" ca="1" si="4"/>
        <v/>
      </c>
      <c r="G35" s="122">
        <f ca="1">IF(OR('תנאי סף'!AL35&lt;&gt;1,ISNA(MATCH(C35,$H$10:$J$10,0)),B35=""),0,1)</f>
        <v>0</v>
      </c>
      <c r="H35" s="59" t="str">
        <f t="shared" ca="1" si="3"/>
        <v/>
      </c>
      <c r="I35" s="57" t="str">
        <f t="shared" ca="1" si="3"/>
        <v/>
      </c>
      <c r="J35" s="57" t="str">
        <f t="shared" ca="1" si="3"/>
        <v/>
      </c>
    </row>
    <row r="36" spans="1:10" x14ac:dyDescent="0.2">
      <c r="A36" s="24">
        <f>'היקף החוברות'!A36</f>
        <v>26</v>
      </c>
      <c r="B36" s="30" t="str">
        <f ca="1">'היקף החוברות'!B36</f>
        <v/>
      </c>
      <c r="C36" s="34"/>
      <c r="D36" s="429" t="str">
        <f ca="1">IF(B36="","",סיווג!D36)</f>
        <v/>
      </c>
      <c r="E36" s="179" t="str">
        <f ca="1">IF(OR(G36&lt;&gt;1,'היקף החוברות'!E36=""),"",C36*סיווג!D36)</f>
        <v/>
      </c>
      <c r="F36" s="26" t="str">
        <f t="shared" ca="1" si="4"/>
        <v/>
      </c>
      <c r="G36" s="122">
        <f ca="1">IF(OR('תנאי סף'!AL36&lt;&gt;1,ISNA(MATCH(C36,$H$10:$J$10,0)),B36=""),0,1)</f>
        <v>0</v>
      </c>
      <c r="H36" s="59" t="str">
        <f t="shared" ca="1" si="3"/>
        <v/>
      </c>
      <c r="I36" s="57" t="str">
        <f t="shared" ca="1" si="3"/>
        <v/>
      </c>
      <c r="J36" s="57" t="str">
        <f t="shared" ca="1" si="3"/>
        <v/>
      </c>
    </row>
    <row r="37" spans="1:10" x14ac:dyDescent="0.2">
      <c r="A37" s="24">
        <f>'היקף החוברות'!A37</f>
        <v>27</v>
      </c>
      <c r="B37" s="30" t="str">
        <f ca="1">'היקף החוברות'!B37</f>
        <v/>
      </c>
      <c r="C37" s="34"/>
      <c r="D37" s="429" t="str">
        <f ca="1">IF(B37="","",סיווג!D37)</f>
        <v/>
      </c>
      <c r="E37" s="179" t="str">
        <f ca="1">IF(OR(G37&lt;&gt;1,'היקף החוברות'!E37=""),"",C37*סיווג!D37)</f>
        <v/>
      </c>
      <c r="F37" s="26" t="str">
        <f t="shared" ca="1" si="4"/>
        <v/>
      </c>
      <c r="G37" s="122">
        <f ca="1">IF(OR('תנאי סף'!AL37&lt;&gt;1,ISNA(MATCH(C37,$H$10:$J$10,0)),B37=""),0,1)</f>
        <v>0</v>
      </c>
      <c r="H37" s="59" t="str">
        <f t="shared" ca="1" si="3"/>
        <v/>
      </c>
      <c r="I37" s="57" t="str">
        <f t="shared" ca="1" si="3"/>
        <v/>
      </c>
      <c r="J37" s="57" t="str">
        <f t="shared" ca="1" si="3"/>
        <v/>
      </c>
    </row>
    <row r="38" spans="1:10" x14ac:dyDescent="0.2">
      <c r="A38" s="24">
        <f>'היקף החוברות'!A38</f>
        <v>28</v>
      </c>
      <c r="B38" s="30" t="str">
        <f ca="1">'היקף החוברות'!B38</f>
        <v/>
      </c>
      <c r="C38" s="34"/>
      <c r="D38" s="429" t="str">
        <f ca="1">IF(B38="","",סיווג!D38)</f>
        <v/>
      </c>
      <c r="E38" s="179" t="str">
        <f ca="1">IF(OR(G38&lt;&gt;1,'היקף החוברות'!E38=""),"",C38*סיווג!D38)</f>
        <v/>
      </c>
      <c r="F38" s="26" t="str">
        <f t="shared" ca="1" si="4"/>
        <v/>
      </c>
      <c r="G38" s="122">
        <f ca="1">IF(OR('תנאי סף'!AL38&lt;&gt;1,ISNA(MATCH(C38,$H$10:$J$10,0)),B38=""),0,1)</f>
        <v>0</v>
      </c>
      <c r="H38" s="59" t="str">
        <f t="shared" ca="1" si="3"/>
        <v/>
      </c>
      <c r="I38" s="57" t="str">
        <f t="shared" ca="1" si="3"/>
        <v/>
      </c>
      <c r="J38" s="57" t="str">
        <f t="shared" ca="1" si="3"/>
        <v/>
      </c>
    </row>
    <row r="39" spans="1:10" x14ac:dyDescent="0.2">
      <c r="A39" s="24">
        <f>'היקף החוברות'!A39</f>
        <v>29</v>
      </c>
      <c r="B39" s="30" t="str">
        <f ca="1">'היקף החוברות'!B39</f>
        <v>גופא (נתיב האומן )</v>
      </c>
      <c r="C39" s="34">
        <v>1</v>
      </c>
      <c r="D39" s="429">
        <f ca="1">IF(B39="","",סיווג!D39)</f>
        <v>1</v>
      </c>
      <c r="E39" s="179">
        <f ca="1">IF(OR(G39&lt;&gt;1,'היקף החוברות'!E39=""),"",C39*סיווג!D39)</f>
        <v>1</v>
      </c>
      <c r="F39" s="26">
        <f t="shared" ca="1" si="4"/>
        <v>1.6863406408094434E-2</v>
      </c>
      <c r="G39" s="122">
        <f ca="1">IF(OR('תנאי סף'!AL39&lt;&gt;1,ISNA(MATCH(C39,$H$10:$J$10,0)),B39=""),0,1)</f>
        <v>1</v>
      </c>
      <c r="H39" s="59">
        <f t="shared" ca="1" si="3"/>
        <v>1</v>
      </c>
      <c r="I39" s="57">
        <f t="shared" ca="1" si="3"/>
        <v>2</v>
      </c>
      <c r="J39" s="57">
        <f t="shared" ca="1" si="3"/>
        <v>3</v>
      </c>
    </row>
    <row r="40" spans="1:10" x14ac:dyDescent="0.2">
      <c r="A40" s="24">
        <f>'היקף החוברות'!A40</f>
        <v>30</v>
      </c>
      <c r="B40" s="30" t="str">
        <f ca="1">'היקף החוברות'!B40</f>
        <v>ערב רב (בר קיימא)</v>
      </c>
      <c r="C40" s="34">
        <v>2</v>
      </c>
      <c r="D40" s="429">
        <f ca="1">IF(B40="","",סיווג!D40)</f>
        <v>1.075</v>
      </c>
      <c r="E40" s="179">
        <f ca="1">IF(OR(G40&lt;&gt;1,'היקף החוברות'!E40=""),"",C40*סיווג!D40)</f>
        <v>2.15</v>
      </c>
      <c r="F40" s="26">
        <f t="shared" ca="1" si="4"/>
        <v>3.6256323777403038E-2</v>
      </c>
      <c r="G40" s="122">
        <f ca="1">IF(OR('תנאי סף'!AL40&lt;&gt;1,ISNA(MATCH(C40,$H$10:$J$10,0)),B40=""),0,1)</f>
        <v>1</v>
      </c>
      <c r="H40" s="59">
        <f t="shared" ca="1" si="3"/>
        <v>1</v>
      </c>
      <c r="I40" s="57">
        <f t="shared" ca="1" si="3"/>
        <v>2</v>
      </c>
      <c r="J40" s="57">
        <f t="shared" ca="1" si="3"/>
        <v>3</v>
      </c>
    </row>
    <row r="41" spans="1:10" x14ac:dyDescent="0.2">
      <c r="A41" s="24">
        <f>'היקף החוברות'!A41</f>
        <v>31</v>
      </c>
      <c r="B41" s="30" t="str">
        <f ca="1">'היקף החוברות'!B41</f>
        <v/>
      </c>
      <c r="C41" s="34"/>
      <c r="D41" s="429" t="str">
        <f ca="1">IF(B41="","",סיווג!D41)</f>
        <v/>
      </c>
      <c r="E41" s="179" t="str">
        <f ca="1">IF(OR(G41&lt;&gt;1,'היקף החוברות'!E41=""),"",C41*סיווג!D41)</f>
        <v/>
      </c>
      <c r="F41" s="26" t="str">
        <f t="shared" ca="1" si="4"/>
        <v/>
      </c>
      <c r="G41" s="122">
        <f ca="1">IF(OR('תנאי סף'!AL41&lt;&gt;1,ISNA(MATCH(C41,$H$10:$J$10,0)),B41=""),0,1)</f>
        <v>0</v>
      </c>
      <c r="H41" s="59" t="str">
        <f t="shared" ca="1" si="3"/>
        <v/>
      </c>
      <c r="I41" s="57" t="str">
        <f t="shared" ca="1" si="3"/>
        <v/>
      </c>
      <c r="J41" s="57" t="str">
        <f t="shared" ca="1" si="3"/>
        <v/>
      </c>
    </row>
    <row r="42" spans="1:10" x14ac:dyDescent="0.2">
      <c r="A42" s="24">
        <f>'היקף החוברות'!A42</f>
        <v>32</v>
      </c>
      <c r="B42" s="30" t="str">
        <f ca="1">'היקף החוברות'!B42</f>
        <v>מעלה</v>
      </c>
      <c r="C42" s="34">
        <v>3</v>
      </c>
      <c r="D42" s="429">
        <f ca="1">IF(B42="","",סיווג!D42)</f>
        <v>1.075</v>
      </c>
      <c r="E42" s="179">
        <f ca="1">IF(OR(G42&lt;&gt;1,'היקף החוברות'!E42=""),"",C42*סיווג!D42)</f>
        <v>3.2249999999999996</v>
      </c>
      <c r="F42" s="26">
        <f t="shared" ca="1" si="4"/>
        <v>5.438448566610455E-2</v>
      </c>
      <c r="G42" s="122">
        <f ca="1">IF(OR('תנאי סף'!AL42&lt;&gt;1,ISNA(MATCH(C42,$H$10:$J$10,0)),B42=""),0,1)</f>
        <v>1</v>
      </c>
      <c r="H42" s="59">
        <f t="shared" ca="1" si="3"/>
        <v>1</v>
      </c>
      <c r="I42" s="57">
        <f t="shared" ca="1" si="3"/>
        <v>2</v>
      </c>
      <c r="J42" s="57">
        <f t="shared" ca="1" si="3"/>
        <v>3</v>
      </c>
    </row>
    <row r="43" spans="1:10" x14ac:dyDescent="0.2">
      <c r="A43" s="24">
        <f>'היקף החוברות'!A43</f>
        <v>33</v>
      </c>
      <c r="B43" s="30" t="str">
        <f ca="1">'היקף החוברות'!B43</f>
        <v/>
      </c>
      <c r="C43" s="34"/>
      <c r="D43" s="429" t="str">
        <f ca="1">IF(B43="","",סיווג!D43)</f>
        <v/>
      </c>
      <c r="E43" s="179" t="str">
        <f ca="1">IF(OR(G43&lt;&gt;1,'היקף החוברות'!E43=""),"",C43*סיווג!D43)</f>
        <v/>
      </c>
      <c r="F43" s="26" t="str">
        <f t="shared" ca="1" si="4"/>
        <v/>
      </c>
      <c r="G43" s="122">
        <f ca="1">IF(OR('תנאי סף'!AL43&lt;&gt;1,ISNA(MATCH(C43,$H$10:$J$10,0)),B43=""),0,1)</f>
        <v>0</v>
      </c>
      <c r="H43" s="59" t="str">
        <f t="shared" ca="1" si="3"/>
        <v/>
      </c>
      <c r="I43" s="57" t="str">
        <f t="shared" ca="1" si="3"/>
        <v/>
      </c>
      <c r="J43" s="57" t="str">
        <f t="shared" ca="1" si="3"/>
        <v/>
      </c>
    </row>
    <row r="44" spans="1:10" x14ac:dyDescent="0.2">
      <c r="A44" s="24">
        <f>'היקף החוברות'!A44</f>
        <v>34</v>
      </c>
      <c r="B44" s="30" t="str">
        <f ca="1">'היקף החוברות'!B44</f>
        <v>כתב עת ירושלמי</v>
      </c>
      <c r="C44" s="165">
        <v>1</v>
      </c>
      <c r="D44" s="429">
        <f ca="1">IF(B44="","",סיווג!D44)</f>
        <v>1</v>
      </c>
      <c r="E44" s="179">
        <f ca="1">IF(OR(G44&lt;&gt;1,'היקף החוברות'!E44=""),"",C44*סיווג!D44)</f>
        <v>1</v>
      </c>
      <c r="F44" s="26">
        <f t="shared" ca="1" si="4"/>
        <v>1.6863406408094434E-2</v>
      </c>
      <c r="G44" s="122">
        <f ca="1">IF(OR('תנאי סף'!AL44&lt;&gt;1,ISNA(MATCH(C44,$H$10:$J$10,0)),B44=""),0,1)</f>
        <v>1</v>
      </c>
      <c r="H44" s="59">
        <f t="shared" ca="1" si="3"/>
        <v>1</v>
      </c>
      <c r="I44" s="57">
        <f t="shared" ca="1" si="3"/>
        <v>2</v>
      </c>
      <c r="J44" s="57">
        <f t="shared" ca="1" si="3"/>
        <v>3</v>
      </c>
    </row>
    <row r="45" spans="1:10" x14ac:dyDescent="0.2">
      <c r="A45" s="24">
        <f>'היקף החוברות'!A45</f>
        <v>35</v>
      </c>
      <c r="B45" s="30" t="str">
        <f ca="1">'היקף החוברות'!B45</f>
        <v/>
      </c>
      <c r="C45" s="165"/>
      <c r="D45" s="429" t="str">
        <f ca="1">IF(B45="","",סיווג!D45)</f>
        <v/>
      </c>
      <c r="E45" s="179" t="str">
        <f ca="1">IF(OR(G45&lt;&gt;1,'היקף החוברות'!E45=""),"",C45*סיווג!D45)</f>
        <v/>
      </c>
      <c r="F45" s="26" t="str">
        <f t="shared" ca="1" si="4"/>
        <v/>
      </c>
      <c r="G45" s="122">
        <f ca="1">IF(OR('תנאי סף'!AL45&lt;&gt;1,ISNA(MATCH(C45,$H$10:$J$10,0)),B45=""),0,1)</f>
        <v>0</v>
      </c>
      <c r="H45" s="59" t="str">
        <f t="shared" ca="1" si="3"/>
        <v/>
      </c>
      <c r="I45" s="57" t="str">
        <f t="shared" ca="1" si="3"/>
        <v/>
      </c>
      <c r="J45" s="57" t="str">
        <f t="shared" ca="1" si="3"/>
        <v/>
      </c>
    </row>
    <row r="46" spans="1:10" x14ac:dyDescent="0.2">
      <c r="A46" s="24">
        <f>'היקף החוברות'!A46</f>
        <v>36</v>
      </c>
      <c r="B46" s="30" t="str">
        <f ca="1">'היקף החוברות'!B46</f>
        <v>העמותה ליצירה פנטסטית- אוטופיה</v>
      </c>
      <c r="C46" s="165"/>
      <c r="D46" s="429">
        <f ca="1">IF(B46="","",סיווג!D46)</f>
        <v>1</v>
      </c>
      <c r="E46" s="179" t="str">
        <f ca="1">IF(OR(G46&lt;&gt;1,'היקף החוברות'!E46=""),"",C46*סיווג!D46)</f>
        <v/>
      </c>
      <c r="F46" s="26" t="str">
        <f t="shared" ca="1" si="4"/>
        <v/>
      </c>
      <c r="G46" s="122">
        <f ca="1">IF(OR('תנאי סף'!AL46&lt;&gt;1,ISNA(MATCH(C46,$H$10:$J$10,0)),B46=""),0,1)</f>
        <v>0</v>
      </c>
      <c r="H46" s="59">
        <f t="shared" ca="1" si="3"/>
        <v>1</v>
      </c>
      <c r="I46" s="57">
        <f t="shared" ca="1" si="3"/>
        <v>2</v>
      </c>
      <c r="J46" s="57">
        <f t="shared" ca="1" si="3"/>
        <v>3</v>
      </c>
    </row>
    <row r="47" spans="1:10" x14ac:dyDescent="0.2">
      <c r="A47" s="24">
        <f>'היקף החוברות'!A47</f>
        <v>37</v>
      </c>
      <c r="B47" s="30" t="str">
        <f ca="1">'היקף החוברות'!B47</f>
        <v/>
      </c>
      <c r="C47" s="165"/>
      <c r="D47" s="429" t="str">
        <f ca="1">IF(B47="","",סיווג!D47)</f>
        <v/>
      </c>
      <c r="E47" s="179" t="str">
        <f ca="1">IF(OR(G47&lt;&gt;1,'היקף החוברות'!E47=""),"",C47*סיווג!D47)</f>
        <v/>
      </c>
      <c r="F47" s="26" t="str">
        <f t="shared" ca="1" si="4"/>
        <v/>
      </c>
      <c r="G47" s="122">
        <f ca="1">IF(OR('תנאי סף'!AL47&lt;&gt;1,ISNA(MATCH(C47,$H$10:$J$10,0)),B47=""),0,1)</f>
        <v>0</v>
      </c>
      <c r="H47" s="59" t="str">
        <f t="shared" ca="1" si="3"/>
        <v/>
      </c>
      <c r="I47" s="57" t="str">
        <f t="shared" ca="1" si="3"/>
        <v/>
      </c>
      <c r="J47" s="57" t="str">
        <f t="shared" ca="1" si="3"/>
        <v/>
      </c>
    </row>
    <row r="48" spans="1:10" x14ac:dyDescent="0.2">
      <c r="A48" s="24">
        <f>'היקף החוברות'!A48</f>
        <v>38</v>
      </c>
      <c r="B48" s="30" t="str">
        <f ca="1">'היקף החוברות'!B48</f>
        <v/>
      </c>
      <c r="C48" s="165"/>
      <c r="D48" s="429" t="str">
        <f ca="1">IF(B48="","",סיווג!D48)</f>
        <v/>
      </c>
      <c r="E48" s="179" t="str">
        <f ca="1">IF(OR(G48&lt;&gt;1,'היקף החוברות'!E48=""),"",C48*סיווג!D48)</f>
        <v/>
      </c>
      <c r="F48" s="26" t="str">
        <f t="shared" ca="1" si="4"/>
        <v/>
      </c>
      <c r="G48" s="122">
        <f ca="1">IF(OR('תנאי סף'!AL48&lt;&gt;1,ISNA(MATCH(C48,$H$10:$J$10,0)),B48=""),0,1)</f>
        <v>0</v>
      </c>
      <c r="H48" s="59" t="str">
        <f t="shared" ca="1" si="3"/>
        <v/>
      </c>
      <c r="I48" s="57" t="str">
        <f t="shared" ca="1" si="3"/>
        <v/>
      </c>
      <c r="J48" s="57" t="str">
        <f t="shared" ca="1" si="3"/>
        <v/>
      </c>
    </row>
    <row r="49" spans="1:10" x14ac:dyDescent="0.2">
      <c r="A49" s="24">
        <f>'היקף החוברות'!A49</f>
        <v>39</v>
      </c>
      <c r="B49" s="30" t="str">
        <f ca="1">'היקף החוברות'!B49</f>
        <v/>
      </c>
      <c r="C49" s="165"/>
      <c r="D49" s="429" t="str">
        <f ca="1">IF(B49="","",סיווג!D49)</f>
        <v/>
      </c>
      <c r="E49" s="179" t="str">
        <f ca="1">IF(OR(G49&lt;&gt;1,'היקף החוברות'!E49=""),"",C49*סיווג!D49)</f>
        <v/>
      </c>
      <c r="F49" s="26" t="str">
        <f t="shared" ca="1" si="4"/>
        <v/>
      </c>
      <c r="G49" s="122">
        <f ca="1">IF(OR('תנאי סף'!AL49&lt;&gt;1,ISNA(MATCH(C49,$H$10:$J$10,0)),B49=""),0,1)</f>
        <v>0</v>
      </c>
      <c r="H49" s="59" t="str">
        <f t="shared" ca="1" si="3"/>
        <v/>
      </c>
      <c r="I49" s="57" t="str">
        <f t="shared" ca="1" si="3"/>
        <v/>
      </c>
      <c r="J49" s="57" t="str">
        <f t="shared" ca="1" si="3"/>
        <v/>
      </c>
    </row>
    <row r="50" spans="1:10" ht="13.5" thickBot="1" x14ac:dyDescent="0.25">
      <c r="A50" s="24">
        <f>'היקף החוברות'!A50</f>
        <v>40</v>
      </c>
      <c r="B50" s="30" t="str">
        <f ca="1">'היקף החוברות'!B50</f>
        <v/>
      </c>
      <c r="C50" s="36"/>
      <c r="D50" s="429" t="str">
        <f ca="1">IF(B50="","",סיווג!D50)</f>
        <v/>
      </c>
      <c r="E50" s="179" t="str">
        <f ca="1">IF(OR(G50&lt;&gt;1,'היקף החוברות'!E50=""),"",C50*סיווג!D50)</f>
        <v/>
      </c>
      <c r="F50" s="26" t="str">
        <f t="shared" ca="1" si="4"/>
        <v/>
      </c>
      <c r="G50" s="122">
        <f ca="1">IF(OR('תנאי סף'!AL50&lt;&gt;1,ISNA(MATCH(C50,$H$10:$J$10,0)),B50=""),0,1)</f>
        <v>0</v>
      </c>
      <c r="H50" s="59" t="str">
        <f t="shared" ca="1" si="3"/>
        <v/>
      </c>
      <c r="I50" s="57" t="str">
        <f t="shared" ca="1" si="3"/>
        <v/>
      </c>
      <c r="J50" s="57" t="str">
        <f t="shared" ca="1" si="3"/>
        <v/>
      </c>
    </row>
    <row r="51" spans="1:10" ht="14.25" thickTop="1" thickBot="1" x14ac:dyDescent="0.25">
      <c r="A51" s="607" t="s">
        <v>54</v>
      </c>
      <c r="B51" s="617"/>
      <c r="C51" s="618"/>
      <c r="D51" s="139"/>
      <c r="E51" s="177">
        <f ca="1">SUM(E11:E50)</f>
        <v>59.3</v>
      </c>
      <c r="F51" s="178">
        <f ca="1">SUM(F11:F50)</f>
        <v>1</v>
      </c>
    </row>
    <row r="52" spans="1:10" ht="13.5" thickTop="1" x14ac:dyDescent="0.2"/>
    <row r="53" spans="1:10" x14ac:dyDescent="0.2">
      <c r="H53" s="18"/>
    </row>
  </sheetData>
  <sheetProtection algorithmName="SHA-512" hashValue="9VcYtup6jG57b6UuWbFGeaWR9sTgn2XXfCz2CBRKzIITaFYDd5x9UQIRo219RHDpLMFB0YmQGNjo3Pp/pdmtaw==" saltValue="sS4pYoIXAB3wcFiBCLwqqA==" spinCount="100000" sheet="1" scenarios="1" formatColumns="0" formatRows="0"/>
  <mergeCells count="2">
    <mergeCell ref="A9:F9"/>
    <mergeCell ref="A51:C51"/>
  </mergeCells>
  <phoneticPr fontId="0" type="noConversion"/>
  <conditionalFormatting sqref="C11:C50">
    <cfRule type="expression" dxfId="1017" priority="1" stopIfTrue="1">
      <formula>G11=0</formula>
    </cfRule>
  </conditionalFormatting>
  <dataValidations count="2">
    <dataValidation type="list" errorStyle="warning" allowBlank="1" showInputMessage="1" showErrorMessage="1" errorTitle="נתון לא חוקי" error="יש לוודא כי הוזן שם כתב העת_x000a__x000a_יש להזין 1, 2 , 3 או 4 בהתאם לרמה ההפקתית_x000a_" sqref="C11:C50" xr:uid="{00000000-0002-0000-0600-000000000000}">
      <formula1>H11:J11</formula1>
    </dataValidation>
    <dataValidation errorStyle="warning" allowBlank="1" showInputMessage="1" showErrorMessage="1" errorTitle="נתון לא חוקי" error="יש לוודא כי הוזן שם כתב העת_x000a__x000a_יש להזין 1, 2 , 3 או 4 בהתאם לרמה ההפקתית_x000a_" sqref="D11:D50" xr:uid="{00000000-0002-0000-0600-000001000000}"/>
  </dataValidations>
  <pageMargins left="0.27559055118110237" right="0.19685039370078741" top="0.51181102362204722" bottom="0.39370078740157483" header="0.15748031496062992" footer="0.19685039370078741"/>
  <pageSetup paperSize="9" scale="86" orientation="landscape" horizontalDpi="1200"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&amp;L&amp;"Arial,מודגש"&amp;12א. חפץ ושות'
יעוץ כלכלי&amp;Cעמוד &amp;P מתוך &amp;N&amp;R&amp;A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8">
    <tabColor indexed="46"/>
    <pageSetUpPr fitToPage="1"/>
  </sheetPr>
  <dimension ref="A1:M52"/>
  <sheetViews>
    <sheetView rightToLeft="1" view="pageBreakPreview" zoomScale="115" zoomScaleNormal="100" zoomScaleSheetLayoutView="115" workbookViewId="0"/>
  </sheetViews>
  <sheetFormatPr defaultColWidth="9.140625" defaultRowHeight="12.75" x14ac:dyDescent="0.2"/>
  <cols>
    <col min="1" max="1" width="10" bestFit="1" customWidth="1"/>
    <col min="2" max="2" width="33.28515625" customWidth="1"/>
    <col min="3" max="3" width="18.5703125" customWidth="1"/>
    <col min="4" max="4" width="16.140625" customWidth="1"/>
    <col min="5" max="7" width="22.28515625" customWidth="1"/>
    <col min="8" max="8" width="16.140625" bestFit="1" customWidth="1"/>
    <col min="9" max="9" width="14" bestFit="1" customWidth="1"/>
    <col min="10" max="13" width="2.42578125" hidden="1" customWidth="1"/>
    <col min="17" max="17" width="9.85546875" bestFit="1" customWidth="1"/>
  </cols>
  <sheetData>
    <row r="1" spans="1:13" ht="17.25" thickTop="1" thickBot="1" x14ac:dyDescent="0.25">
      <c r="B1" s="19" t="str">
        <f>פרמטרים!B1</f>
        <v>שנת התקציב</v>
      </c>
      <c r="C1" s="10">
        <f>פרמטרים!C1</f>
        <v>2025</v>
      </c>
    </row>
    <row r="2" spans="1:13" ht="18.75" thickBot="1" x14ac:dyDescent="0.25">
      <c r="B2" s="20" t="str">
        <f>פרמטרים!B2</f>
        <v>תקציב</v>
      </c>
      <c r="C2" s="9">
        <f>פרמטרים!C2</f>
        <v>1906914</v>
      </c>
    </row>
    <row r="3" spans="1:13" ht="13.5" hidden="1" thickTop="1" x14ac:dyDescent="0.2"/>
    <row r="4" spans="1:13" hidden="1" x14ac:dyDescent="0.2"/>
    <row r="5" spans="1:13" hidden="1" x14ac:dyDescent="0.2"/>
    <row r="6" spans="1:13" hidden="1" x14ac:dyDescent="0.2"/>
    <row r="7" spans="1:13" hidden="1" x14ac:dyDescent="0.2"/>
    <row r="8" spans="1:13" ht="13.5" hidden="1" thickBot="1" x14ac:dyDescent="0.25"/>
    <row r="9" spans="1:13" ht="17.25" thickTop="1" thickBot="1" x14ac:dyDescent="0.3">
      <c r="A9" s="609" t="str">
        <f ca="1">"שיעור יחסי במשתנה "&amp;MID(CELL("filename",C11),FIND("]",CELL("filename",C11),1)+1,99)</f>
        <v>שיעור יחסי במשתנה תמורה ליוצרים</v>
      </c>
      <c r="B9" s="610"/>
      <c r="C9" s="610"/>
      <c r="D9" s="610"/>
      <c r="E9" s="610"/>
      <c r="F9" s="610"/>
      <c r="G9" s="610"/>
      <c r="H9" s="610"/>
      <c r="I9" s="611"/>
    </row>
    <row r="10" spans="1:13" ht="48.75" thickTop="1" thickBot="1" x14ac:dyDescent="0.25">
      <c r="A10" s="3" t="str">
        <f>'היקף החוברות'!A10</f>
        <v>מספר סידורי</v>
      </c>
      <c r="B10" s="1" t="str">
        <f>'היקף החוברות'!B10</f>
        <v>שם כתב העת</v>
      </c>
      <c r="C10" s="343" t="s">
        <v>644</v>
      </c>
      <c r="D10" s="343" t="s">
        <v>645</v>
      </c>
      <c r="E10" s="1" t="s">
        <v>135</v>
      </c>
      <c r="F10" s="1" t="s">
        <v>136</v>
      </c>
      <c r="G10" s="1" t="s">
        <v>133</v>
      </c>
      <c r="H10" s="1" t="s">
        <v>137</v>
      </c>
      <c r="I10" s="4" t="str">
        <f>'היקף החוברות'!F10</f>
        <v>שיעור יחסי</v>
      </c>
      <c r="J10" s="121"/>
      <c r="K10" s="124">
        <v>0</v>
      </c>
      <c r="L10" s="125">
        <v>1</v>
      </c>
      <c r="M10" s="119">
        <v>2</v>
      </c>
    </row>
    <row r="11" spans="1:13" x14ac:dyDescent="0.2">
      <c r="A11" s="24">
        <f>'רמה הפקתית'!A11</f>
        <v>1</v>
      </c>
      <c r="B11" s="30" t="str">
        <f ca="1">'רמה הפקתית'!B11</f>
        <v>1280 מעלות (אמנים יוצרים)</v>
      </c>
      <c r="C11" s="180">
        <v>0</v>
      </c>
      <c r="D11" s="347">
        <v>94872</v>
      </c>
      <c r="E11" s="194">
        <f t="shared" ref="E11" ca="1" si="0">IF(J11&lt;&gt;1,"",C11/D11)</f>
        <v>0</v>
      </c>
      <c r="F11" s="195">
        <f ca="1">IF(J11&lt;&gt;1,"",IFERROR(IF(MAX($E$11:$E$50)=E11,10,10*E11/MAX($E$11:$E$50)),"בדוק נתוני הזנה"))</f>
        <v>0</v>
      </c>
      <c r="G11" s="195">
        <f>סיווג!D11</f>
        <v>1.1499999999999999</v>
      </c>
      <c r="H11" s="195">
        <f ca="1">IFERROR(F11*G11,"")</f>
        <v>0</v>
      </c>
      <c r="I11" s="26">
        <f t="shared" ref="I11" ca="1" si="1">IF(ISERR(H11/$H$51),"",H11/$H$51)</f>
        <v>0</v>
      </c>
      <c r="J11">
        <f ca="1">IF(OR('תנאי סף'!AL11&lt;&gt;1,B11="",C11="",ISERR(C11/2),C11&lt;0),0,1)</f>
        <v>1</v>
      </c>
      <c r="K11" s="59">
        <f t="shared" ref="K11:M50" ca="1" si="2">IF($B11="","",K$10)</f>
        <v>0</v>
      </c>
      <c r="L11" s="57">
        <f t="shared" ref="L11:M19" ca="1" si="3">IF($B11="","",L$10)</f>
        <v>1</v>
      </c>
      <c r="M11" s="120">
        <f t="shared" ca="1" si="3"/>
        <v>2</v>
      </c>
    </row>
    <row r="12" spans="1:13" x14ac:dyDescent="0.2">
      <c r="A12" s="24">
        <f>'רמה הפקתית'!A12</f>
        <v>2</v>
      </c>
      <c r="B12" s="30" t="str">
        <f ca="1">'רמה הפקתית'!B12</f>
        <v>יהי (אורי צבי גרינברג)</v>
      </c>
      <c r="C12" s="180">
        <v>0</v>
      </c>
      <c r="D12" s="347">
        <v>59565</v>
      </c>
      <c r="E12" s="194">
        <f t="shared" ref="E12:E14" ca="1" si="4">IF(J12&lt;&gt;1,"",C12/D12)</f>
        <v>0</v>
      </c>
      <c r="F12" s="195">
        <f t="shared" ref="F12:F50" ca="1" si="5">IF(J12&lt;&gt;1,"",IFERROR(IF(MAX($E$11:$E$50)=E12,10,10*E12/MAX($E$11:$E$50)),"בדוק נתוני הזנה"))</f>
        <v>0</v>
      </c>
      <c r="G12" s="195">
        <f>סיווג!D12</f>
        <v>1.1499999999999999</v>
      </c>
      <c r="H12" s="195">
        <f t="shared" ref="H12:H50" ca="1" si="6">IFERROR(F12*G12,"")</f>
        <v>0</v>
      </c>
      <c r="I12" s="26">
        <f t="shared" ref="I12:I14" ca="1" si="7">IF(ISERR(H12/$H$51),"",H12/$H$51)</f>
        <v>0</v>
      </c>
      <c r="J12">
        <f ca="1">IF(OR('תנאי סף'!AL12&lt;&gt;1,B12="",C12="",ISERR(C12/2),C12&lt;0),0,1)</f>
        <v>1</v>
      </c>
      <c r="K12" s="59">
        <f t="shared" ca="1" si="2"/>
        <v>0</v>
      </c>
      <c r="L12" s="57">
        <f t="shared" ca="1" si="3"/>
        <v>1</v>
      </c>
      <c r="M12" s="120">
        <f t="shared" ca="1" si="3"/>
        <v>2</v>
      </c>
    </row>
    <row r="13" spans="1:13" x14ac:dyDescent="0.2">
      <c r="A13" s="24">
        <f>'רמה הפקתית'!A13</f>
        <v>3</v>
      </c>
      <c r="B13" s="30" t="str">
        <f ca="1">'רמה הפקתית'!B13</f>
        <v/>
      </c>
      <c r="C13" s="180"/>
      <c r="D13" s="347"/>
      <c r="E13" s="194" t="str">
        <f t="shared" ca="1" si="4"/>
        <v/>
      </c>
      <c r="F13" s="195" t="str">
        <f t="shared" ca="1" si="5"/>
        <v/>
      </c>
      <c r="G13" s="195" t="str">
        <f>סיווג!D13</f>
        <v/>
      </c>
      <c r="H13" s="195" t="str">
        <f t="shared" ca="1" si="6"/>
        <v/>
      </c>
      <c r="I13" s="26" t="str">
        <f t="shared" ca="1" si="7"/>
        <v/>
      </c>
      <c r="J13">
        <f ca="1">IF(OR('תנאי סף'!AL13&lt;&gt;1,B13="",C13="",ISERR(C13/2),C13&lt;0),0,1)</f>
        <v>0</v>
      </c>
      <c r="K13" s="59" t="str">
        <f t="shared" ca="1" si="2"/>
        <v/>
      </c>
      <c r="L13" s="57" t="str">
        <f t="shared" ca="1" si="3"/>
        <v/>
      </c>
      <c r="M13" s="120" t="str">
        <f t="shared" ca="1" si="3"/>
        <v/>
      </c>
    </row>
    <row r="14" spans="1:13" x14ac:dyDescent="0.2">
      <c r="A14" s="24">
        <f>'רמה הפקתית'!A14</f>
        <v>4</v>
      </c>
      <c r="B14" s="30" t="str">
        <f ca="1">'רמה הפקתית'!B14</f>
        <v>דעות (ברית נאמני תורה ועבודה)</v>
      </c>
      <c r="C14" s="180">
        <v>0</v>
      </c>
      <c r="D14" s="347">
        <v>188803</v>
      </c>
      <c r="E14" s="194">
        <f t="shared" ca="1" si="4"/>
        <v>0</v>
      </c>
      <c r="F14" s="195">
        <f t="shared" ca="1" si="5"/>
        <v>0</v>
      </c>
      <c r="G14" s="195">
        <f>סיווג!D14</f>
        <v>1.1499999999999999</v>
      </c>
      <c r="H14" s="195">
        <f t="shared" ca="1" si="6"/>
        <v>0</v>
      </c>
      <c r="I14" s="26">
        <f t="shared" ca="1" si="7"/>
        <v>0</v>
      </c>
      <c r="J14">
        <f ca="1">IF(OR('תנאי סף'!AL14&lt;&gt;1,B14="",C14="",ISERR(C14/2),C14&lt;0),0,1)</f>
        <v>1</v>
      </c>
      <c r="K14" s="59">
        <f t="shared" ca="1" si="2"/>
        <v>0</v>
      </c>
      <c r="L14" s="57">
        <f t="shared" ca="1" si="3"/>
        <v>1</v>
      </c>
      <c r="M14" s="120">
        <f t="shared" ca="1" si="3"/>
        <v>2</v>
      </c>
    </row>
    <row r="15" spans="1:13" x14ac:dyDescent="0.2">
      <c r="A15" s="24">
        <f>'רמה הפקתית'!A15</f>
        <v>5</v>
      </c>
      <c r="B15" s="30" t="str">
        <f ca="1">'רמה הפקתית'!B15</f>
        <v>הליקון</v>
      </c>
      <c r="C15" s="180">
        <v>3250</v>
      </c>
      <c r="D15" s="347">
        <v>223294</v>
      </c>
      <c r="E15" s="194">
        <f t="shared" ref="E15:E50" ca="1" si="8">IF(J15&lt;&gt;1,"",C15/D15)</f>
        <v>1.4554802189042249E-2</v>
      </c>
      <c r="F15" s="195">
        <f t="shared" ca="1" si="5"/>
        <v>0.2014688145850049</v>
      </c>
      <c r="G15" s="195">
        <f>סיווג!D15</f>
        <v>1.1499999999999999</v>
      </c>
      <c r="H15" s="195">
        <f t="shared" ca="1" si="6"/>
        <v>0.23168913677275563</v>
      </c>
      <c r="I15" s="26">
        <f t="shared" ref="I15:I50" ca="1" si="9">IF(ISERR(H15/$H$51),"",H15/$H$51)</f>
        <v>4.9259434703487889E-3</v>
      </c>
      <c r="J15">
        <f ca="1">IF(OR('תנאי סף'!AL15&lt;&gt;1,B15="",C15="",ISERR(C15/2),C15&lt;0),0,1)</f>
        <v>1</v>
      </c>
      <c r="K15" s="59">
        <f t="shared" ca="1" si="2"/>
        <v>0</v>
      </c>
      <c r="L15" s="57">
        <f t="shared" ca="1" si="3"/>
        <v>1</v>
      </c>
      <c r="M15" s="120">
        <f t="shared" ca="1" si="3"/>
        <v>2</v>
      </c>
    </row>
    <row r="16" spans="1:13" x14ac:dyDescent="0.2">
      <c r="A16" s="24">
        <f>'רמה הפקתית'!A16</f>
        <v>6</v>
      </c>
      <c r="B16" s="30" t="str">
        <f ca="1">'רמה הפקתית'!B16</f>
        <v/>
      </c>
      <c r="C16" s="180"/>
      <c r="D16" s="347"/>
      <c r="E16" s="194" t="str">
        <f t="shared" ca="1" si="8"/>
        <v/>
      </c>
      <c r="F16" s="195" t="str">
        <f t="shared" ca="1" si="5"/>
        <v/>
      </c>
      <c r="G16" s="195" t="str">
        <f>סיווג!D16</f>
        <v/>
      </c>
      <c r="H16" s="195" t="str">
        <f t="shared" ca="1" si="6"/>
        <v/>
      </c>
      <c r="I16" s="26" t="str">
        <f t="shared" ca="1" si="9"/>
        <v/>
      </c>
      <c r="J16">
        <f ca="1">IF(OR('תנאי סף'!AL16&lt;&gt;1,B16="",C16="",ISERR(C16/2),C16&lt;0),0,1)</f>
        <v>0</v>
      </c>
      <c r="K16" s="59" t="str">
        <f t="shared" ca="1" si="2"/>
        <v/>
      </c>
      <c r="L16" s="57" t="str">
        <f t="shared" ca="1" si="3"/>
        <v/>
      </c>
      <c r="M16" s="120" t="str">
        <f t="shared" ca="1" si="3"/>
        <v/>
      </c>
    </row>
    <row r="17" spans="1:13" x14ac:dyDescent="0.2">
      <c r="A17" s="24">
        <f>'רמה הפקתית'!A17</f>
        <v>7</v>
      </c>
      <c r="B17" s="30" t="str">
        <f ca="1">'רמה הפקתית'!B17</f>
        <v/>
      </c>
      <c r="C17" s="180"/>
      <c r="D17" s="347"/>
      <c r="E17" s="194" t="str">
        <f t="shared" ca="1" si="8"/>
        <v/>
      </c>
      <c r="F17" s="195" t="str">
        <f t="shared" ca="1" si="5"/>
        <v/>
      </c>
      <c r="G17" s="195" t="str">
        <f>סיווג!D17</f>
        <v/>
      </c>
      <c r="H17" s="195" t="str">
        <f t="shared" ca="1" si="6"/>
        <v/>
      </c>
      <c r="I17" s="26" t="str">
        <f t="shared" ca="1" si="9"/>
        <v/>
      </c>
      <c r="J17">
        <f ca="1">IF(OR('תנאי סף'!AL17&lt;&gt;1,B17="",C17="",ISERR(C17/2),C17&lt;0),0,1)</f>
        <v>0</v>
      </c>
      <c r="K17" s="59" t="str">
        <f t="shared" ca="1" si="2"/>
        <v/>
      </c>
      <c r="L17" s="57" t="str">
        <f t="shared" ca="1" si="3"/>
        <v/>
      </c>
      <c r="M17" s="120" t="str">
        <f t="shared" ca="1" si="3"/>
        <v/>
      </c>
    </row>
    <row r="18" spans="1:13" x14ac:dyDescent="0.2">
      <c r="A18" s="24">
        <f>'רמה הפקתית'!A18</f>
        <v>8</v>
      </c>
      <c r="B18" s="30" t="str">
        <f ca="1">'רמה הפקתית'!B18</f>
        <v>ננפואטיקה (עמותת מקום לשירה)</v>
      </c>
      <c r="C18" s="180">
        <v>25394</v>
      </c>
      <c r="D18" s="347">
        <v>181544</v>
      </c>
      <c r="E18" s="194">
        <f t="shared" ca="1" si="8"/>
        <v>0.13987793592737849</v>
      </c>
      <c r="F18" s="195">
        <f t="shared" ca="1" si="5"/>
        <v>1.936202331839497</v>
      </c>
      <c r="G18" s="195">
        <f>סיווג!D18</f>
        <v>1.1499999999999999</v>
      </c>
      <c r="H18" s="195">
        <f t="shared" ca="1" si="6"/>
        <v>2.2266326816154214</v>
      </c>
      <c r="I18" s="26">
        <f t="shared" ca="1" si="9"/>
        <v>4.7340444492339533E-2</v>
      </c>
      <c r="J18">
        <f ca="1">IF(OR('תנאי סף'!AL18&lt;&gt;1,B18="",C18="",ISERR(C18/2),C18&lt;0),0,1)</f>
        <v>1</v>
      </c>
      <c r="K18" s="59">
        <f t="shared" ca="1" si="2"/>
        <v>0</v>
      </c>
      <c r="L18" s="57">
        <f t="shared" ca="1" si="3"/>
        <v>1</v>
      </c>
      <c r="M18" s="120">
        <f t="shared" ca="1" si="3"/>
        <v>2</v>
      </c>
    </row>
    <row r="19" spans="1:13" x14ac:dyDescent="0.2">
      <c r="A19" s="24">
        <f>'רמה הפקתית'!A19</f>
        <v>9</v>
      </c>
      <c r="B19" s="30" t="str">
        <f ca="1">'רמה הפקתית'!B19</f>
        <v>מאזניים (אגודת הסופרים העבריים)</v>
      </c>
      <c r="C19" s="180">
        <v>7954</v>
      </c>
      <c r="D19" s="347">
        <v>240791</v>
      </c>
      <c r="E19" s="194">
        <f t="shared" ca="1" si="8"/>
        <v>3.303279607626531E-2</v>
      </c>
      <c r="F19" s="195">
        <f t="shared" ca="1" si="5"/>
        <v>0.45724278361706117</v>
      </c>
      <c r="G19" s="195">
        <f>סיווג!D19</f>
        <v>1.1499999999999999</v>
      </c>
      <c r="H19" s="195">
        <f t="shared" ca="1" si="6"/>
        <v>0.52582920115962029</v>
      </c>
      <c r="I19" s="26">
        <f t="shared" ca="1" si="9"/>
        <v>1.11796563103926E-2</v>
      </c>
      <c r="J19">
        <f ca="1">IF(OR('תנאי סף'!AL19&lt;&gt;1,B19="",C19="",ISERR(C19/2),C19&lt;0),0,1)</f>
        <v>1</v>
      </c>
      <c r="K19" s="59">
        <f t="shared" ca="1" si="2"/>
        <v>0</v>
      </c>
      <c r="L19" s="57">
        <f t="shared" ca="1" si="3"/>
        <v>1</v>
      </c>
      <c r="M19" s="120">
        <f t="shared" ca="1" si="3"/>
        <v>2</v>
      </c>
    </row>
    <row r="20" spans="1:13" x14ac:dyDescent="0.2">
      <c r="A20" s="24">
        <f>'רמה הפקתית'!A20</f>
        <v>10</v>
      </c>
      <c r="B20" s="30" t="str">
        <f ca="1">'רמה הפקתית'!B20</f>
        <v>משיב הרוח</v>
      </c>
      <c r="C20" s="180">
        <v>11089</v>
      </c>
      <c r="D20" s="347">
        <v>217675</v>
      </c>
      <c r="E20" s="194">
        <f t="shared" ca="1" si="8"/>
        <v>5.0942919490065464E-2</v>
      </c>
      <c r="F20" s="195">
        <f t="shared" ca="1" si="5"/>
        <v>0.70515624107140107</v>
      </c>
      <c r="G20" s="195">
        <f>סיווג!D20</f>
        <v>1.1499999999999999</v>
      </c>
      <c r="H20" s="195">
        <f t="shared" ca="1" si="6"/>
        <v>0.81092967723211118</v>
      </c>
      <c r="I20" s="26">
        <f t="shared" ca="1" si="9"/>
        <v>1.7241178434669251E-2</v>
      </c>
      <c r="J20">
        <f ca="1">IF(OR('תנאי סף'!AL20&lt;&gt;1,B20="",C20="",ISERR(C20/2),C20&lt;0),0,1)</f>
        <v>1</v>
      </c>
      <c r="K20" s="59">
        <f t="shared" ca="1" si="2"/>
        <v>0</v>
      </c>
      <c r="L20" s="57">
        <f t="shared" ca="1" si="2"/>
        <v>1</v>
      </c>
      <c r="M20" s="120">
        <f t="shared" ca="1" si="2"/>
        <v>2</v>
      </c>
    </row>
    <row r="21" spans="1:13" x14ac:dyDescent="0.2">
      <c r="A21" s="24">
        <f>'רמה הפקתית'!A21</f>
        <v>11</v>
      </c>
      <c r="B21" s="30" t="str">
        <f ca="1">'רמה הפקתית'!B21</f>
        <v>עמדה (עמותת מונטן)</v>
      </c>
      <c r="C21" s="180">
        <v>0</v>
      </c>
      <c r="D21" s="347">
        <v>46390</v>
      </c>
      <c r="E21" s="194">
        <f t="shared" ca="1" si="8"/>
        <v>0</v>
      </c>
      <c r="F21" s="195">
        <f t="shared" ca="1" si="5"/>
        <v>0</v>
      </c>
      <c r="G21" s="195">
        <f>סיווג!D21</f>
        <v>1.075</v>
      </c>
      <c r="H21" s="195">
        <f t="shared" ca="1" si="6"/>
        <v>0</v>
      </c>
      <c r="I21" s="26">
        <f t="shared" ca="1" si="9"/>
        <v>0</v>
      </c>
      <c r="J21">
        <f ca="1">IF(OR('תנאי סף'!AL21&lt;&gt;1,B21="",C21="",ISERR(C21/2),C21&lt;0),0,1)</f>
        <v>1</v>
      </c>
      <c r="K21" s="59">
        <f t="shared" ca="1" si="2"/>
        <v>0</v>
      </c>
      <c r="L21" s="57">
        <f t="shared" ca="1" si="2"/>
        <v>1</v>
      </c>
      <c r="M21" s="120">
        <f t="shared" ca="1" si="2"/>
        <v>2</v>
      </c>
    </row>
    <row r="22" spans="1:13" x14ac:dyDescent="0.2">
      <c r="A22" s="24">
        <f>'רמה הפקתית'!A22</f>
        <v>12</v>
      </c>
      <c r="B22" s="30" t="str">
        <f ca="1">'רמה הפקתית'!B22</f>
        <v>עתון 77 (אגודת סופרים ואמנים)</v>
      </c>
      <c r="C22" s="180">
        <v>9605</v>
      </c>
      <c r="D22" s="347">
        <v>287585</v>
      </c>
      <c r="E22" s="194">
        <f t="shared" ca="1" si="8"/>
        <v>3.3398821218074658E-2</v>
      </c>
      <c r="F22" s="195">
        <f t="shared" ca="1" si="5"/>
        <v>0.46230933488109388</v>
      </c>
      <c r="G22" s="195">
        <f>סיווג!D22</f>
        <v>1.075</v>
      </c>
      <c r="H22" s="195">
        <f t="shared" ca="1" si="6"/>
        <v>0.49698253499717593</v>
      </c>
      <c r="I22" s="26">
        <f t="shared" ca="1" si="9"/>
        <v>1.0566347249797345E-2</v>
      </c>
      <c r="J22">
        <f ca="1">IF(OR('תנאי סף'!AL22&lt;&gt;1,B22="",C22="",ISERR(C22/2),C22&lt;0),0,1)</f>
        <v>1</v>
      </c>
      <c r="K22" s="59">
        <f t="shared" ca="1" si="2"/>
        <v>0</v>
      </c>
      <c r="L22" s="57">
        <f t="shared" ca="1" si="2"/>
        <v>1</v>
      </c>
      <c r="M22" s="120">
        <f t="shared" ca="1" si="2"/>
        <v>2</v>
      </c>
    </row>
    <row r="23" spans="1:13" x14ac:dyDescent="0.2">
      <c r="A23" s="24">
        <f>'רמה הפקתית'!A23</f>
        <v>13</v>
      </c>
      <c r="B23" s="30" t="str">
        <f ca="1">'רמה הפקתית'!B23</f>
        <v/>
      </c>
      <c r="C23" s="180"/>
      <c r="D23" s="347"/>
      <c r="E23" s="194" t="str">
        <f t="shared" ca="1" si="8"/>
        <v/>
      </c>
      <c r="F23" s="195" t="str">
        <f t="shared" ca="1" si="5"/>
        <v/>
      </c>
      <c r="G23" s="195" t="str">
        <f>סיווג!D23</f>
        <v/>
      </c>
      <c r="H23" s="195" t="str">
        <f t="shared" ca="1" si="6"/>
        <v/>
      </c>
      <c r="I23" s="26" t="str">
        <f t="shared" ca="1" si="9"/>
        <v/>
      </c>
      <c r="J23">
        <f ca="1">IF(OR('תנאי סף'!AL23&lt;&gt;1,B23="",C23="",ISERR(C23/2),C23&lt;0),0,1)</f>
        <v>0</v>
      </c>
      <c r="K23" s="59" t="str">
        <f t="shared" ca="1" si="2"/>
        <v/>
      </c>
      <c r="L23" s="57" t="str">
        <f t="shared" ca="1" si="2"/>
        <v/>
      </c>
      <c r="M23" s="120" t="str">
        <f t="shared" ca="1" si="2"/>
        <v/>
      </c>
    </row>
    <row r="24" spans="1:13" x14ac:dyDescent="0.2">
      <c r="A24" s="24">
        <f>'רמה הפקתית'!A24</f>
        <v>14</v>
      </c>
      <c r="B24" s="30" t="str">
        <f ca="1">'רמה הפקתית'!B24</f>
        <v>פסיפס</v>
      </c>
      <c r="C24" s="180">
        <v>0</v>
      </c>
      <c r="D24" s="347">
        <v>48748</v>
      </c>
      <c r="E24" s="194">
        <f t="shared" ca="1" si="8"/>
        <v>0</v>
      </c>
      <c r="F24" s="195">
        <f t="shared" ca="1" si="5"/>
        <v>0</v>
      </c>
      <c r="G24" s="195">
        <f>סיווג!D24</f>
        <v>1.075</v>
      </c>
      <c r="H24" s="195">
        <f t="shared" ca="1" si="6"/>
        <v>0</v>
      </c>
      <c r="I24" s="26">
        <f t="shared" ca="1" si="9"/>
        <v>0</v>
      </c>
      <c r="J24">
        <f ca="1">IF(OR('תנאי סף'!AL24&lt;&gt;1,B24="",C24="",ISERR(C24/2),C24&lt;0),0,1)</f>
        <v>1</v>
      </c>
      <c r="K24" s="59">
        <f t="shared" ca="1" si="2"/>
        <v>0</v>
      </c>
      <c r="L24" s="57">
        <f t="shared" ca="1" si="2"/>
        <v>1</v>
      </c>
      <c r="M24" s="120">
        <f t="shared" ca="1" si="2"/>
        <v>2</v>
      </c>
    </row>
    <row r="25" spans="1:13" x14ac:dyDescent="0.2">
      <c r="A25" s="24">
        <f>'רמה הפקתית'!A25</f>
        <v>15</v>
      </c>
      <c r="B25" s="30" t="str">
        <f ca="1">'רמה הפקתית'!B25</f>
        <v>קתרזיס ( עמותת מצרף)</v>
      </c>
      <c r="C25" s="180">
        <v>0</v>
      </c>
      <c r="D25" s="347">
        <v>40394</v>
      </c>
      <c r="E25" s="194">
        <f t="shared" ca="1" si="8"/>
        <v>0</v>
      </c>
      <c r="F25" s="195">
        <f t="shared" ca="1" si="5"/>
        <v>0</v>
      </c>
      <c r="G25" s="195">
        <f>סיווג!D25</f>
        <v>1.075</v>
      </c>
      <c r="H25" s="195">
        <f t="shared" ca="1" si="6"/>
        <v>0</v>
      </c>
      <c r="I25" s="26">
        <f t="shared" ca="1" si="9"/>
        <v>0</v>
      </c>
      <c r="J25">
        <f ca="1">IF(OR('תנאי סף'!AL25&lt;&gt;1,B25="",C25="",ISERR(C25/2),C25&lt;0),0,1)</f>
        <v>1</v>
      </c>
      <c r="K25" s="59">
        <f t="shared" ca="1" si="2"/>
        <v>0</v>
      </c>
      <c r="L25" s="57">
        <f t="shared" ca="1" si="2"/>
        <v>1</v>
      </c>
      <c r="M25" s="120">
        <f t="shared" ca="1" si="2"/>
        <v>2</v>
      </c>
    </row>
    <row r="26" spans="1:13" x14ac:dyDescent="0.2">
      <c r="A26" s="24">
        <f>'רמה הפקתית'!A26</f>
        <v>16</v>
      </c>
      <c r="B26" s="30" t="str">
        <f ca="1">'רמה הפקתית'!B26</f>
        <v/>
      </c>
      <c r="C26" s="180"/>
      <c r="D26" s="347"/>
      <c r="E26" s="194" t="str">
        <f t="shared" ca="1" si="8"/>
        <v/>
      </c>
      <c r="F26" s="195" t="str">
        <f t="shared" ca="1" si="5"/>
        <v/>
      </c>
      <c r="G26" s="195" t="str">
        <f>סיווג!D26</f>
        <v/>
      </c>
      <c r="H26" s="195" t="str">
        <f t="shared" ca="1" si="6"/>
        <v/>
      </c>
      <c r="I26" s="26" t="str">
        <f t="shared" ca="1" si="9"/>
        <v/>
      </c>
      <c r="J26">
        <f ca="1">IF(OR('תנאי סף'!AL26&lt;&gt;1,B26="",C26="",ISERR(C26/2),C26&lt;0),0,1)</f>
        <v>0</v>
      </c>
      <c r="K26" s="59" t="str">
        <f t="shared" ca="1" si="2"/>
        <v/>
      </c>
      <c r="L26" s="57" t="str">
        <f t="shared" ca="1" si="2"/>
        <v/>
      </c>
      <c r="M26" s="120" t="str">
        <f t="shared" ca="1" si="2"/>
        <v/>
      </c>
    </row>
    <row r="27" spans="1:13" x14ac:dyDescent="0.2">
      <c r="A27" s="24">
        <f>'רמה הפקתית'!A27</f>
        <v>17</v>
      </c>
      <c r="B27" s="30" t="str">
        <f ca="1">'רמה הפקתית'!B27</f>
        <v>הכיוון מזרח (עמותת אחותי)</v>
      </c>
      <c r="C27" s="180">
        <v>12785</v>
      </c>
      <c r="D27" s="347">
        <v>179009</v>
      </c>
      <c r="E27" s="194">
        <f t="shared" ca="1" si="8"/>
        <v>7.1420990006089077E-2</v>
      </c>
      <c r="F27" s="195">
        <f t="shared" ca="1" si="5"/>
        <v>0.98861544156520742</v>
      </c>
      <c r="G27" s="195">
        <f>סיווג!D27</f>
        <v>1.1499999999999999</v>
      </c>
      <c r="H27" s="195">
        <f t="shared" ca="1" si="6"/>
        <v>1.1369077577999884</v>
      </c>
      <c r="I27" s="26">
        <f t="shared" ca="1" si="9"/>
        <v>2.4171799437522359E-2</v>
      </c>
      <c r="J27">
        <f ca="1">IF(OR('תנאי סף'!AL27&lt;&gt;1,B27="",C27="",ISERR(C27/2),C27&lt;0),0,1)</f>
        <v>1</v>
      </c>
      <c r="K27" s="59">
        <f t="shared" ca="1" si="2"/>
        <v>0</v>
      </c>
      <c r="L27" s="57">
        <f t="shared" ca="1" si="2"/>
        <v>1</v>
      </c>
      <c r="M27" s="120">
        <f t="shared" ca="1" si="2"/>
        <v>2</v>
      </c>
    </row>
    <row r="28" spans="1:13" x14ac:dyDescent="0.2">
      <c r="A28" s="24">
        <f>'רמה הפקתית'!A28</f>
        <v>18</v>
      </c>
      <c r="B28" s="30" t="str">
        <f ca="1">'רמה הפקתית'!B28</f>
        <v/>
      </c>
      <c r="C28" s="180"/>
      <c r="D28" s="347"/>
      <c r="E28" s="194" t="str">
        <f t="shared" ca="1" si="8"/>
        <v/>
      </c>
      <c r="F28" s="195" t="str">
        <f t="shared" ca="1" si="5"/>
        <v/>
      </c>
      <c r="G28" s="195" t="str">
        <f>סיווג!D28</f>
        <v/>
      </c>
      <c r="H28" s="195" t="str">
        <f t="shared" ca="1" si="6"/>
        <v/>
      </c>
      <c r="I28" s="26" t="str">
        <f t="shared" ca="1" si="9"/>
        <v/>
      </c>
      <c r="J28">
        <f ca="1">IF(OR('תנאי סף'!AL28&lt;&gt;1,B28="",C28="",ISERR(C28/2),C28&lt;0),0,1)</f>
        <v>0</v>
      </c>
      <c r="K28" s="59" t="str">
        <f t="shared" ca="1" si="2"/>
        <v/>
      </c>
      <c r="L28" s="57" t="str">
        <f t="shared" ca="1" si="2"/>
        <v/>
      </c>
      <c r="M28" s="120" t="str">
        <f t="shared" ca="1" si="2"/>
        <v/>
      </c>
    </row>
    <row r="29" spans="1:13" x14ac:dyDescent="0.2">
      <c r="A29" s="24">
        <f>'רמה הפקתית'!A29</f>
        <v>19</v>
      </c>
      <c r="B29" s="30" t="str">
        <f ca="1">'רמה הפקתית'!B29</f>
        <v>הו</v>
      </c>
      <c r="C29" s="180">
        <v>16900</v>
      </c>
      <c r="D29" s="347">
        <v>180945</v>
      </c>
      <c r="E29" s="194">
        <f t="shared" ca="1" si="8"/>
        <v>9.3398546519660675E-2</v>
      </c>
      <c r="F29" s="195">
        <f t="shared" ca="1" si="5"/>
        <v>1.2928306552627</v>
      </c>
      <c r="G29" s="195">
        <f>סיווג!D29</f>
        <v>1.1499999999999999</v>
      </c>
      <c r="H29" s="195">
        <f t="shared" ca="1" si="6"/>
        <v>1.4867552535521049</v>
      </c>
      <c r="I29" s="26">
        <f t="shared" ca="1" si="9"/>
        <v>3.1609908152167375E-2</v>
      </c>
      <c r="J29">
        <f ca="1">IF(OR('תנאי סף'!AL29&lt;&gt;1,B29="",C29="",ISERR(C29/2),C29&lt;0),0,1)</f>
        <v>1</v>
      </c>
      <c r="K29" s="59">
        <f t="shared" ca="1" si="2"/>
        <v>0</v>
      </c>
      <c r="L29" s="57">
        <f t="shared" ca="1" si="2"/>
        <v>1</v>
      </c>
      <c r="M29" s="120">
        <f t="shared" ca="1" si="2"/>
        <v>2</v>
      </c>
    </row>
    <row r="30" spans="1:13" x14ac:dyDescent="0.2">
      <c r="A30" s="24">
        <f>'רמה הפקתית'!A30</f>
        <v>20</v>
      </c>
      <c r="B30" s="30" t="str">
        <f ca="1">'רמה הפקתית'!B30</f>
        <v>הבא להבא (עמותת מקום לשירה)</v>
      </c>
      <c r="C30" s="180">
        <v>9659</v>
      </c>
      <c r="D30" s="347">
        <v>74780</v>
      </c>
      <c r="E30" s="194">
        <f t="shared" ca="1" si="8"/>
        <v>0.12916555228670767</v>
      </c>
      <c r="F30" s="195">
        <f t="shared" ca="1" si="5"/>
        <v>1.7879206028654966</v>
      </c>
      <c r="G30" s="195">
        <f>סיווג!D30</f>
        <v>1.1499999999999999</v>
      </c>
      <c r="H30" s="195">
        <f t="shared" ca="1" si="6"/>
        <v>2.0561086932953208</v>
      </c>
      <c r="I30" s="26">
        <f t="shared" ca="1" si="9"/>
        <v>4.371493343686389E-2</v>
      </c>
      <c r="J30">
        <f ca="1">IF(OR('תנאי סף'!AL30&lt;&gt;1,B30="",C30="",ISERR(C30/2),C30&lt;0),0,1)</f>
        <v>1</v>
      </c>
      <c r="K30" s="59">
        <f t="shared" ca="1" si="2"/>
        <v>0</v>
      </c>
      <c r="L30" s="57">
        <f t="shared" ca="1" si="2"/>
        <v>1</v>
      </c>
      <c r="M30" s="120">
        <f t="shared" ca="1" si="2"/>
        <v>2</v>
      </c>
    </row>
    <row r="31" spans="1:13" x14ac:dyDescent="0.2">
      <c r="A31" s="24">
        <f>'רמה הפקתית'!A31</f>
        <v>21</v>
      </c>
      <c r="B31" s="30" t="str">
        <f ca="1">'רמה הפקתית'!B31</f>
        <v>היסטוריה (החברה ההיסטורית הישרא</v>
      </c>
      <c r="C31" s="180">
        <v>0</v>
      </c>
      <c r="D31" s="347">
        <v>123842</v>
      </c>
      <c r="E31" s="194">
        <f t="shared" ca="1" si="8"/>
        <v>0</v>
      </c>
      <c r="F31" s="195">
        <f t="shared" ca="1" si="5"/>
        <v>0</v>
      </c>
      <c r="G31" s="195">
        <f>סיווג!D31</f>
        <v>1.1499999999999999</v>
      </c>
      <c r="H31" s="195">
        <f t="shared" ca="1" si="6"/>
        <v>0</v>
      </c>
      <c r="I31" s="26">
        <f t="shared" ca="1" si="9"/>
        <v>0</v>
      </c>
      <c r="J31">
        <f ca="1">IF(OR('תנאי סף'!AL31&lt;&gt;1,B31="",C31="",ISERR(C31/2),C31&lt;0),0,1)</f>
        <v>1</v>
      </c>
      <c r="K31" s="59">
        <f t="shared" ca="1" si="2"/>
        <v>0</v>
      </c>
      <c r="L31" s="57">
        <f t="shared" ca="1" si="2"/>
        <v>1</v>
      </c>
      <c r="M31" s="120">
        <f t="shared" ca="1" si="2"/>
        <v>2</v>
      </c>
    </row>
    <row r="32" spans="1:13" x14ac:dyDescent="0.2">
      <c r="A32" s="24">
        <f>'רמה הפקתית'!A32</f>
        <v>22</v>
      </c>
      <c r="B32" s="30" t="str">
        <f ca="1">'רמה הפקתית'!B32</f>
        <v>מחול עכשיו (תמונע)</v>
      </c>
      <c r="C32" s="180">
        <v>9106</v>
      </c>
      <c r="D32" s="347">
        <v>53500</v>
      </c>
      <c r="E32" s="194">
        <f ca="1">IF(J32&lt;&gt;1,"",C32/D32)</f>
        <v>0.17020560747663552</v>
      </c>
      <c r="F32" s="195">
        <f t="shared" ca="1" si="5"/>
        <v>2.3560005507910562</v>
      </c>
      <c r="G32" s="195">
        <f>סיווג!D32</f>
        <v>1.1499999999999999</v>
      </c>
      <c r="H32" s="195">
        <f t="shared" ca="1" si="6"/>
        <v>2.7094006334097145</v>
      </c>
      <c r="I32" s="26">
        <f t="shared" ca="1" si="9"/>
        <v>5.7604575443663431E-2</v>
      </c>
      <c r="J32">
        <f ca="1">IF(OR('תנאי סף'!AL32&lt;&gt;1,B32="",C32="",ISERR(C32/2),C32&lt;0),0,1)</f>
        <v>1</v>
      </c>
      <c r="K32" s="59">
        <f t="shared" ca="1" si="2"/>
        <v>0</v>
      </c>
      <c r="L32" s="57">
        <f t="shared" ca="1" si="2"/>
        <v>1</v>
      </c>
      <c r="M32" s="120">
        <f t="shared" ca="1" si="2"/>
        <v>2</v>
      </c>
    </row>
    <row r="33" spans="1:13" x14ac:dyDescent="0.2">
      <c r="A33" s="24">
        <f>'רמה הפקתית'!A33</f>
        <v>23</v>
      </c>
      <c r="B33" s="30" t="str">
        <f ca="1">'רמה הפקתית'!B33</f>
        <v>קול אישה שירה (תואר)</v>
      </c>
      <c r="C33" s="180">
        <v>20050</v>
      </c>
      <c r="D33" s="347">
        <v>33350</v>
      </c>
      <c r="E33" s="194">
        <f t="shared" ca="1" si="8"/>
        <v>0.60119940029985008</v>
      </c>
      <c r="F33" s="195">
        <f t="shared" ca="1" si="5"/>
        <v>8.3218534291599955</v>
      </c>
      <c r="G33" s="195">
        <f>סיווג!D33</f>
        <v>1</v>
      </c>
      <c r="H33" s="195">
        <f t="shared" ca="1" si="6"/>
        <v>8.3218534291599955</v>
      </c>
      <c r="I33" s="26">
        <f t="shared" ca="1" si="9"/>
        <v>0.17693095210060247</v>
      </c>
      <c r="J33">
        <f ca="1">IF(OR('תנאי סף'!AL33&lt;&gt;1,B33="",C33="",ISERR(C33/2),C33&lt;0),0,1)</f>
        <v>1</v>
      </c>
      <c r="K33" s="59">
        <f t="shared" ca="1" si="2"/>
        <v>0</v>
      </c>
      <c r="L33" s="57">
        <f t="shared" ca="1" si="2"/>
        <v>1</v>
      </c>
      <c r="M33" s="120">
        <f t="shared" ca="1" si="2"/>
        <v>2</v>
      </c>
    </row>
    <row r="34" spans="1:13" x14ac:dyDescent="0.2">
      <c r="A34" s="24">
        <f>'רמה הפקתית'!A34</f>
        <v>24</v>
      </c>
      <c r="B34" s="30" t="str">
        <f ca="1">'רמה הפקתית'!B34</f>
        <v>האיגוד העולמי למדעי היהדות</v>
      </c>
      <c r="C34" s="180">
        <v>0</v>
      </c>
      <c r="D34" s="347">
        <v>215639</v>
      </c>
      <c r="E34" s="194">
        <f t="shared" ca="1" si="8"/>
        <v>0</v>
      </c>
      <c r="F34" s="195">
        <f t="shared" ca="1" si="5"/>
        <v>0</v>
      </c>
      <c r="G34" s="195">
        <f>סיווג!D34</f>
        <v>1.1499999999999999</v>
      </c>
      <c r="H34" s="195">
        <f t="shared" ca="1" si="6"/>
        <v>0</v>
      </c>
      <c r="I34" s="26">
        <f t="shared" ca="1" si="9"/>
        <v>0</v>
      </c>
      <c r="J34">
        <f ca="1">IF(OR('תנאי סף'!AL34&lt;&gt;1,B34="",C34="",ISERR(C34/2),C34&lt;0),0,1)</f>
        <v>1</v>
      </c>
      <c r="K34" s="59">
        <f t="shared" ca="1" si="2"/>
        <v>0</v>
      </c>
      <c r="L34" s="57">
        <f t="shared" ca="1" si="2"/>
        <v>1</v>
      </c>
      <c r="M34" s="120">
        <f t="shared" ca="1" si="2"/>
        <v>2</v>
      </c>
    </row>
    <row r="35" spans="1:13" x14ac:dyDescent="0.2">
      <c r="A35" s="24">
        <f>'רמה הפקתית'!A35</f>
        <v>25</v>
      </c>
      <c r="B35" s="30" t="str">
        <f ca="1">'רמה הפקתית'!B35</f>
        <v/>
      </c>
      <c r="C35" s="180"/>
      <c r="D35" s="347"/>
      <c r="E35" s="194" t="str">
        <f t="shared" ca="1" si="8"/>
        <v/>
      </c>
      <c r="F35" s="195" t="str">
        <f t="shared" ca="1" si="5"/>
        <v/>
      </c>
      <c r="G35" s="195" t="str">
        <f>סיווג!D35</f>
        <v/>
      </c>
      <c r="H35" s="195" t="str">
        <f t="shared" ca="1" si="6"/>
        <v/>
      </c>
      <c r="I35" s="26" t="str">
        <f t="shared" ca="1" si="9"/>
        <v/>
      </c>
      <c r="J35">
        <f ca="1">IF(OR('תנאי סף'!AL35&lt;&gt;1,B35="",C35="",ISERR(C35/2),C35&lt;0),0,1)</f>
        <v>0</v>
      </c>
      <c r="K35" s="59" t="str">
        <f t="shared" ca="1" si="2"/>
        <v/>
      </c>
      <c r="L35" s="57" t="str">
        <f t="shared" ca="1" si="2"/>
        <v/>
      </c>
      <c r="M35" s="120" t="str">
        <f t="shared" ca="1" si="2"/>
        <v/>
      </c>
    </row>
    <row r="36" spans="1:13" x14ac:dyDescent="0.2">
      <c r="A36" s="24">
        <f>'רמה הפקתית'!A36</f>
        <v>26</v>
      </c>
      <c r="B36" s="30" t="str">
        <f ca="1">'רמה הפקתית'!B36</f>
        <v/>
      </c>
      <c r="C36" s="180"/>
      <c r="D36" s="347"/>
      <c r="E36" s="194" t="str">
        <f t="shared" ca="1" si="8"/>
        <v/>
      </c>
      <c r="F36" s="195" t="str">
        <f t="shared" ca="1" si="5"/>
        <v/>
      </c>
      <c r="G36" s="195" t="str">
        <f>סיווג!D36</f>
        <v/>
      </c>
      <c r="H36" s="195" t="str">
        <f t="shared" ca="1" si="6"/>
        <v/>
      </c>
      <c r="I36" s="26" t="str">
        <f t="shared" ca="1" si="9"/>
        <v/>
      </c>
      <c r="J36">
        <f ca="1">IF(OR('תנאי סף'!AL36&lt;&gt;1,B36="",C36="",ISERR(C36/2),C36&lt;0),0,1)</f>
        <v>0</v>
      </c>
      <c r="K36" s="59" t="str">
        <f t="shared" ca="1" si="2"/>
        <v/>
      </c>
      <c r="L36" s="57" t="str">
        <f t="shared" ca="1" si="2"/>
        <v/>
      </c>
      <c r="M36" s="120" t="str">
        <f t="shared" ca="1" si="2"/>
        <v/>
      </c>
    </row>
    <row r="37" spans="1:13" x14ac:dyDescent="0.2">
      <c r="A37" s="24">
        <f>'רמה הפקתית'!A37</f>
        <v>27</v>
      </c>
      <c r="B37" s="30" t="str">
        <f ca="1">'רמה הפקתית'!B37</f>
        <v/>
      </c>
      <c r="C37" s="180"/>
      <c r="D37" s="347"/>
      <c r="E37" s="194" t="str">
        <f t="shared" ca="1" si="8"/>
        <v/>
      </c>
      <c r="F37" s="195" t="str">
        <f t="shared" ca="1" si="5"/>
        <v/>
      </c>
      <c r="G37" s="195" t="str">
        <f>סיווג!D37</f>
        <v/>
      </c>
      <c r="H37" s="195" t="str">
        <f t="shared" ca="1" si="6"/>
        <v/>
      </c>
      <c r="I37" s="26" t="str">
        <f t="shared" ca="1" si="9"/>
        <v/>
      </c>
      <c r="J37">
        <f ca="1">IF(OR('תנאי סף'!AL37&lt;&gt;1,B37="",C37="",ISERR(C37/2),C37&lt;0),0,1)</f>
        <v>0</v>
      </c>
      <c r="K37" s="59" t="str">
        <f t="shared" ca="1" si="2"/>
        <v/>
      </c>
      <c r="L37" s="57" t="str">
        <f t="shared" ca="1" si="2"/>
        <v/>
      </c>
      <c r="M37" s="120" t="str">
        <f t="shared" ca="1" si="2"/>
        <v/>
      </c>
    </row>
    <row r="38" spans="1:13" x14ac:dyDescent="0.2">
      <c r="A38" s="24">
        <f>'רמה הפקתית'!A38</f>
        <v>28</v>
      </c>
      <c r="B38" s="30" t="str">
        <f ca="1">'רמה הפקתית'!B38</f>
        <v/>
      </c>
      <c r="C38" s="180"/>
      <c r="D38" s="347"/>
      <c r="E38" s="194" t="str">
        <f t="shared" ca="1" si="8"/>
        <v/>
      </c>
      <c r="F38" s="195" t="str">
        <f t="shared" ca="1" si="5"/>
        <v/>
      </c>
      <c r="G38" s="195" t="str">
        <f>סיווג!D38</f>
        <v/>
      </c>
      <c r="H38" s="195" t="str">
        <f t="shared" ca="1" si="6"/>
        <v/>
      </c>
      <c r="I38" s="26" t="str">
        <f t="shared" ca="1" si="9"/>
        <v/>
      </c>
      <c r="J38">
        <f ca="1">IF(OR('תנאי סף'!AL38&lt;&gt;1,B38="",C38="",ISERR(C38/2),C38&lt;0),0,1)</f>
        <v>0</v>
      </c>
      <c r="K38" s="59" t="str">
        <f t="shared" ca="1" si="2"/>
        <v/>
      </c>
      <c r="L38" s="57" t="str">
        <f t="shared" ca="1" si="2"/>
        <v/>
      </c>
      <c r="M38" s="120" t="str">
        <f t="shared" ca="1" si="2"/>
        <v/>
      </c>
    </row>
    <row r="39" spans="1:13" x14ac:dyDescent="0.2">
      <c r="A39" s="24">
        <f>'רמה הפקתית'!A39</f>
        <v>29</v>
      </c>
      <c r="B39" s="30" t="str">
        <f ca="1">'רמה הפקתית'!B39</f>
        <v>גופא (נתיב האומן )</v>
      </c>
      <c r="C39" s="180">
        <v>15264</v>
      </c>
      <c r="D39" s="347">
        <v>57100</v>
      </c>
      <c r="E39" s="194">
        <f t="shared" ca="1" si="8"/>
        <v>0.26732049036777583</v>
      </c>
      <c r="F39" s="195">
        <f t="shared" ca="1" si="5"/>
        <v>3.7002730514073696</v>
      </c>
      <c r="G39" s="195">
        <f>סיווג!D39</f>
        <v>1</v>
      </c>
      <c r="H39" s="195">
        <f t="shared" ca="1" si="6"/>
        <v>3.7002730514073696</v>
      </c>
      <c r="I39" s="26">
        <f t="shared" ca="1" si="9"/>
        <v>7.8671517059366411E-2</v>
      </c>
      <c r="J39">
        <f ca="1">IF(OR('תנאי סף'!AL39&lt;&gt;1,B39="",C39="",ISERR(C39/2),C39&lt;0),0,1)</f>
        <v>1</v>
      </c>
      <c r="K39" s="59">
        <f t="shared" ca="1" si="2"/>
        <v>0</v>
      </c>
      <c r="L39" s="57">
        <f t="shared" ca="1" si="2"/>
        <v>1</v>
      </c>
      <c r="M39" s="120">
        <f t="shared" ca="1" si="2"/>
        <v>2</v>
      </c>
    </row>
    <row r="40" spans="1:13" x14ac:dyDescent="0.2">
      <c r="A40" s="24">
        <f>'רמה הפקתית'!A40</f>
        <v>30</v>
      </c>
      <c r="B40" s="30" t="str">
        <f ca="1">'רמה הפקתית'!B40</f>
        <v>ערב רב (בר קיימא)</v>
      </c>
      <c r="C40" s="180">
        <v>7155</v>
      </c>
      <c r="D40" s="347">
        <v>91693</v>
      </c>
      <c r="E40" s="194">
        <f t="shared" ca="1" si="8"/>
        <v>7.8032128952046503E-2</v>
      </c>
      <c r="F40" s="195">
        <f t="shared" ca="1" si="5"/>
        <v>1.0801273913120453</v>
      </c>
      <c r="G40" s="195">
        <f>סיווג!D40</f>
        <v>1.075</v>
      </c>
      <c r="H40" s="195">
        <f t="shared" ca="1" si="6"/>
        <v>1.1611369456604486</v>
      </c>
      <c r="I40" s="26">
        <f t="shared" ca="1" si="9"/>
        <v>2.4686936277322276E-2</v>
      </c>
      <c r="J40">
        <f ca="1">IF(OR('תנאי סף'!AL40&lt;&gt;1,B40="",C40="",ISERR(C40/2),C40&lt;0),0,1)</f>
        <v>1</v>
      </c>
      <c r="K40" s="59">
        <f t="shared" ca="1" si="2"/>
        <v>0</v>
      </c>
      <c r="L40" s="57">
        <f t="shared" ca="1" si="2"/>
        <v>1</v>
      </c>
      <c r="M40" s="120">
        <f t="shared" ca="1" si="2"/>
        <v>2</v>
      </c>
    </row>
    <row r="41" spans="1:13" x14ac:dyDescent="0.2">
      <c r="A41" s="24">
        <f>'רמה הפקתית'!A41</f>
        <v>31</v>
      </c>
      <c r="B41" s="30" t="str">
        <f ca="1">'רמה הפקתית'!B41</f>
        <v/>
      </c>
      <c r="C41" s="180"/>
      <c r="D41" s="347"/>
      <c r="E41" s="194" t="str">
        <f t="shared" ca="1" si="8"/>
        <v/>
      </c>
      <c r="F41" s="195" t="str">
        <f t="shared" ca="1" si="5"/>
        <v/>
      </c>
      <c r="G41" s="195" t="str">
        <f>סיווג!D41</f>
        <v/>
      </c>
      <c r="H41" s="195" t="str">
        <f t="shared" ca="1" si="6"/>
        <v/>
      </c>
      <c r="I41" s="26" t="str">
        <f t="shared" ca="1" si="9"/>
        <v/>
      </c>
      <c r="J41">
        <f ca="1">IF(OR('תנאי סף'!AL41&lt;&gt;1,B41="",C41="",ISERR(C41/2),C41&lt;0),0,1)</f>
        <v>0</v>
      </c>
      <c r="K41" s="59" t="str">
        <f t="shared" ca="1" si="2"/>
        <v/>
      </c>
      <c r="L41" s="57" t="str">
        <f t="shared" ca="1" si="2"/>
        <v/>
      </c>
      <c r="M41" s="120" t="str">
        <f t="shared" ca="1" si="2"/>
        <v/>
      </c>
    </row>
    <row r="42" spans="1:13" x14ac:dyDescent="0.2">
      <c r="A42" s="24">
        <f>'רמה הפקתית'!A42</f>
        <v>32</v>
      </c>
      <c r="B42" s="30" t="str">
        <f ca="1">'רמה הפקתית'!B42</f>
        <v>מעלה</v>
      </c>
      <c r="C42" s="180">
        <v>26470</v>
      </c>
      <c r="D42" s="347">
        <v>36640</v>
      </c>
      <c r="E42" s="194">
        <f t="shared" ca="1" si="8"/>
        <v>0.72243449781659386</v>
      </c>
      <c r="F42" s="195">
        <f t="shared" ca="1" si="5"/>
        <v>10</v>
      </c>
      <c r="G42" s="195">
        <f>סיווג!D42</f>
        <v>1.075</v>
      </c>
      <c r="H42" s="195">
        <f t="shared" ca="1" si="6"/>
        <v>10.75</v>
      </c>
      <c r="I42" s="26">
        <f t="shared" ca="1" si="9"/>
        <v>0.22855578402964788</v>
      </c>
      <c r="J42">
        <f ca="1">IF(OR('תנאי סף'!AL42&lt;&gt;1,B42="",C42="",ISERR(C42/2),C42&lt;0),0,1)</f>
        <v>1</v>
      </c>
      <c r="K42" s="59">
        <f t="shared" ca="1" si="2"/>
        <v>0</v>
      </c>
      <c r="L42" s="57">
        <f t="shared" ca="1" si="2"/>
        <v>1</v>
      </c>
      <c r="M42" s="120">
        <f t="shared" ca="1" si="2"/>
        <v>2</v>
      </c>
    </row>
    <row r="43" spans="1:13" x14ac:dyDescent="0.2">
      <c r="A43" s="24">
        <f>'רמה הפקתית'!A43</f>
        <v>33</v>
      </c>
      <c r="B43" s="30" t="str">
        <f ca="1">'רמה הפקתית'!B43</f>
        <v/>
      </c>
      <c r="C43" s="180"/>
      <c r="D43" s="347"/>
      <c r="E43" s="194" t="str">
        <f t="shared" ca="1" si="8"/>
        <v/>
      </c>
      <c r="F43" s="195" t="str">
        <f t="shared" ca="1" si="5"/>
        <v/>
      </c>
      <c r="G43" s="195" t="str">
        <f>סיווג!D43</f>
        <v/>
      </c>
      <c r="H43" s="195" t="str">
        <f t="shared" ca="1" si="6"/>
        <v/>
      </c>
      <c r="I43" s="26" t="str">
        <f t="shared" ca="1" si="9"/>
        <v/>
      </c>
      <c r="J43">
        <f ca="1">IF(OR('תנאי סף'!AL43&lt;&gt;1,B43="",C43="",ISERR(C43/2),C43&lt;0),0,1)</f>
        <v>0</v>
      </c>
      <c r="K43" s="59" t="str">
        <f t="shared" ca="1" si="2"/>
        <v/>
      </c>
      <c r="L43" s="57" t="str">
        <f t="shared" ca="1" si="2"/>
        <v/>
      </c>
      <c r="M43" s="120" t="str">
        <f t="shared" ca="1" si="2"/>
        <v/>
      </c>
    </row>
    <row r="44" spans="1:13" x14ac:dyDescent="0.2">
      <c r="A44" s="24">
        <f>'רמה הפקתית'!A44</f>
        <v>34</v>
      </c>
      <c r="B44" s="30" t="str">
        <f ca="1">'רמה הפקתית'!B44</f>
        <v>כתב עת ירושלמי</v>
      </c>
      <c r="C44" s="181">
        <v>16420</v>
      </c>
      <c r="D44" s="347">
        <v>110080</v>
      </c>
      <c r="E44" s="194">
        <f t="shared" ca="1" si="8"/>
        <v>0.14916424418604651</v>
      </c>
      <c r="F44" s="195">
        <f t="shared" ca="1" si="5"/>
        <v>2.0647442036179617</v>
      </c>
      <c r="G44" s="195">
        <f>סיווג!D44</f>
        <v>1</v>
      </c>
      <c r="H44" s="195">
        <f t="shared" ca="1" si="6"/>
        <v>2.0647442036179617</v>
      </c>
      <c r="I44" s="26">
        <f t="shared" ca="1" si="9"/>
        <v>4.3898533049169693E-2</v>
      </c>
      <c r="J44">
        <f ca="1">IF(OR('תנאי סף'!AL44&lt;&gt;1,B44="",C44="",ISERR(C44/2),C44&lt;0),0,1)</f>
        <v>1</v>
      </c>
      <c r="K44" s="59">
        <f t="shared" ca="1" si="2"/>
        <v>0</v>
      </c>
      <c r="L44" s="57">
        <f t="shared" ca="1" si="2"/>
        <v>1</v>
      </c>
      <c r="M44" s="120">
        <f t="shared" ca="1" si="2"/>
        <v>2</v>
      </c>
    </row>
    <row r="45" spans="1:13" x14ac:dyDescent="0.2">
      <c r="A45" s="24">
        <f>'רמה הפקתית'!A45</f>
        <v>35</v>
      </c>
      <c r="B45" s="30" t="str">
        <f ca="1">'רמה הפקתית'!B45</f>
        <v/>
      </c>
      <c r="C45" s="181"/>
      <c r="D45" s="347"/>
      <c r="E45" s="194" t="str">
        <f t="shared" ca="1" si="8"/>
        <v/>
      </c>
      <c r="F45" s="195" t="str">
        <f t="shared" ca="1" si="5"/>
        <v/>
      </c>
      <c r="G45" s="195" t="str">
        <f>סיווג!D45</f>
        <v/>
      </c>
      <c r="H45" s="195" t="str">
        <f t="shared" ca="1" si="6"/>
        <v/>
      </c>
      <c r="I45" s="26" t="str">
        <f t="shared" ca="1" si="9"/>
        <v/>
      </c>
      <c r="J45">
        <f ca="1">IF(OR('תנאי סף'!AL45&lt;&gt;1,B45="",C45="",ISERR(C45/2),C45&lt;0),0,1)</f>
        <v>0</v>
      </c>
      <c r="K45" s="59" t="str">
        <f t="shared" ca="1" si="2"/>
        <v/>
      </c>
      <c r="L45" s="57" t="str">
        <f t="shared" ca="1" si="2"/>
        <v/>
      </c>
      <c r="M45" s="120" t="str">
        <f t="shared" ca="1" si="2"/>
        <v/>
      </c>
    </row>
    <row r="46" spans="1:13" x14ac:dyDescent="0.2">
      <c r="A46" s="24">
        <f>'רמה הפקתית'!A46</f>
        <v>36</v>
      </c>
      <c r="B46" s="30" t="str">
        <f ca="1">'רמה הפקתית'!B46</f>
        <v>העמותה ליצירה פנטסטית- אוטופיה</v>
      </c>
      <c r="C46" s="181">
        <v>22560</v>
      </c>
      <c r="D46" s="347">
        <v>33380</v>
      </c>
      <c r="E46" s="194">
        <f t="shared" ca="1" si="8"/>
        <v>0.67585380467345713</v>
      </c>
      <c r="F46" s="195">
        <f t="shared" ca="1" si="5"/>
        <v>9.3552260684682551</v>
      </c>
      <c r="G46" s="195">
        <f>סיווג!D46</f>
        <v>1</v>
      </c>
      <c r="H46" s="195">
        <f t="shared" ca="1" si="6"/>
        <v>9.3552260684682551</v>
      </c>
      <c r="I46" s="26">
        <f t="shared" ca="1" si="9"/>
        <v>0.19890149105612673</v>
      </c>
      <c r="J46">
        <f ca="1">IF(OR('תנאי סף'!AL46&lt;&gt;1,B46="",C46="",ISERR(C46/2),C46&lt;0),0,1)</f>
        <v>1</v>
      </c>
      <c r="K46" s="59">
        <f t="shared" ca="1" si="2"/>
        <v>0</v>
      </c>
      <c r="L46" s="57">
        <f t="shared" ca="1" si="2"/>
        <v>1</v>
      </c>
      <c r="M46" s="120">
        <f t="shared" ca="1" si="2"/>
        <v>2</v>
      </c>
    </row>
    <row r="47" spans="1:13" x14ac:dyDescent="0.2">
      <c r="A47" s="24">
        <f>'רמה הפקתית'!A47</f>
        <v>37</v>
      </c>
      <c r="B47" s="30" t="str">
        <f ca="1">'רמה הפקתית'!B47</f>
        <v/>
      </c>
      <c r="C47" s="181"/>
      <c r="D47" s="347"/>
      <c r="E47" s="194" t="str">
        <f t="shared" ca="1" si="8"/>
        <v/>
      </c>
      <c r="F47" s="195" t="str">
        <f t="shared" ca="1" si="5"/>
        <v/>
      </c>
      <c r="G47" s="195" t="str">
        <f>סיווג!D47</f>
        <v/>
      </c>
      <c r="H47" s="195" t="str">
        <f t="shared" ca="1" si="6"/>
        <v/>
      </c>
      <c r="I47" s="26" t="str">
        <f t="shared" ca="1" si="9"/>
        <v/>
      </c>
      <c r="J47">
        <f ca="1">IF(OR('תנאי סף'!AL47&lt;&gt;1,B47="",C47="",ISERR(C47/2),C47&lt;0),0,1)</f>
        <v>0</v>
      </c>
      <c r="K47" s="59" t="str">
        <f t="shared" ca="1" si="2"/>
        <v/>
      </c>
      <c r="L47" s="57" t="str">
        <f t="shared" ca="1" si="2"/>
        <v/>
      </c>
      <c r="M47" s="120" t="str">
        <f t="shared" ca="1" si="2"/>
        <v/>
      </c>
    </row>
    <row r="48" spans="1:13" x14ac:dyDescent="0.2">
      <c r="A48" s="24">
        <f>'רמה הפקתית'!A48</f>
        <v>38</v>
      </c>
      <c r="B48" s="30" t="str">
        <f ca="1">'רמה הפקתית'!B48</f>
        <v/>
      </c>
      <c r="C48" s="181"/>
      <c r="D48" s="347"/>
      <c r="E48" s="194" t="str">
        <f t="shared" ca="1" si="8"/>
        <v/>
      </c>
      <c r="F48" s="195" t="str">
        <f t="shared" ca="1" si="5"/>
        <v/>
      </c>
      <c r="G48" s="195" t="str">
        <f>סיווג!D48</f>
        <v/>
      </c>
      <c r="H48" s="195" t="str">
        <f t="shared" ca="1" si="6"/>
        <v/>
      </c>
      <c r="I48" s="26" t="str">
        <f t="shared" ca="1" si="9"/>
        <v/>
      </c>
      <c r="J48">
        <f ca="1">IF(OR('תנאי סף'!AL48&lt;&gt;1,B48="",C48="",ISERR(C48/2),C48&lt;0),0,1)</f>
        <v>0</v>
      </c>
      <c r="K48" s="59" t="str">
        <f t="shared" ca="1" si="2"/>
        <v/>
      </c>
      <c r="L48" s="57" t="str">
        <f t="shared" ca="1" si="2"/>
        <v/>
      </c>
      <c r="M48" s="120" t="str">
        <f t="shared" ca="1" si="2"/>
        <v/>
      </c>
    </row>
    <row r="49" spans="1:13" x14ac:dyDescent="0.2">
      <c r="A49" s="24">
        <f>'רמה הפקתית'!A49</f>
        <v>39</v>
      </c>
      <c r="B49" s="30" t="str">
        <f ca="1">'רמה הפקתית'!B49</f>
        <v/>
      </c>
      <c r="C49" s="181"/>
      <c r="D49" s="347"/>
      <c r="E49" s="194" t="str">
        <f t="shared" ca="1" si="8"/>
        <v/>
      </c>
      <c r="F49" s="195" t="str">
        <f t="shared" ca="1" si="5"/>
        <v/>
      </c>
      <c r="G49" s="195" t="str">
        <f>סיווג!D49</f>
        <v/>
      </c>
      <c r="H49" s="195" t="str">
        <f t="shared" ca="1" si="6"/>
        <v/>
      </c>
      <c r="I49" s="26" t="str">
        <f t="shared" ca="1" si="9"/>
        <v/>
      </c>
      <c r="J49">
        <f ca="1">IF(OR('תנאי סף'!AL49&lt;&gt;1,B49="",C49="",ISERR(C49/2),C49&lt;0),0,1)</f>
        <v>0</v>
      </c>
      <c r="K49" s="59" t="str">
        <f t="shared" ca="1" si="2"/>
        <v/>
      </c>
      <c r="L49" s="57" t="str">
        <f t="shared" ca="1" si="2"/>
        <v/>
      </c>
      <c r="M49" s="120" t="str">
        <f t="shared" ca="1" si="2"/>
        <v/>
      </c>
    </row>
    <row r="50" spans="1:13" ht="13.5" thickBot="1" x14ac:dyDescent="0.25">
      <c r="A50" s="24">
        <f>'רמה הפקתית'!A50</f>
        <v>40</v>
      </c>
      <c r="B50" s="30" t="str">
        <f ca="1">'רמה הפקתית'!B50</f>
        <v/>
      </c>
      <c r="C50" s="36"/>
      <c r="D50" s="347"/>
      <c r="E50" s="194" t="str">
        <f t="shared" ca="1" si="8"/>
        <v/>
      </c>
      <c r="F50" s="195" t="str">
        <f t="shared" ca="1" si="5"/>
        <v/>
      </c>
      <c r="G50" s="195" t="str">
        <f>סיווג!D50</f>
        <v/>
      </c>
      <c r="H50" s="195" t="str">
        <f t="shared" ca="1" si="6"/>
        <v/>
      </c>
      <c r="I50" s="26" t="str">
        <f t="shared" ca="1" si="9"/>
        <v/>
      </c>
      <c r="J50">
        <f ca="1">IF(OR('תנאי סף'!AL50&lt;&gt;1,B50="",C50="",ISERR(C50/2),C50&lt;0),0,1)</f>
        <v>0</v>
      </c>
      <c r="K50" s="59" t="str">
        <f t="shared" ca="1" si="2"/>
        <v/>
      </c>
      <c r="L50" s="57" t="str">
        <f t="shared" ca="1" si="2"/>
        <v/>
      </c>
      <c r="M50" s="120" t="str">
        <f t="shared" ca="1" si="2"/>
        <v/>
      </c>
    </row>
    <row r="51" spans="1:13" ht="14.25" thickTop="1" thickBot="1" x14ac:dyDescent="0.25">
      <c r="A51" s="607" t="s">
        <v>54</v>
      </c>
      <c r="B51" s="617"/>
      <c r="C51" s="618"/>
      <c r="D51" s="13"/>
      <c r="E51" s="13"/>
      <c r="F51" s="13">
        <f ca="1">SUM(F11:F50)</f>
        <v>44.709970900444148</v>
      </c>
      <c r="G51" s="13"/>
      <c r="H51" s="13">
        <f ca="1">SUM(H11:H50)</f>
        <v>47.034469268148243</v>
      </c>
      <c r="I51" s="14">
        <f ca="1">SUM(I11:I50)</f>
        <v>1</v>
      </c>
    </row>
    <row r="52" spans="1:13" ht="13.5" thickTop="1" x14ac:dyDescent="0.2"/>
  </sheetData>
  <sheetProtection algorithmName="SHA-512" hashValue="MDj2XpqmAqGgvp+jMzumcJs7XLcgsOMSoelW6I2jEhz9l9EdoqEG1Jc+gUKEEjJzNB35KcZAduullEHQcIdrlA==" saltValue="Mn7LO9Ml3z4DZuA3uKcVLw==" spinCount="100000" sheet="1" scenarios="1" formatColumns="0" formatRows="0"/>
  <mergeCells count="2">
    <mergeCell ref="A9:I9"/>
    <mergeCell ref="A51:C51"/>
  </mergeCells>
  <phoneticPr fontId="0" type="noConversion"/>
  <conditionalFormatting sqref="D11:D50">
    <cfRule type="expression" dxfId="1016" priority="1" stopIfTrue="1">
      <formula>$J$11=0</formula>
    </cfRule>
  </conditionalFormatting>
  <conditionalFormatting sqref="E11:E50">
    <cfRule type="containsErrors" dxfId="1015" priority="4">
      <formula>ISERROR(E11)</formula>
    </cfRule>
  </conditionalFormatting>
  <dataValidations count="1">
    <dataValidation type="custom" errorStyle="warning" operator="greaterThanOrEqual" allowBlank="1" showInputMessage="1" showErrorMessage="1" errorTitle="נתון לא חוקי" error="יש לוודא כי הוזן שם כתב העת_x000a__x000a_יש להזין סכום שאינו שלילי" sqref="D11:D50" xr:uid="{00000000-0002-0000-0700-000000000000}">
      <formula1>K11</formula1>
    </dataValidation>
  </dataValidations>
  <pageMargins left="0.27559055118110237" right="0.19685039370078741" top="0.51181102362204722" bottom="0.39370078740157483" header="0.15748031496062992" footer="0.19685039370078741"/>
  <pageSetup paperSize="9" scale="82" orientation="landscape" horizontalDpi="1200"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&amp;L&amp;"Arial,מודגש"&amp;12א. חפץ ושות'
יעוץ כלכלי&amp;Cעמוד &amp;P מתוך &amp;N&amp;R&amp;A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1">
    <tabColor indexed="46"/>
    <pageSetUpPr fitToPage="1"/>
  </sheetPr>
  <dimension ref="A1:J52"/>
  <sheetViews>
    <sheetView rightToLeft="1" view="pageBreakPreview" zoomScale="85" zoomScaleNormal="100" zoomScaleSheetLayoutView="85" workbookViewId="0">
      <pane ySplit="10" topLeftCell="A11" activePane="bottomLeft" state="frozen"/>
      <selection activeCell="H39" sqref="H39"/>
      <selection pane="bottomLeft" activeCell="A11" sqref="A11"/>
    </sheetView>
  </sheetViews>
  <sheetFormatPr defaultColWidth="9.140625" defaultRowHeight="12.75" outlineLevelRow="1" x14ac:dyDescent="0.2"/>
  <cols>
    <col min="1" max="1" width="12.140625" customWidth="1"/>
    <col min="2" max="2" width="32.42578125" customWidth="1"/>
    <col min="3" max="3" width="25" customWidth="1"/>
    <col min="4" max="4" width="20.7109375" bestFit="1" customWidth="1"/>
    <col min="5" max="5" width="33.140625" bestFit="1" customWidth="1"/>
    <col min="6" max="6" width="16.85546875" customWidth="1"/>
    <col min="7" max="7" width="14.7109375" customWidth="1"/>
    <col min="8" max="8" width="14.42578125" customWidth="1"/>
    <col min="9" max="9" width="4.85546875" hidden="1" customWidth="1"/>
    <col min="10" max="10" width="9.140625" hidden="1" customWidth="1"/>
    <col min="11" max="11" width="0" hidden="1" customWidth="1"/>
  </cols>
  <sheetData>
    <row r="1" spans="1:10" ht="17.25" outlineLevel="1" thickTop="1" thickBot="1" x14ac:dyDescent="0.3">
      <c r="B1" s="584" t="str">
        <f>פרמטרים!A16</f>
        <v>מפתח ניקוד הפצה באינטרנט</v>
      </c>
      <c r="C1" s="585"/>
      <c r="D1" s="19" t="str">
        <f>פרמטרים!B1</f>
        <v>שנת התקציב</v>
      </c>
      <c r="E1" s="10">
        <f>פרמטרים!C1</f>
        <v>2025</v>
      </c>
    </row>
    <row r="2" spans="1:10" ht="18.75" outlineLevel="1" thickBot="1" x14ac:dyDescent="0.25">
      <c r="B2" s="71" t="str">
        <f>פרמטרים!A17</f>
        <v>סעיף</v>
      </c>
      <c r="C2" s="72" t="str">
        <f>פרמטרים!B17</f>
        <v>ניקוד</v>
      </c>
      <c r="D2" s="20" t="str">
        <f>פרמטרים!B2</f>
        <v>תקציב</v>
      </c>
      <c r="E2" s="9">
        <f>פרמטרים!C2</f>
        <v>1906914</v>
      </c>
    </row>
    <row r="3" spans="1:10" ht="32.25" outlineLevel="1" thickTop="1" x14ac:dyDescent="0.25">
      <c r="B3" s="82" t="str">
        <f>פרמטרים!A18</f>
        <v>ניקוד לחוברת שלפחות 60% מתוכנה הוצג באינטרנט בחינם לכלל הציבור</v>
      </c>
      <c r="C3" s="83">
        <f>פרמטרים!B18</f>
        <v>1</v>
      </c>
    </row>
    <row r="4" spans="1:10" ht="31.5" outlineLevel="1" x14ac:dyDescent="0.25">
      <c r="B4" s="82" t="str">
        <f>פרמטרים!A19</f>
        <v>מקסימום ניקוד לחוברת שחלק משמעותי מתוכנה הוצג באינטרנט</v>
      </c>
      <c r="C4" s="83">
        <f>פרמטרים!B19</f>
        <v>6</v>
      </c>
    </row>
    <row r="5" spans="1:10" ht="31.5" outlineLevel="1" x14ac:dyDescent="0.2">
      <c r="B5" s="148" t="str">
        <f>פרמטרים!A20</f>
        <v>מכפיל ניקוד להיקף יוצא דופן או רמה מקצועית גבוהה במיוחד</v>
      </c>
      <c r="C5" s="147">
        <f>פרמטרים!B20</f>
        <v>1.5</v>
      </c>
    </row>
    <row r="6" spans="1:10" ht="15.75" outlineLevel="1" x14ac:dyDescent="0.2">
      <c r="B6" s="161"/>
      <c r="C6" s="162"/>
    </row>
    <row r="7" spans="1:10" ht="15.75" outlineLevel="1" x14ac:dyDescent="0.2">
      <c r="B7" s="161"/>
      <c r="C7" s="162"/>
    </row>
    <row r="8" spans="1:10" ht="16.5" outlineLevel="1" thickBot="1" x14ac:dyDescent="0.25">
      <c r="B8" s="161"/>
      <c r="C8" s="162"/>
    </row>
    <row r="9" spans="1:10" ht="17.25" thickTop="1" thickBot="1" x14ac:dyDescent="0.3">
      <c r="A9" s="609" t="str">
        <f ca="1">"שיעור יחסי במשתנה "&amp;MID(CELL("filename",C11),FIND("]",CELL("filename",C11),1)+1,99)</f>
        <v>שיעור יחסי במשתנה הפצת כתב העת</v>
      </c>
      <c r="B9" s="610"/>
      <c r="C9" s="610"/>
      <c r="D9" s="610"/>
      <c r="E9" s="610"/>
      <c r="F9" s="610"/>
      <c r="G9" s="610"/>
      <c r="H9" s="611"/>
    </row>
    <row r="10" spans="1:10" ht="96" thickTop="1" thickBot="1" x14ac:dyDescent="0.25">
      <c r="A10" s="3" t="str">
        <f>וותק!A5</f>
        <v>מספר סידורי</v>
      </c>
      <c r="B10" s="1" t="str">
        <f>וותק!B5</f>
        <v>שם כתב העת</v>
      </c>
      <c r="C10" s="1" t="s">
        <v>138</v>
      </c>
      <c r="D10" s="1" t="s">
        <v>139</v>
      </c>
      <c r="E10" s="1" t="s">
        <v>140</v>
      </c>
      <c r="F10" s="1" t="s">
        <v>133</v>
      </c>
      <c r="G10" s="1" t="str">
        <f ca="1">"ניקוד "&amp;MID(CELL("filename",C11),FIND("]",CELL("filename",C11),1)+1,99)</f>
        <v>ניקוד הפצת כתב העת</v>
      </c>
      <c r="H10" s="4" t="s">
        <v>122</v>
      </c>
      <c r="I10">
        <v>1</v>
      </c>
      <c r="J10">
        <v>0</v>
      </c>
    </row>
    <row r="11" spans="1:10" x14ac:dyDescent="0.2">
      <c r="A11" s="24">
        <f>'תמורה ליוצרים'!A11</f>
        <v>1</v>
      </c>
      <c r="B11" s="30" t="str">
        <f ca="1">'תמורה ליוצרים'!B11</f>
        <v>1280 מעלות (אמנים יוצרים)</v>
      </c>
      <c r="C11" s="31" cm="1">
        <f t="array" aca="1" ref="C11" ca="1">IF(B11="","",INDIRECT("'"&amp;SUBSTITUTE($B11,"'","''")&amp;"'"&amp;"!Q3"))</f>
        <v>2</v>
      </c>
      <c r="D11" s="34">
        <v>0</v>
      </c>
      <c r="E11" s="31">
        <f ca="1">IF($B11="","",SUM(INDIRECT("'"&amp;SUBSTITUTE($B11,"'","''")&amp;"'"&amp;"!L3:P3")))</f>
        <v>2</v>
      </c>
      <c r="F11" s="429">
        <f ca="1">IF(B11="","",סיווג!D11)</f>
        <v>1.1499999999999999</v>
      </c>
      <c r="G11" s="31">
        <f ca="1">IF(OR(B11="",I11&lt;&gt;1),"",F11*(MIN($C$3*C11,$C$4)*IF(D11&gt;0,$C$5,1)+MIN(IF(E11="",0,E11),$C$4)))</f>
        <v>4.5999999999999996</v>
      </c>
      <c r="H11" s="26">
        <f t="shared" ref="H11:H14" ca="1" si="0">IF(ISERR(G11/$G$51),"",G11/$G$51)</f>
        <v>3.5014272121788773E-2</v>
      </c>
      <c r="I11">
        <f ca="1">IF(OR('תנאי סף'!AL11&lt;&gt;1,B11="",C11=""),0,1)</f>
        <v>1</v>
      </c>
    </row>
    <row r="12" spans="1:10" x14ac:dyDescent="0.2">
      <c r="A12" s="24">
        <f>'תמורה ליוצרים'!A12</f>
        <v>2</v>
      </c>
      <c r="B12" s="30" t="str">
        <f ca="1">'תמורה ליוצרים'!B12</f>
        <v>יהי (אורי צבי גרינברג)</v>
      </c>
      <c r="C12" s="31" cm="1">
        <f t="array" aca="1" ref="C12" ca="1">IF(B12="","",INDIRECT("'"&amp;SUBSTITUTE($B12,"'","''")&amp;"'"&amp;"!Q3"))</f>
        <v>2</v>
      </c>
      <c r="D12" s="34">
        <v>1</v>
      </c>
      <c r="E12" s="31">
        <f t="shared" ref="E12:E50" ca="1" si="1">IF($B12="","",SUM(INDIRECT("'"&amp;SUBSTITUTE($B12,"'","''")&amp;"'"&amp;"!L3:P3")))</f>
        <v>2</v>
      </c>
      <c r="F12" s="429">
        <f ca="1">IF(B12="","",סיווג!D12)</f>
        <v>1.1499999999999999</v>
      </c>
      <c r="G12" s="31">
        <f t="shared" ref="G12:G50" ca="1" si="2">IF(OR(B12="",I12&lt;&gt;1),"",F12*(MIN($C$3*C12,$C$4)*IF(D12&gt;0,$C$5,1)+MIN(IF(E12="",0,E12),$C$4)))</f>
        <v>5.75</v>
      </c>
      <c r="H12" s="26">
        <f t="shared" ca="1" si="0"/>
        <v>4.3767840152235969E-2</v>
      </c>
      <c r="I12">
        <f ca="1">IF(OR('תנאי סף'!AL12&lt;&gt;1,B12="",C12=""),0,1)</f>
        <v>1</v>
      </c>
    </row>
    <row r="13" spans="1:10" x14ac:dyDescent="0.2">
      <c r="A13" s="24">
        <f>'תמורה ליוצרים'!A13</f>
        <v>3</v>
      </c>
      <c r="B13" s="30" t="str">
        <f ca="1">'תמורה ליוצרים'!B13</f>
        <v/>
      </c>
      <c r="C13" s="31" t="str" cm="1">
        <f t="array" aca="1" ref="C13" ca="1">IF(B13="","",INDIRECT("'"&amp;SUBSTITUTE($B13,"'","''")&amp;"'"&amp;"!Q3"))</f>
        <v/>
      </c>
      <c r="D13" s="34"/>
      <c r="E13" s="31" t="str">
        <f t="shared" ca="1" si="1"/>
        <v/>
      </c>
      <c r="F13" s="429" t="str">
        <f ca="1">IF(B13="","",סיווג!D13)</f>
        <v/>
      </c>
      <c r="G13" s="31" t="str">
        <f t="shared" ca="1" si="2"/>
        <v/>
      </c>
      <c r="H13" s="26" t="str">
        <f t="shared" ca="1" si="0"/>
        <v/>
      </c>
      <c r="I13">
        <f ca="1">IF(OR('תנאי סף'!AL13&lt;&gt;1,B13="",C13=""),0,1)</f>
        <v>0</v>
      </c>
    </row>
    <row r="14" spans="1:10" x14ac:dyDescent="0.2">
      <c r="A14" s="24">
        <f>'תמורה ליוצרים'!A14</f>
        <v>4</v>
      </c>
      <c r="B14" s="30" t="str">
        <f ca="1">'תמורה ליוצרים'!B14</f>
        <v>דעות (ברית נאמני תורה ועבודה)</v>
      </c>
      <c r="C14" s="31" cm="1">
        <f t="array" aca="1" ref="C14" ca="1">IF(B14="","",INDIRECT("'"&amp;SUBSTITUTE($B14,"'","''")&amp;"'"&amp;"!Q3"))</f>
        <v>3</v>
      </c>
      <c r="D14" s="34">
        <v>1</v>
      </c>
      <c r="E14" s="31">
        <f t="shared" ca="1" si="1"/>
        <v>3</v>
      </c>
      <c r="F14" s="429">
        <f ca="1">IF(B14="","",סיווג!D14)</f>
        <v>1.1499999999999999</v>
      </c>
      <c r="G14" s="31">
        <f t="shared" ca="1" si="2"/>
        <v>8.625</v>
      </c>
      <c r="H14" s="26">
        <f t="shared" ca="1" si="0"/>
        <v>6.565176022835395E-2</v>
      </c>
      <c r="I14">
        <f ca="1">IF(OR('תנאי סף'!AL14&lt;&gt;1,B14="",C14=""),0,1)</f>
        <v>1</v>
      </c>
    </row>
    <row r="15" spans="1:10" x14ac:dyDescent="0.2">
      <c r="A15" s="24">
        <f>'תמורה ליוצרים'!A15</f>
        <v>5</v>
      </c>
      <c r="B15" s="30" t="str">
        <f ca="1">'תמורה ליוצרים'!B15</f>
        <v>הליקון</v>
      </c>
      <c r="C15" s="31" cm="1">
        <f t="array" aca="1" ref="C15" ca="1">IF(B15="","",INDIRECT("'"&amp;SUBSTITUTE($B15,"'","''")&amp;"'"&amp;"!Q3"))</f>
        <v>3</v>
      </c>
      <c r="D15" s="34">
        <v>1</v>
      </c>
      <c r="E15" s="31">
        <f t="shared" ca="1" si="1"/>
        <v>0</v>
      </c>
      <c r="F15" s="429">
        <f ca="1">IF(B15="","",סיווג!D15)</f>
        <v>1.1499999999999999</v>
      </c>
      <c r="G15" s="31">
        <f t="shared" ca="1" si="2"/>
        <v>5.1749999999999998</v>
      </c>
      <c r="H15" s="26">
        <f t="shared" ref="H15:H32" ca="1" si="3">IF(ISERR(G15/$G$51),"",G15/$G$51)</f>
        <v>3.9391056137012367E-2</v>
      </c>
      <c r="I15">
        <f ca="1">IF(OR('תנאי סף'!AL15&lt;&gt;1,B15="",C15=""),0,1)</f>
        <v>1</v>
      </c>
    </row>
    <row r="16" spans="1:10" x14ac:dyDescent="0.2">
      <c r="A16" s="24">
        <f>'תמורה ליוצרים'!A16</f>
        <v>6</v>
      </c>
      <c r="B16" s="30" t="str">
        <f ca="1">'תמורה ליוצרים'!B16</f>
        <v/>
      </c>
      <c r="C16" s="31" t="str" cm="1">
        <f t="array" aca="1" ref="C16" ca="1">IF(B16="","",INDIRECT("'"&amp;SUBSTITUTE($B16,"'","''")&amp;"'"&amp;"!Q3"))</f>
        <v/>
      </c>
      <c r="D16" s="34"/>
      <c r="E16" s="31" t="str">
        <f t="shared" ca="1" si="1"/>
        <v/>
      </c>
      <c r="F16" s="429" t="str">
        <f ca="1">IF(B16="","",סיווג!D16)</f>
        <v/>
      </c>
      <c r="G16" s="31" t="str">
        <f t="shared" ca="1" si="2"/>
        <v/>
      </c>
      <c r="H16" s="26" t="str">
        <f t="shared" ca="1" si="3"/>
        <v/>
      </c>
      <c r="I16">
        <f ca="1">IF(OR('תנאי סף'!AL16&lt;&gt;1,B16="",C16=""),0,1)</f>
        <v>0</v>
      </c>
    </row>
    <row r="17" spans="1:9" x14ac:dyDescent="0.2">
      <c r="A17" s="24">
        <f>'תמורה ליוצרים'!A17</f>
        <v>7</v>
      </c>
      <c r="B17" s="30" t="str">
        <f ca="1">'תמורה ליוצרים'!B17</f>
        <v/>
      </c>
      <c r="C17" s="31" t="str" cm="1">
        <f t="array" aca="1" ref="C17" ca="1">IF(B17="","",INDIRECT("'"&amp;SUBSTITUTE($B17,"'","''")&amp;"'"&amp;"!Q3"))</f>
        <v/>
      </c>
      <c r="D17" s="34"/>
      <c r="E17" s="31" t="str">
        <f t="shared" ca="1" si="1"/>
        <v/>
      </c>
      <c r="F17" s="429" t="str">
        <f ca="1">IF(B17="","",סיווג!D17)</f>
        <v/>
      </c>
      <c r="G17" s="31" t="str">
        <f t="shared" ca="1" si="2"/>
        <v/>
      </c>
      <c r="H17" s="26" t="str">
        <f t="shared" ca="1" si="3"/>
        <v/>
      </c>
      <c r="I17">
        <f ca="1">IF(OR('תנאי סף'!AL17&lt;&gt;1,B17="",C17=""),0,1)</f>
        <v>0</v>
      </c>
    </row>
    <row r="18" spans="1:9" x14ac:dyDescent="0.2">
      <c r="A18" s="24">
        <f>'תמורה ליוצרים'!A18</f>
        <v>8</v>
      </c>
      <c r="B18" s="30" t="str">
        <f ca="1">'תמורה ליוצרים'!B18</f>
        <v>ננפואטיקה (עמותת מקום לשירה)</v>
      </c>
      <c r="C18" s="31" cm="1">
        <f t="array" aca="1" ref="C18" ca="1">IF(B18="","",INDIRECT("'"&amp;SUBSTITUTE($B18,"'","''")&amp;"'"&amp;"!Q3"))</f>
        <v>5</v>
      </c>
      <c r="D18" s="34">
        <v>1</v>
      </c>
      <c r="E18" s="31">
        <f t="shared" ca="1" si="1"/>
        <v>5</v>
      </c>
      <c r="F18" s="429">
        <f ca="1">IF(B18="","",סיווג!D18)</f>
        <v>1.1499999999999999</v>
      </c>
      <c r="G18" s="31">
        <f t="shared" ca="1" si="2"/>
        <v>14.374999999999998</v>
      </c>
      <c r="H18" s="26">
        <f t="shared" ca="1" si="3"/>
        <v>0.1094196003805899</v>
      </c>
      <c r="I18">
        <f ca="1">IF(OR('תנאי סף'!AL18&lt;&gt;1,B18="",C18=""),0,1)</f>
        <v>1</v>
      </c>
    </row>
    <row r="19" spans="1:9" x14ac:dyDescent="0.2">
      <c r="A19" s="24">
        <f>'תמורה ליוצרים'!A19</f>
        <v>9</v>
      </c>
      <c r="B19" s="30" t="str">
        <f ca="1">'תמורה ליוצרים'!B19</f>
        <v>מאזניים (אגודת הסופרים העבריים)</v>
      </c>
      <c r="C19" s="31" cm="1">
        <f t="array" aca="1" ref="C19" ca="1">IF(B19="","",INDIRECT("'"&amp;SUBSTITUTE($B19,"'","''")&amp;"'"&amp;"!Q3"))</f>
        <v>5</v>
      </c>
      <c r="D19" s="34">
        <v>1</v>
      </c>
      <c r="E19" s="31">
        <f t="shared" ca="1" si="1"/>
        <v>5</v>
      </c>
      <c r="F19" s="429">
        <f ca="1">IF(B19="","",סיווג!D19)</f>
        <v>1.1499999999999999</v>
      </c>
      <c r="G19" s="31">
        <f t="shared" ca="1" si="2"/>
        <v>14.374999999999998</v>
      </c>
      <c r="H19" s="26">
        <f t="shared" ca="1" si="3"/>
        <v>0.1094196003805899</v>
      </c>
      <c r="I19">
        <f ca="1">IF(OR('תנאי סף'!AL19&lt;&gt;1,B19="",C19=""),0,1)</f>
        <v>1</v>
      </c>
    </row>
    <row r="20" spans="1:9" x14ac:dyDescent="0.2">
      <c r="A20" s="24">
        <f>'תמורה ליוצרים'!A20</f>
        <v>10</v>
      </c>
      <c r="B20" s="30" t="str">
        <f ca="1">'תמורה ליוצרים'!B20</f>
        <v>משיב הרוח</v>
      </c>
      <c r="C20" s="31" cm="1">
        <f t="array" aca="1" ref="C20" ca="1">IF(B20="","",INDIRECT("'"&amp;SUBSTITUTE($B20,"'","''")&amp;"'"&amp;"!Q3"))</f>
        <v>5</v>
      </c>
      <c r="D20" s="34">
        <v>0</v>
      </c>
      <c r="E20" s="31">
        <f t="shared" ca="1" si="1"/>
        <v>5</v>
      </c>
      <c r="F20" s="429">
        <f ca="1">IF(B20="","",סיווג!D20)</f>
        <v>1.1499999999999999</v>
      </c>
      <c r="G20" s="31">
        <f t="shared" ca="1" si="2"/>
        <v>11.5</v>
      </c>
      <c r="H20" s="26">
        <f t="shared" ca="1" si="3"/>
        <v>8.7535680304471938E-2</v>
      </c>
      <c r="I20">
        <f ca="1">IF(OR('תנאי סף'!AL20&lt;&gt;1,B20="",C20=""),0,1)</f>
        <v>1</v>
      </c>
    </row>
    <row r="21" spans="1:9" x14ac:dyDescent="0.2">
      <c r="A21" s="24">
        <f>'תמורה ליוצרים'!A21</f>
        <v>11</v>
      </c>
      <c r="B21" s="30" t="str">
        <f ca="1">'תמורה ליוצרים'!B21</f>
        <v>עמדה (עמותת מונטן)</v>
      </c>
      <c r="C21" s="31" cm="1">
        <f t="array" aca="1" ref="C21" ca="1">IF(B21="","",INDIRECT("'"&amp;SUBSTITUTE($B21,"'","''")&amp;"'"&amp;"!Q3"))</f>
        <v>0</v>
      </c>
      <c r="D21" s="34">
        <v>0</v>
      </c>
      <c r="E21" s="31">
        <f t="shared" ca="1" si="1"/>
        <v>2</v>
      </c>
      <c r="F21" s="429">
        <f ca="1">IF(B21="","",סיווג!D21)</f>
        <v>1.075</v>
      </c>
      <c r="G21" s="31">
        <f t="shared" ca="1" si="2"/>
        <v>2.15</v>
      </c>
      <c r="H21" s="26">
        <f t="shared" ca="1" si="3"/>
        <v>1.6365366317792576E-2</v>
      </c>
      <c r="I21">
        <f ca="1">IF(OR('תנאי סף'!AL21&lt;&gt;1,B21="",C21=""),0,1)</f>
        <v>1</v>
      </c>
    </row>
    <row r="22" spans="1:9" x14ac:dyDescent="0.2">
      <c r="A22" s="24">
        <f>'תמורה ליוצרים'!A22</f>
        <v>12</v>
      </c>
      <c r="B22" s="30" t="str">
        <f ca="1">'תמורה ליוצרים'!B22</f>
        <v>עתון 77 (אגודת סופרים ואמנים)</v>
      </c>
      <c r="C22" s="31" cm="1">
        <f t="array" aca="1" ref="C22" ca="1">IF(B22="","",INDIRECT("'"&amp;SUBSTITUTE($B22,"'","''")&amp;"'"&amp;"!Q3"))</f>
        <v>6</v>
      </c>
      <c r="D22" s="34">
        <v>1</v>
      </c>
      <c r="E22" s="31">
        <f t="shared" ca="1" si="1"/>
        <v>6</v>
      </c>
      <c r="F22" s="429">
        <f ca="1">IF(B22="","",סיווג!D22)</f>
        <v>1.075</v>
      </c>
      <c r="G22" s="31">
        <f t="shared" ca="1" si="2"/>
        <v>16.125</v>
      </c>
      <c r="H22" s="26">
        <f t="shared" ca="1" si="3"/>
        <v>0.12274024738344434</v>
      </c>
      <c r="I22">
        <f ca="1">IF(OR('תנאי סף'!AL22&lt;&gt;1,B22="",C22=""),0,1)</f>
        <v>1</v>
      </c>
    </row>
    <row r="23" spans="1:9" x14ac:dyDescent="0.2">
      <c r="A23" s="24">
        <f>'תמורה ליוצרים'!A23</f>
        <v>13</v>
      </c>
      <c r="B23" s="30" t="str">
        <f ca="1">'תמורה ליוצרים'!B23</f>
        <v/>
      </c>
      <c r="C23" s="31" t="str" cm="1">
        <f t="array" aca="1" ref="C23" ca="1">IF(B23="","",INDIRECT("'"&amp;SUBSTITUTE($B23,"'","''")&amp;"'"&amp;"!Q3"))</f>
        <v/>
      </c>
      <c r="D23" s="34"/>
      <c r="E23" s="31" t="str">
        <f t="shared" ca="1" si="1"/>
        <v/>
      </c>
      <c r="F23" s="429" t="str">
        <f ca="1">IF(B23="","",סיווג!D23)</f>
        <v/>
      </c>
      <c r="G23" s="31" t="str">
        <f t="shared" ca="1" si="2"/>
        <v/>
      </c>
      <c r="H23" s="26" t="str">
        <f t="shared" ca="1" si="3"/>
        <v/>
      </c>
      <c r="I23">
        <f ca="1">IF(OR('תנאי סף'!AL23&lt;&gt;1,B23="",C23=""),0,1)</f>
        <v>0</v>
      </c>
    </row>
    <row r="24" spans="1:9" x14ac:dyDescent="0.2">
      <c r="A24" s="24">
        <f>'תמורה ליוצרים'!A24</f>
        <v>14</v>
      </c>
      <c r="B24" s="30" t="str">
        <f ca="1">'תמורה ליוצרים'!B24</f>
        <v>פסיפס</v>
      </c>
      <c r="C24" s="31" cm="1">
        <f t="array" aca="1" ref="C24" ca="1">IF(B24="","",INDIRECT("'"&amp;SUBSTITUTE($B24,"'","''")&amp;"'"&amp;"!Q3"))</f>
        <v>2</v>
      </c>
      <c r="D24" s="34">
        <v>0</v>
      </c>
      <c r="E24" s="31">
        <f t="shared" ca="1" si="1"/>
        <v>2</v>
      </c>
      <c r="F24" s="429">
        <f ca="1">IF(B24="","",סיווג!D24)</f>
        <v>1.075</v>
      </c>
      <c r="G24" s="31">
        <f t="shared" ca="1" si="2"/>
        <v>4.3</v>
      </c>
      <c r="H24" s="26">
        <f t="shared" ca="1" si="3"/>
        <v>3.2730732635585152E-2</v>
      </c>
      <c r="I24">
        <f ca="1">IF(OR('תנאי סף'!AL24&lt;&gt;1,B24="",C24=""),0,1)</f>
        <v>1</v>
      </c>
    </row>
    <row r="25" spans="1:9" x14ac:dyDescent="0.2">
      <c r="A25" s="24">
        <f>'תמורה ליוצרים'!A25</f>
        <v>15</v>
      </c>
      <c r="B25" s="30" t="str">
        <f ca="1">'תמורה ליוצרים'!B25</f>
        <v>קתרזיס ( עמותת מצרף)</v>
      </c>
      <c r="C25" s="31" cm="1">
        <f t="array" aca="1" ref="C25" ca="1">IF(B25="","",INDIRECT("'"&amp;SUBSTITUTE($B25,"'","''")&amp;"'"&amp;"!Q3"))</f>
        <v>2</v>
      </c>
      <c r="D25" s="34">
        <v>0</v>
      </c>
      <c r="E25" s="31">
        <f t="shared" ca="1" si="1"/>
        <v>0</v>
      </c>
      <c r="F25" s="429">
        <f ca="1">IF(B25="","",סיווג!D25)</f>
        <v>1.075</v>
      </c>
      <c r="G25" s="31">
        <f t="shared" ca="1" si="2"/>
        <v>2.15</v>
      </c>
      <c r="H25" s="26">
        <f t="shared" ca="1" si="3"/>
        <v>1.6365366317792576E-2</v>
      </c>
      <c r="I25">
        <f ca="1">IF(OR('תנאי סף'!AL25&lt;&gt;1,B25="",C25=""),0,1)</f>
        <v>1</v>
      </c>
    </row>
    <row r="26" spans="1:9" x14ac:dyDescent="0.2">
      <c r="A26" s="24">
        <f>'תמורה ליוצרים'!A26</f>
        <v>16</v>
      </c>
      <c r="B26" s="30" t="str">
        <f ca="1">'תמורה ליוצרים'!B26</f>
        <v/>
      </c>
      <c r="C26" s="31" t="str" cm="1">
        <f t="array" aca="1" ref="C26" ca="1">IF(B26="","",INDIRECT("'"&amp;SUBSTITUTE($B26,"'","''")&amp;"'"&amp;"!Q3"))</f>
        <v/>
      </c>
      <c r="D26" s="34"/>
      <c r="E26" s="31" t="str">
        <f t="shared" ca="1" si="1"/>
        <v/>
      </c>
      <c r="F26" s="429" t="str">
        <f ca="1">IF(B26="","",סיווג!D26)</f>
        <v/>
      </c>
      <c r="G26" s="31" t="str">
        <f t="shared" ca="1" si="2"/>
        <v/>
      </c>
      <c r="H26" s="26" t="str">
        <f t="shared" ca="1" si="3"/>
        <v/>
      </c>
      <c r="I26">
        <f ca="1">IF(OR('תנאי סף'!AL26&lt;&gt;1,B26="",C26=""),0,1)</f>
        <v>0</v>
      </c>
    </row>
    <row r="27" spans="1:9" x14ac:dyDescent="0.2">
      <c r="A27" s="24">
        <f>'תמורה ליוצרים'!A27</f>
        <v>17</v>
      </c>
      <c r="B27" s="30" t="str">
        <f ca="1">'תמורה ליוצרים'!B27</f>
        <v>הכיוון מזרח (עמותת אחותי)</v>
      </c>
      <c r="C27" s="31" cm="1">
        <f t="array" aca="1" ref="C27" ca="1">IF(B27="","",INDIRECT("'"&amp;SUBSTITUTE($B27,"'","''")&amp;"'"&amp;"!Q3"))</f>
        <v>0</v>
      </c>
      <c r="D27" s="34">
        <v>0</v>
      </c>
      <c r="E27" s="31">
        <f t="shared" ca="1" si="1"/>
        <v>0</v>
      </c>
      <c r="F27" s="429">
        <f ca="1">IF(B27="","",סיווג!D27)</f>
        <v>1.1499999999999999</v>
      </c>
      <c r="G27" s="31">
        <f t="shared" ca="1" si="2"/>
        <v>0</v>
      </c>
      <c r="H27" s="26">
        <f t="shared" ca="1" si="3"/>
        <v>0</v>
      </c>
      <c r="I27">
        <f ca="1">IF(OR('תנאי סף'!AL27&lt;&gt;1,B27="",C27=""),0,1)</f>
        <v>1</v>
      </c>
    </row>
    <row r="28" spans="1:9" x14ac:dyDescent="0.2">
      <c r="A28" s="24">
        <f>'תמורה ליוצרים'!A28</f>
        <v>18</v>
      </c>
      <c r="B28" s="30" t="str">
        <f ca="1">'תמורה ליוצרים'!B28</f>
        <v/>
      </c>
      <c r="C28" s="31" t="str" cm="1">
        <f t="array" aca="1" ref="C28" ca="1">IF(B28="","",INDIRECT("'"&amp;SUBSTITUTE($B28,"'","''")&amp;"'"&amp;"!Q3"))</f>
        <v/>
      </c>
      <c r="D28" s="34"/>
      <c r="E28" s="31" t="str">
        <f t="shared" ca="1" si="1"/>
        <v/>
      </c>
      <c r="F28" s="429" t="str">
        <f ca="1">IF(B28="","",סיווג!D28)</f>
        <v/>
      </c>
      <c r="G28" s="31" t="str">
        <f t="shared" ca="1" si="2"/>
        <v/>
      </c>
      <c r="H28" s="26" t="str">
        <f t="shared" ca="1" si="3"/>
        <v/>
      </c>
      <c r="I28">
        <f ca="1">IF(OR('תנאי סף'!AL28&lt;&gt;1,B28="",C28=""),0,1)</f>
        <v>0</v>
      </c>
    </row>
    <row r="29" spans="1:9" x14ac:dyDescent="0.2">
      <c r="A29" s="24">
        <f>'תמורה ליוצרים'!A29</f>
        <v>19</v>
      </c>
      <c r="B29" s="30" t="str">
        <f ca="1">'תמורה ליוצרים'!B29</f>
        <v>הו</v>
      </c>
      <c r="C29" s="31" cm="1">
        <f t="array" aca="1" ref="C29" ca="1">IF(B29="","",INDIRECT("'"&amp;SUBSTITUTE($B29,"'","''")&amp;"'"&amp;"!Q3"))</f>
        <v>2</v>
      </c>
      <c r="D29" s="34">
        <v>0</v>
      </c>
      <c r="E29" s="31">
        <f t="shared" ca="1" si="1"/>
        <v>2</v>
      </c>
      <c r="F29" s="429">
        <f ca="1">IF(B29="","",סיווג!D29)</f>
        <v>1.1499999999999999</v>
      </c>
      <c r="G29" s="31">
        <f t="shared" ca="1" si="2"/>
        <v>4.5999999999999996</v>
      </c>
      <c r="H29" s="26">
        <f t="shared" ca="1" si="3"/>
        <v>3.5014272121788773E-2</v>
      </c>
      <c r="I29">
        <f ca="1">IF(OR('תנאי סף'!AL29&lt;&gt;1,B29="",C29=""),0,1)</f>
        <v>1</v>
      </c>
    </row>
    <row r="30" spans="1:9" x14ac:dyDescent="0.2">
      <c r="A30" s="24">
        <f>'תמורה ליוצרים'!A30</f>
        <v>20</v>
      </c>
      <c r="B30" s="30" t="str">
        <f ca="1">'תמורה ליוצרים'!B30</f>
        <v>הבא להבא (עמותת מקום לשירה)</v>
      </c>
      <c r="C30" s="31" cm="1">
        <f t="array" aca="1" ref="C30" ca="1">IF(B30="","",INDIRECT("'"&amp;SUBSTITUTE($B30,"'","''")&amp;"'"&amp;"!Q3"))</f>
        <v>3</v>
      </c>
      <c r="D30" s="34">
        <v>1</v>
      </c>
      <c r="E30" s="31">
        <f t="shared" ca="1" si="1"/>
        <v>0</v>
      </c>
      <c r="F30" s="429">
        <f ca="1">IF(B30="","",סיווג!D30)</f>
        <v>1.1499999999999999</v>
      </c>
      <c r="G30" s="31">
        <f t="shared" ca="1" si="2"/>
        <v>5.1749999999999998</v>
      </c>
      <c r="H30" s="26">
        <f t="shared" ca="1" si="3"/>
        <v>3.9391056137012367E-2</v>
      </c>
      <c r="I30">
        <f ca="1">IF(OR('תנאי סף'!AL30&lt;&gt;1,B30="",C30=""),0,1)</f>
        <v>1</v>
      </c>
    </row>
    <row r="31" spans="1:9" x14ac:dyDescent="0.2">
      <c r="A31" s="24">
        <f>'תמורה ליוצרים'!A31</f>
        <v>21</v>
      </c>
      <c r="B31" s="30" t="str">
        <f ca="1">'תמורה ליוצרים'!B31</f>
        <v>היסטוריה (החברה ההיסטורית הישרא</v>
      </c>
      <c r="C31" s="31" cm="1">
        <f t="array" aca="1" ref="C31" ca="1">IF(B31="","",INDIRECT("'"&amp;SUBSTITUTE($B31,"'","''")&amp;"'"&amp;"!Q3"))</f>
        <v>0</v>
      </c>
      <c r="D31" s="34">
        <v>0</v>
      </c>
      <c r="E31" s="31">
        <f t="shared" ca="1" si="1"/>
        <v>2</v>
      </c>
      <c r="F31" s="429">
        <f ca="1">IF(B31="","",סיווג!D31)</f>
        <v>1.1499999999999999</v>
      </c>
      <c r="G31" s="31">
        <f t="shared" ca="1" si="2"/>
        <v>2.2999999999999998</v>
      </c>
      <c r="H31" s="26">
        <f t="shared" ca="1" si="3"/>
        <v>1.7507136060894386E-2</v>
      </c>
      <c r="I31">
        <f ca="1">IF(OR('תנאי סף'!AL31&lt;&gt;1,B31="",C31=""),0,1)</f>
        <v>1</v>
      </c>
    </row>
    <row r="32" spans="1:9" x14ac:dyDescent="0.2">
      <c r="A32" s="24">
        <f>'תמורה ליוצרים'!A32</f>
        <v>22</v>
      </c>
      <c r="B32" s="30" t="str">
        <f ca="1">'תמורה ליוצרים'!B32</f>
        <v>מחול עכשיו (תמונע)</v>
      </c>
      <c r="C32" s="31" cm="1">
        <f t="array" aca="1" ref="C32" ca="1">IF(B32="","",INDIRECT("'"&amp;SUBSTITUTE($B32,"'","''")&amp;"'"&amp;"!Q3"))</f>
        <v>2</v>
      </c>
      <c r="D32" s="34">
        <v>1</v>
      </c>
      <c r="E32" s="31">
        <f t="shared" ca="1" si="1"/>
        <v>0</v>
      </c>
      <c r="F32" s="429">
        <f ca="1">IF(B32="","",סיווג!D32)</f>
        <v>1.1499999999999999</v>
      </c>
      <c r="G32" s="31">
        <f t="shared" ca="1" si="2"/>
        <v>3.4499999999999997</v>
      </c>
      <c r="H32" s="26">
        <f t="shared" ca="1" si="3"/>
        <v>2.6260704091341576E-2</v>
      </c>
      <c r="I32">
        <f ca="1">IF(OR('תנאי סף'!AL32&lt;&gt;1,B32="",C32=""),0,1)</f>
        <v>1</v>
      </c>
    </row>
    <row r="33" spans="1:9" x14ac:dyDescent="0.2">
      <c r="A33" s="24">
        <f>'תמורה ליוצרים'!A33</f>
        <v>23</v>
      </c>
      <c r="B33" s="30" t="str">
        <f ca="1">'תמורה ליוצרים'!B33</f>
        <v>קול אישה שירה (תואר)</v>
      </c>
      <c r="C33" s="31" cm="1">
        <f t="array" aca="1" ref="C33" ca="1">IF(B33="","",INDIRECT("'"&amp;SUBSTITUTE($B33,"'","''")&amp;"'"&amp;"!Q3"))</f>
        <v>2</v>
      </c>
      <c r="D33" s="34">
        <v>0</v>
      </c>
      <c r="E33" s="31">
        <f t="shared" ca="1" si="1"/>
        <v>0</v>
      </c>
      <c r="F33" s="429">
        <f ca="1">IF(B33="","",סיווג!D33)</f>
        <v>1</v>
      </c>
      <c r="G33" s="31">
        <f t="shared" ca="1" si="2"/>
        <v>2</v>
      </c>
      <c r="H33" s="26">
        <f t="shared" ref="H33:H50" ca="1" si="4">IF(ISERR(G33/$G$51),"",G33/$G$51)</f>
        <v>1.5223596574690771E-2</v>
      </c>
      <c r="I33">
        <f ca="1">IF(OR('תנאי סף'!AL33&lt;&gt;1,B33="",C33=""),0,1)</f>
        <v>1</v>
      </c>
    </row>
    <row r="34" spans="1:9" x14ac:dyDescent="0.2">
      <c r="A34" s="24">
        <f>'תמורה ליוצרים'!A34</f>
        <v>24</v>
      </c>
      <c r="B34" s="30" t="str">
        <f ca="1">'תמורה ליוצרים'!B34</f>
        <v>האיגוד העולמי למדעי היהדות</v>
      </c>
      <c r="C34" s="31" cm="1">
        <f t="array" aca="1" ref="C34" ca="1">IF(B34="","",INDIRECT("'"&amp;SUBSTITUTE($B34,"'","''")&amp;"'"&amp;"!Q3"))</f>
        <v>2</v>
      </c>
      <c r="D34" s="34">
        <v>0</v>
      </c>
      <c r="E34" s="31">
        <f t="shared" ca="1" si="1"/>
        <v>2</v>
      </c>
      <c r="F34" s="429">
        <f ca="1">IF(B34="","",סיווג!D34)</f>
        <v>1.1499999999999999</v>
      </c>
      <c r="G34" s="31">
        <f t="shared" ca="1" si="2"/>
        <v>4.5999999999999996</v>
      </c>
      <c r="H34" s="26">
        <f t="shared" ca="1" si="4"/>
        <v>3.5014272121788773E-2</v>
      </c>
      <c r="I34">
        <f ca="1">IF(OR('תנאי סף'!AL34&lt;&gt;1,B34="",C34=""),0,1)</f>
        <v>1</v>
      </c>
    </row>
    <row r="35" spans="1:9" x14ac:dyDescent="0.2">
      <c r="A35" s="24">
        <f>'תמורה ליוצרים'!A35</f>
        <v>25</v>
      </c>
      <c r="B35" s="30" t="str">
        <f ca="1">'תמורה ליוצרים'!B35</f>
        <v/>
      </c>
      <c r="C35" s="31" t="str" cm="1">
        <f t="array" aca="1" ref="C35" ca="1">IF(B35="","",INDIRECT("'"&amp;SUBSTITUTE($B35,"'","''")&amp;"'"&amp;"!Q3"))</f>
        <v/>
      </c>
      <c r="D35" s="34"/>
      <c r="E35" s="31" t="str">
        <f t="shared" ca="1" si="1"/>
        <v/>
      </c>
      <c r="F35" s="429" t="str">
        <f ca="1">IF(B35="","",סיווג!D35)</f>
        <v/>
      </c>
      <c r="G35" s="31" t="str">
        <f t="shared" ca="1" si="2"/>
        <v/>
      </c>
      <c r="H35" s="26" t="str">
        <f t="shared" ca="1" si="4"/>
        <v/>
      </c>
      <c r="I35">
        <f ca="1">IF(OR('תנאי סף'!AL35&lt;&gt;1,B35="",C35=""),0,1)</f>
        <v>0</v>
      </c>
    </row>
    <row r="36" spans="1:9" x14ac:dyDescent="0.2">
      <c r="A36" s="24">
        <f>'תמורה ליוצרים'!A36</f>
        <v>26</v>
      </c>
      <c r="B36" s="30" t="str">
        <f ca="1">'תמורה ליוצרים'!B36</f>
        <v/>
      </c>
      <c r="C36" s="31" t="str" cm="1">
        <f t="array" aca="1" ref="C36" ca="1">IF(B36="","",INDIRECT("'"&amp;SUBSTITUTE($B36,"'","''")&amp;"'"&amp;"!Q3"))</f>
        <v/>
      </c>
      <c r="D36" s="34"/>
      <c r="E36" s="31" t="str">
        <f t="shared" ca="1" si="1"/>
        <v/>
      </c>
      <c r="F36" s="429" t="str">
        <f ca="1">IF(B36="","",סיווג!D36)</f>
        <v/>
      </c>
      <c r="G36" s="31" t="str">
        <f t="shared" ca="1" si="2"/>
        <v/>
      </c>
      <c r="H36" s="26" t="str">
        <f t="shared" ca="1" si="4"/>
        <v/>
      </c>
      <c r="I36">
        <f ca="1">IF(OR('תנאי סף'!AL36&lt;&gt;1,B36="",C36=""),0,1)</f>
        <v>0</v>
      </c>
    </row>
    <row r="37" spans="1:9" x14ac:dyDescent="0.2">
      <c r="A37" s="24">
        <f>'תמורה ליוצרים'!A37</f>
        <v>27</v>
      </c>
      <c r="B37" s="30" t="str">
        <f ca="1">'תמורה ליוצרים'!B37</f>
        <v/>
      </c>
      <c r="C37" s="31" t="str" cm="1">
        <f t="array" aca="1" ref="C37" ca="1">IF(B37="","",INDIRECT("'"&amp;SUBSTITUTE($B37,"'","''")&amp;"'"&amp;"!Q3"))</f>
        <v/>
      </c>
      <c r="D37" s="504"/>
      <c r="E37" s="31" t="str">
        <f t="shared" ca="1" si="1"/>
        <v/>
      </c>
      <c r="F37" s="429" t="str">
        <f ca="1">IF(B37="","",סיווג!D37)</f>
        <v/>
      </c>
      <c r="G37" s="31" t="str">
        <f t="shared" ca="1" si="2"/>
        <v/>
      </c>
      <c r="H37" s="26" t="str">
        <f t="shared" ca="1" si="4"/>
        <v/>
      </c>
      <c r="I37">
        <f ca="1">IF(OR('תנאי סף'!AL37&lt;&gt;1,B37="",C37=""),0,1)</f>
        <v>0</v>
      </c>
    </row>
    <row r="38" spans="1:9" x14ac:dyDescent="0.2">
      <c r="A38" s="24">
        <f>'תמורה ליוצרים'!A38</f>
        <v>28</v>
      </c>
      <c r="B38" s="30" t="str">
        <f ca="1">'תמורה ליוצרים'!B38</f>
        <v/>
      </c>
      <c r="C38" s="31" t="str" cm="1">
        <f t="array" aca="1" ref="C38" ca="1">IF(B38="","",INDIRECT("'"&amp;SUBSTITUTE($B38,"'","''")&amp;"'"&amp;"!Q3"))</f>
        <v/>
      </c>
      <c r="D38" s="34"/>
      <c r="E38" s="31" t="str">
        <f t="shared" ca="1" si="1"/>
        <v/>
      </c>
      <c r="F38" s="429" t="str">
        <f ca="1">IF(B38="","",סיווג!D38)</f>
        <v/>
      </c>
      <c r="G38" s="31" t="str">
        <f t="shared" ca="1" si="2"/>
        <v/>
      </c>
      <c r="H38" s="26" t="str">
        <f t="shared" ca="1" si="4"/>
        <v/>
      </c>
      <c r="I38">
        <f ca="1">IF(OR('תנאי סף'!AL38&lt;&gt;1,B38="",C38=""),0,1)</f>
        <v>0</v>
      </c>
    </row>
    <row r="39" spans="1:9" x14ac:dyDescent="0.2">
      <c r="A39" s="24">
        <f>'תמורה ליוצרים'!A39</f>
        <v>29</v>
      </c>
      <c r="B39" s="30" t="str">
        <f ca="1">'תמורה ליוצרים'!B39</f>
        <v>גופא (נתיב האומן )</v>
      </c>
      <c r="C39" s="31" cm="1">
        <f t="array" aca="1" ref="C39" ca="1">IF(B39="","",INDIRECT("'"&amp;SUBSTITUTE($B39,"'","''")&amp;"'"&amp;"!Q3"))</f>
        <v>2</v>
      </c>
      <c r="D39" s="34">
        <v>0</v>
      </c>
      <c r="E39" s="31">
        <f t="shared" ca="1" si="1"/>
        <v>0</v>
      </c>
      <c r="F39" s="429">
        <f ca="1">IF(B39="","",סיווג!D39)</f>
        <v>1</v>
      </c>
      <c r="G39" s="31">
        <f t="shared" ca="1" si="2"/>
        <v>2</v>
      </c>
      <c r="H39" s="26">
        <f t="shared" ca="1" si="4"/>
        <v>1.5223596574690771E-2</v>
      </c>
      <c r="I39">
        <f ca="1">IF(OR('תנאי סף'!AL39&lt;&gt;1,B39="",C39=""),0,1)</f>
        <v>1</v>
      </c>
    </row>
    <row r="40" spans="1:9" x14ac:dyDescent="0.2">
      <c r="A40" s="24">
        <f>'תמורה ליוצרים'!A40</f>
        <v>30</v>
      </c>
      <c r="B40" s="30" t="str">
        <f ca="1">'תמורה ליוצרים'!B40</f>
        <v>ערב רב (בר קיימא)</v>
      </c>
      <c r="C40" s="31" cm="1">
        <f t="array" aca="1" ref="C40" ca="1">IF(B40="","",INDIRECT("'"&amp;SUBSTITUTE($B40,"'","''")&amp;"'"&amp;"!Q3"))</f>
        <v>2</v>
      </c>
      <c r="D40" s="34">
        <v>1</v>
      </c>
      <c r="E40" s="31">
        <f t="shared" ca="1" si="1"/>
        <v>2</v>
      </c>
      <c r="F40" s="429">
        <f ca="1">IF(B40="","",סיווג!D40)</f>
        <v>1.075</v>
      </c>
      <c r="G40" s="31">
        <f t="shared" ca="1" si="2"/>
        <v>5.375</v>
      </c>
      <c r="H40" s="26">
        <f t="shared" ca="1" si="4"/>
        <v>4.0913415794481447E-2</v>
      </c>
      <c r="I40">
        <f ca="1">IF(OR('תנאי סף'!AL40&lt;&gt;1,B40="",C40=""),0,1)</f>
        <v>1</v>
      </c>
    </row>
    <row r="41" spans="1:9" x14ac:dyDescent="0.2">
      <c r="A41" s="24">
        <f>'תמורה ליוצרים'!A41</f>
        <v>31</v>
      </c>
      <c r="B41" s="30" t="str">
        <f ca="1">'תמורה ליוצרים'!B41</f>
        <v/>
      </c>
      <c r="C41" s="31" t="str" cm="1">
        <f t="array" aca="1" ref="C41" ca="1">IF(B41="","",INDIRECT("'"&amp;SUBSTITUTE($B41,"'","''")&amp;"'"&amp;"!Q3"))</f>
        <v/>
      </c>
      <c r="D41" s="34"/>
      <c r="E41" s="31" t="str">
        <f t="shared" ca="1" si="1"/>
        <v/>
      </c>
      <c r="F41" s="429" t="str">
        <f ca="1">IF(B41="","",סיווג!D41)</f>
        <v/>
      </c>
      <c r="G41" s="31" t="str">
        <f t="shared" ca="1" si="2"/>
        <v/>
      </c>
      <c r="H41" s="26" t="str">
        <f t="shared" ca="1" si="4"/>
        <v/>
      </c>
      <c r="I41">
        <f ca="1">IF(OR('תנאי סף'!AL41&lt;&gt;1,B41="",C41=""),0,1)</f>
        <v>0</v>
      </c>
    </row>
    <row r="42" spans="1:9" x14ac:dyDescent="0.2">
      <c r="A42" s="24">
        <f>'תמורה ליוצרים'!A42</f>
        <v>32</v>
      </c>
      <c r="B42" s="30" t="str">
        <f ca="1">'תמורה ליוצרים'!B42</f>
        <v>מעלה</v>
      </c>
      <c r="C42" s="31" cm="1">
        <f t="array" aca="1" ref="C42" ca="1">IF(B42="","",INDIRECT("'"&amp;SUBSTITUTE($B42,"'","''")&amp;"'"&amp;"!Q3"))</f>
        <v>4</v>
      </c>
      <c r="D42" s="34">
        <v>1</v>
      </c>
      <c r="E42" s="31">
        <f t="shared" ca="1" si="1"/>
        <v>4</v>
      </c>
      <c r="F42" s="429">
        <f ca="1">IF(B42="","",סיווג!D42)</f>
        <v>1.075</v>
      </c>
      <c r="G42" s="31">
        <f t="shared" ca="1" si="2"/>
        <v>10.75</v>
      </c>
      <c r="H42" s="26">
        <f t="shared" ca="1" si="4"/>
        <v>8.1826831588962895E-2</v>
      </c>
      <c r="I42">
        <f ca="1">IF(OR('תנאי סף'!AL42&lt;&gt;1,B42="",C42=""),0,1)</f>
        <v>1</v>
      </c>
    </row>
    <row r="43" spans="1:9" x14ac:dyDescent="0.2">
      <c r="A43" s="24">
        <f>'תמורה ליוצרים'!A43</f>
        <v>33</v>
      </c>
      <c r="B43" s="30" t="str">
        <f ca="1">'תמורה ליוצרים'!B43</f>
        <v/>
      </c>
      <c r="C43" s="31" t="str" cm="1">
        <f t="array" aca="1" ref="C43" ca="1">IF(B43="","",INDIRECT("'"&amp;SUBSTITUTE($B43,"'","''")&amp;"'"&amp;"!Q3"))</f>
        <v/>
      </c>
      <c r="D43" s="34"/>
      <c r="E43" s="31" t="str">
        <f t="shared" ca="1" si="1"/>
        <v/>
      </c>
      <c r="F43" s="429" t="str">
        <f ca="1">IF(B43="","",סיווג!D43)</f>
        <v/>
      </c>
      <c r="G43" s="31" t="str">
        <f t="shared" ca="1" si="2"/>
        <v/>
      </c>
      <c r="H43" s="26" t="str">
        <f t="shared" ca="1" si="4"/>
        <v/>
      </c>
      <c r="I43">
        <f ca="1">IF(OR('תנאי סף'!AL43&lt;&gt;1,B43="",C43=""),0,1)</f>
        <v>0</v>
      </c>
    </row>
    <row r="44" spans="1:9" x14ac:dyDescent="0.2">
      <c r="A44" s="24">
        <f>'תמורה ליוצרים'!A44</f>
        <v>34</v>
      </c>
      <c r="B44" s="30" t="str">
        <f ca="1">'תמורה ליוצרים'!B44</f>
        <v>כתב עת ירושלמי</v>
      </c>
      <c r="C44" s="31" cm="1">
        <f t="array" aca="1" ref="C44" ca="1">IF(B44="","",INDIRECT("'"&amp;SUBSTITUTE($B44,"'","''")&amp;"'"&amp;"!Q3"))</f>
        <v>1</v>
      </c>
      <c r="D44" s="165">
        <v>0</v>
      </c>
      <c r="E44" s="31">
        <f t="shared" ca="1" si="1"/>
        <v>1</v>
      </c>
      <c r="F44" s="429">
        <f ca="1">IF(B44="","",סיווג!D44)</f>
        <v>1</v>
      </c>
      <c r="G44" s="31">
        <f t="shared" ca="1" si="2"/>
        <v>2</v>
      </c>
      <c r="H44" s="26">
        <f t="shared" ca="1" si="4"/>
        <v>1.5223596574690771E-2</v>
      </c>
      <c r="I44">
        <f ca="1">IF(OR('תנאי סף'!AL44&lt;&gt;1,B44="",C44=""),0,1)</f>
        <v>1</v>
      </c>
    </row>
    <row r="45" spans="1:9" x14ac:dyDescent="0.2">
      <c r="A45" s="24">
        <f>'תמורה ליוצרים'!A45</f>
        <v>35</v>
      </c>
      <c r="B45" s="30" t="str">
        <f ca="1">'תמורה ליוצרים'!B45</f>
        <v/>
      </c>
      <c r="C45" s="31" t="str" cm="1">
        <f t="array" aca="1" ref="C45" ca="1">IF(B45="","",INDIRECT("'"&amp;SUBSTITUTE($B45,"'","''")&amp;"'"&amp;"!Q3"))</f>
        <v/>
      </c>
      <c r="D45" s="165"/>
      <c r="E45" s="31" t="str">
        <f t="shared" ca="1" si="1"/>
        <v/>
      </c>
      <c r="F45" s="429" t="str">
        <f ca="1">IF(B45="","",סיווג!D45)</f>
        <v/>
      </c>
      <c r="G45" s="31" t="str">
        <f t="shared" ca="1" si="2"/>
        <v/>
      </c>
      <c r="H45" s="26" t="str">
        <f t="shared" ca="1" si="4"/>
        <v/>
      </c>
      <c r="I45">
        <f ca="1">IF(OR('תנאי סף'!AL45&lt;&gt;1,B45="",C45=""),0,1)</f>
        <v>0</v>
      </c>
    </row>
    <row r="46" spans="1:9" x14ac:dyDescent="0.2">
      <c r="A46" s="24">
        <f>'תמורה ליוצרים'!A46</f>
        <v>36</v>
      </c>
      <c r="B46" s="30" t="str">
        <f ca="1">'תמורה ליוצרים'!B46</f>
        <v>העמותה ליצירה פנטסטית- אוטופיה</v>
      </c>
      <c r="C46" s="31" cm="1">
        <f t="array" aca="1" ref="C46" ca="1">IF(B46="","",INDIRECT("'"&amp;SUBSTITUTE($B46,"'","''")&amp;"'"&amp;"!Q3"))</f>
        <v>0</v>
      </c>
      <c r="D46" s="165">
        <v>0</v>
      </c>
      <c r="E46" s="31">
        <f t="shared" ca="1" si="1"/>
        <v>0</v>
      </c>
      <c r="F46" s="429">
        <f ca="1">IF(B46="","",סיווג!D46)</f>
        <v>1</v>
      </c>
      <c r="G46" s="31">
        <f t="shared" ca="1" si="2"/>
        <v>0</v>
      </c>
      <c r="H46" s="26">
        <f t="shared" ca="1" si="4"/>
        <v>0</v>
      </c>
      <c r="I46">
        <f ca="1">IF(OR('תנאי סף'!AL46&lt;&gt;1,B46="",C46=""),0,1)</f>
        <v>1</v>
      </c>
    </row>
    <row r="47" spans="1:9" x14ac:dyDescent="0.2">
      <c r="A47" s="24">
        <f>'תמורה ליוצרים'!A47</f>
        <v>37</v>
      </c>
      <c r="B47" s="30" t="str">
        <f ca="1">'תמורה ליוצרים'!B47</f>
        <v/>
      </c>
      <c r="C47" s="31" t="str" cm="1">
        <f t="array" aca="1" ref="C47" ca="1">IF(B47="","",INDIRECT("'"&amp;SUBSTITUTE($B47,"'","''")&amp;"'"&amp;"!Q3"))</f>
        <v/>
      </c>
      <c r="D47" s="165"/>
      <c r="E47" s="31" t="str">
        <f t="shared" ca="1" si="1"/>
        <v/>
      </c>
      <c r="F47" s="429" t="str">
        <f ca="1">IF(B47="","",סיווג!D47)</f>
        <v/>
      </c>
      <c r="G47" s="31" t="str">
        <f t="shared" ca="1" si="2"/>
        <v/>
      </c>
      <c r="H47" s="26" t="str">
        <f t="shared" ca="1" si="4"/>
        <v/>
      </c>
      <c r="I47">
        <f ca="1">IF(OR('תנאי סף'!AL47&lt;&gt;1,B47="",C47=""),0,1)</f>
        <v>0</v>
      </c>
    </row>
    <row r="48" spans="1:9" x14ac:dyDescent="0.2">
      <c r="A48" s="24">
        <f>'תמורה ליוצרים'!A48</f>
        <v>38</v>
      </c>
      <c r="B48" s="30" t="str">
        <f ca="1">'תמורה ליוצרים'!B48</f>
        <v/>
      </c>
      <c r="C48" s="31" t="str" cm="1">
        <f t="array" aca="1" ref="C48" ca="1">IF(B48="","",INDIRECT("'"&amp;SUBSTITUTE($B48,"'","''")&amp;"'"&amp;"!Q3"))</f>
        <v/>
      </c>
      <c r="D48" s="165"/>
      <c r="E48" s="31" t="str">
        <f t="shared" ca="1" si="1"/>
        <v/>
      </c>
      <c r="F48" s="429" t="str">
        <f ca="1">IF(B48="","",סיווג!D48)</f>
        <v/>
      </c>
      <c r="G48" s="31" t="str">
        <f t="shared" ca="1" si="2"/>
        <v/>
      </c>
      <c r="H48" s="26" t="str">
        <f t="shared" ca="1" si="4"/>
        <v/>
      </c>
      <c r="I48">
        <f ca="1">IF(OR('תנאי סף'!AL48&lt;&gt;1,B48="",C48=""),0,1)</f>
        <v>0</v>
      </c>
    </row>
    <row r="49" spans="1:9" x14ac:dyDescent="0.2">
      <c r="A49" s="24">
        <f>'תמורה ליוצרים'!A49</f>
        <v>39</v>
      </c>
      <c r="B49" s="30" t="str">
        <f ca="1">'תמורה ליוצרים'!B49</f>
        <v/>
      </c>
      <c r="C49" s="31" t="str" cm="1">
        <f t="array" aca="1" ref="C49" ca="1">IF(B49="","",INDIRECT("'"&amp;SUBSTITUTE($B49,"'","''")&amp;"'"&amp;"!Q3"))</f>
        <v/>
      </c>
      <c r="D49" s="165"/>
      <c r="E49" s="31" t="str">
        <f t="shared" ca="1" si="1"/>
        <v/>
      </c>
      <c r="F49" s="429" t="str">
        <f ca="1">IF(B49="","",סיווג!D49)</f>
        <v/>
      </c>
      <c r="G49" s="31" t="str">
        <f t="shared" ca="1" si="2"/>
        <v/>
      </c>
      <c r="H49" s="26" t="str">
        <f t="shared" ca="1" si="4"/>
        <v/>
      </c>
      <c r="I49">
        <f ca="1">IF(OR('תנאי סף'!AL49&lt;&gt;1,B49="",C49=""),0,1)</f>
        <v>0</v>
      </c>
    </row>
    <row r="50" spans="1:9" ht="13.5" thickBot="1" x14ac:dyDescent="0.25">
      <c r="A50" s="24">
        <f>'תמורה ליוצרים'!A50</f>
        <v>40</v>
      </c>
      <c r="B50" s="30" t="str">
        <f ca="1">'תמורה ליוצרים'!B50</f>
        <v/>
      </c>
      <c r="C50" s="31" t="str" cm="1">
        <f t="array" aca="1" ref="C50" ca="1">IF(B50="","",INDIRECT("'"&amp;SUBSTITUTE($B50,"'","''")&amp;"'"&amp;"!Q3"))</f>
        <v/>
      </c>
      <c r="D50" s="36"/>
      <c r="E50" s="31" t="str">
        <f t="shared" ca="1" si="1"/>
        <v/>
      </c>
      <c r="F50" s="429" t="str">
        <f ca="1">IF(B50="","",סיווג!D50)</f>
        <v/>
      </c>
      <c r="G50" s="31" t="str">
        <f t="shared" ca="1" si="2"/>
        <v/>
      </c>
      <c r="H50" s="26" t="str">
        <f t="shared" ca="1" si="4"/>
        <v/>
      </c>
      <c r="I50">
        <f ca="1">IF(OR('תנאי סף'!AL50&lt;&gt;1,B50="",C50=""),0,1)</f>
        <v>0</v>
      </c>
    </row>
    <row r="51" spans="1:9" ht="14.25" thickTop="1" thickBot="1" x14ac:dyDescent="0.25">
      <c r="A51" s="607" t="s">
        <v>54</v>
      </c>
      <c r="B51" s="617"/>
      <c r="C51" s="618"/>
      <c r="D51" s="139"/>
      <c r="E51" s="139"/>
      <c r="F51" s="139"/>
      <c r="G51" s="13">
        <f ca="1">SUM(G11:G50)</f>
        <v>131.375</v>
      </c>
      <c r="H51" s="14">
        <f ca="1">SUM(H11:H50)</f>
        <v>0.99999999999999989</v>
      </c>
    </row>
    <row r="52" spans="1:9" ht="13.5" thickTop="1" x14ac:dyDescent="0.2"/>
  </sheetData>
  <sheetProtection algorithmName="SHA-512" hashValue="U5kxftAFyQ+AV9QmbAq9wcseMYSEdVkJwSAmL/8Gy4rO6Dp1ObIN3KPqfebtzZycr0BMYu1LY/EH8aNaC1gaCg==" saltValue="+aZKVUXIF5qBLLBVC4JUYA==" spinCount="100000" sheet="1" scenarios="1" formatColumns="0" formatRows="0"/>
  <mergeCells count="3">
    <mergeCell ref="A9:H9"/>
    <mergeCell ref="A51:C51"/>
    <mergeCell ref="B1:C1"/>
  </mergeCells>
  <phoneticPr fontId="0" type="noConversion"/>
  <conditionalFormatting sqref="D11:D50">
    <cfRule type="expression" dxfId="1014" priority="1" stopIfTrue="1">
      <formula>$I11=0</formula>
    </cfRule>
  </conditionalFormatting>
  <dataValidations count="2">
    <dataValidation type="custom" errorStyle="warning" operator="greaterThanOrEqual" allowBlank="1" showInputMessage="1" showErrorMessage="1" errorTitle="נתון לא חוקי" error="יש לוודא כי הוזן שם כתב העת_x000a__x000a_יש להזין מספר שלם שאינו שלילי של חוברות" sqref="D11:D50" xr:uid="{00000000-0002-0000-0800-000000000000}">
      <formula1>J11</formula1>
    </dataValidation>
    <dataValidation allowBlank="1" showInputMessage="1" showErrorMessage="1" errorTitle="נתון לא חוקי" error="יש להזין מספר שלם בטווח 0-6 בלבד" sqref="C11:C50 E11:F50" xr:uid="{00000000-0002-0000-0800-000001000000}"/>
  </dataValidations>
  <pageMargins left="0.27559055118110237" right="0.19685039370078741" top="0.51181102362204722" bottom="0.39370078740157483" header="0.15748031496062992" footer="0.19685039370078741"/>
  <pageSetup paperSize="9" scale="66" orientation="landscape"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&amp;L&amp;"Arial,מודגש"&amp;12א. חפץ ושות'
יעוץ כלכלי&amp;Cעמוד &amp;P מתוך &amp;N&amp;R&amp;A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9">
    <tabColor indexed="46"/>
    <pageSetUpPr fitToPage="1"/>
  </sheetPr>
  <dimension ref="A1:H49"/>
  <sheetViews>
    <sheetView rightToLeft="1" view="pageBreakPreview" zoomScale="75" zoomScaleNormal="100" workbookViewId="0">
      <selection activeCell="A44" sqref="A44"/>
    </sheetView>
  </sheetViews>
  <sheetFormatPr defaultRowHeight="12.75" x14ac:dyDescent="0.2"/>
  <cols>
    <col min="1" max="1" width="10" bestFit="1" customWidth="1"/>
    <col min="2" max="2" width="26.5703125" customWidth="1"/>
    <col min="3" max="3" width="24.140625" customWidth="1"/>
    <col min="4" max="4" width="29.5703125" customWidth="1"/>
    <col min="5" max="5" width="16.140625" bestFit="1" customWidth="1"/>
    <col min="6" max="6" width="12.28515625" customWidth="1"/>
    <col min="7" max="8" width="5.28515625" hidden="1" customWidth="1"/>
  </cols>
  <sheetData>
    <row r="1" spans="1:8" ht="17.25" thickTop="1" thickBot="1" x14ac:dyDescent="0.3">
      <c r="A1" s="621"/>
      <c r="B1" s="622"/>
      <c r="C1" s="623"/>
    </row>
    <row r="2" spans="1:8" ht="17.25" thickTop="1" thickBot="1" x14ac:dyDescent="0.25">
      <c r="A2" s="619"/>
      <c r="B2" s="620"/>
      <c r="C2" s="75"/>
      <c r="D2" s="19" t="str">
        <f>פרמטרים!B1</f>
        <v>שנת התקציב</v>
      </c>
      <c r="E2" s="10">
        <f>פרמטרים!C1</f>
        <v>2025</v>
      </c>
    </row>
    <row r="3" spans="1:8" ht="18.75" thickBot="1" x14ac:dyDescent="0.3">
      <c r="A3" s="625"/>
      <c r="B3" s="626"/>
      <c r="C3" s="73"/>
      <c r="D3" s="20" t="str">
        <f>פרמטרים!B2</f>
        <v>תקציב</v>
      </c>
      <c r="E3" s="9">
        <f>פרמטרים!C2</f>
        <v>1906914</v>
      </c>
    </row>
    <row r="4" spans="1:8" ht="16.5" customHeight="1" thickTop="1" x14ac:dyDescent="0.25">
      <c r="A4" s="625"/>
      <c r="B4" s="626"/>
      <c r="C4" s="73"/>
    </row>
    <row r="5" spans="1:8" ht="17.25" customHeight="1" thickBot="1" x14ac:dyDescent="0.3">
      <c r="A5" s="627"/>
      <c r="B5" s="628"/>
      <c r="C5" s="74"/>
    </row>
    <row r="6" spans="1:8" ht="17.25" thickTop="1" thickBot="1" x14ac:dyDescent="0.3">
      <c r="A6" s="609" t="str">
        <f ca="1">"שיעור יחסי במשתנה "&amp;MID(CELL("filename",E8),FIND("]",CELL("filename",E8),1)+1,99)</f>
        <v>שיעור יחסי במשתנה הפצה</v>
      </c>
      <c r="B6" s="610"/>
      <c r="C6" s="610"/>
      <c r="D6" s="610"/>
      <c r="E6" s="610"/>
      <c r="F6" s="611"/>
    </row>
    <row r="7" spans="1:8" ht="64.5" thickTop="1" thickBot="1" x14ac:dyDescent="0.25">
      <c r="A7" s="3" t="str">
        <f>'תמורה ליוצרים'!A10</f>
        <v>מספר סידורי</v>
      </c>
      <c r="B7" s="1" t="str">
        <f>'תמורה ליוצרים'!B10</f>
        <v>שם כתב העת</v>
      </c>
      <c r="C7" s="1" t="s">
        <v>141</v>
      </c>
      <c r="D7" s="1" t="s">
        <v>142</v>
      </c>
      <c r="E7" s="1" t="str">
        <f ca="1">"ניקוד "&amp;MID(CELL("filename",E8),FIND("]",CELL("filename",E8),1)+1,99)</f>
        <v>ניקוד הפצה</v>
      </c>
      <c r="F7" s="4" t="s">
        <v>122</v>
      </c>
    </row>
    <row r="8" spans="1:8" x14ac:dyDescent="0.2">
      <c r="A8" s="21">
        <f>'תמורה ליוצרים'!A11</f>
        <v>1</v>
      </c>
      <c r="B8" s="29" t="str">
        <f ca="1">'תמורה ליוצרים'!B11</f>
        <v>1280 מעלות (אמנים יוצרים)</v>
      </c>
      <c r="C8" s="68"/>
      <c r="D8" s="68"/>
      <c r="E8" s="76">
        <f ca="1">IF(OR(G8&lt;&gt;1,H8&lt;&gt;1,'רמה הפקתית'!G11&lt;&gt;1),"",(MIN($C$4,C8*$C$3)+D8*$C$5)*'רמה הפקתית'!C11)</f>
        <v>0</v>
      </c>
      <c r="F8" s="23" t="str">
        <f t="shared" ref="F8:F30" ca="1" si="0">IF(ISERR(E8/$E$48),"",E8/$E$48)</f>
        <v/>
      </c>
      <c r="G8">
        <f ca="1">IF(ISERR(C8/2),0,IF(OR($B8="",C8&lt;0,C8&lt;&gt;ROUND(C8,0)),0,1))</f>
        <v>1</v>
      </c>
      <c r="H8">
        <f ca="1">IF(ISERR(D8/2),0,IF(OR($B8="",D8&lt;0,D8&lt;&gt;ROUND(D8,0)),0,1))</f>
        <v>1</v>
      </c>
    </row>
    <row r="9" spans="1:8" x14ac:dyDescent="0.2">
      <c r="A9" s="24">
        <f>'תמורה ליוצרים'!A12</f>
        <v>2</v>
      </c>
      <c r="B9" s="30" t="str">
        <f ca="1">'תמורה ליוצרים'!B12</f>
        <v>יהי (אורי צבי גרינברג)</v>
      </c>
      <c r="C9" s="69"/>
      <c r="D9" s="69"/>
      <c r="E9" s="28">
        <f ca="1">IF(OR(G9&lt;&gt;1,H9&lt;&gt;1,'רמה הפקתית'!G12&lt;&gt;1),"",(MIN($C$4,C9*$C$3)+D9*$C$5)*'רמה הפקתית'!C12)</f>
        <v>0</v>
      </c>
      <c r="F9" s="35" t="str">
        <f t="shared" ca="1" si="0"/>
        <v/>
      </c>
      <c r="G9">
        <f t="shared" ref="G9:G47" ca="1" si="1">IF(ISERR(C9/2),0,IF(OR($B9="",C9&lt;0,C9&lt;&gt;ROUND(C9,0)),0,1))</f>
        <v>1</v>
      </c>
      <c r="H9">
        <f t="shared" ref="H9:H47" ca="1" si="2">IF(ISERR(D9/2),0,IF(OR($B9="",D9&lt;0,D9&lt;&gt;ROUND(D9,0)),0,1))</f>
        <v>1</v>
      </c>
    </row>
    <row r="10" spans="1:8" x14ac:dyDescent="0.2">
      <c r="A10" s="24">
        <f>'תמורה ליוצרים'!A13</f>
        <v>3</v>
      </c>
      <c r="B10" s="30" t="str">
        <f ca="1">'תמורה ליוצרים'!B13</f>
        <v/>
      </c>
      <c r="C10" s="69"/>
      <c r="D10" s="69"/>
      <c r="E10" s="28" t="str">
        <f ca="1">IF(OR(G10&lt;&gt;1,H10&lt;&gt;1,'רמה הפקתית'!G13&lt;&gt;1),"",(MIN($C$4,C10*$C$3)+D10*$C$5)*'רמה הפקתית'!C13)</f>
        <v/>
      </c>
      <c r="F10" s="35" t="str">
        <f t="shared" ca="1" si="0"/>
        <v/>
      </c>
      <c r="G10">
        <f t="shared" ca="1" si="1"/>
        <v>0</v>
      </c>
      <c r="H10">
        <f t="shared" ca="1" si="2"/>
        <v>0</v>
      </c>
    </row>
    <row r="11" spans="1:8" x14ac:dyDescent="0.2">
      <c r="A11" s="24">
        <f>'תמורה ליוצרים'!A14</f>
        <v>4</v>
      </c>
      <c r="B11" s="30" t="str">
        <f ca="1">'תמורה ליוצרים'!B14</f>
        <v>דעות (ברית נאמני תורה ועבודה)</v>
      </c>
      <c r="C11" s="69"/>
      <c r="D11" s="69"/>
      <c r="E11" s="28">
        <f ca="1">IF(OR(G11&lt;&gt;1,H11&lt;&gt;1,'רמה הפקתית'!G14&lt;&gt;1),"",(MIN($C$4,C11*$C$3)+D11*$C$5)*'רמה הפקתית'!C14)</f>
        <v>0</v>
      </c>
      <c r="F11" s="35" t="str">
        <f t="shared" ca="1" si="0"/>
        <v/>
      </c>
      <c r="G11">
        <f t="shared" ca="1" si="1"/>
        <v>1</v>
      </c>
      <c r="H11">
        <f t="shared" ca="1" si="2"/>
        <v>1</v>
      </c>
    </row>
    <row r="12" spans="1:8" x14ac:dyDescent="0.2">
      <c r="A12" s="24">
        <f>'תמורה ליוצרים'!A15</f>
        <v>5</v>
      </c>
      <c r="B12" s="30" t="str">
        <f ca="1">'תמורה ליוצרים'!B15</f>
        <v>הליקון</v>
      </c>
      <c r="C12" s="69"/>
      <c r="D12" s="69"/>
      <c r="E12" s="28">
        <f ca="1">IF(OR(G12&lt;&gt;1,H12&lt;&gt;1,'רמה הפקתית'!G15&lt;&gt;1),"",(MIN($C$4,C12*$C$3)+D12*$C$5)*'רמה הפקתית'!C15)</f>
        <v>0</v>
      </c>
      <c r="F12" s="35" t="str">
        <f t="shared" ca="1" si="0"/>
        <v/>
      </c>
      <c r="G12">
        <f t="shared" ca="1" si="1"/>
        <v>1</v>
      </c>
      <c r="H12">
        <f t="shared" ca="1" si="2"/>
        <v>1</v>
      </c>
    </row>
    <row r="13" spans="1:8" x14ac:dyDescent="0.2">
      <c r="A13" s="24">
        <f>'תמורה ליוצרים'!A16</f>
        <v>6</v>
      </c>
      <c r="B13" s="30" t="str">
        <f ca="1">'תמורה ליוצרים'!B16</f>
        <v/>
      </c>
      <c r="C13" s="69"/>
      <c r="D13" s="69"/>
      <c r="E13" s="28" t="str">
        <f ca="1">IF(OR(G13&lt;&gt;1,H13&lt;&gt;1,'רמה הפקתית'!G16&lt;&gt;1),"",(MIN($C$4,C13*$C$3)+D13*$C$5)*'רמה הפקתית'!C16)</f>
        <v/>
      </c>
      <c r="F13" s="35" t="str">
        <f t="shared" ca="1" si="0"/>
        <v/>
      </c>
      <c r="G13">
        <f t="shared" ca="1" si="1"/>
        <v>0</v>
      </c>
      <c r="H13">
        <f t="shared" ca="1" si="2"/>
        <v>0</v>
      </c>
    </row>
    <row r="14" spans="1:8" x14ac:dyDescent="0.2">
      <c r="A14" s="24">
        <f>'תמורה ליוצרים'!A17</f>
        <v>7</v>
      </c>
      <c r="B14" s="30" t="str">
        <f ca="1">'תמורה ליוצרים'!B17</f>
        <v/>
      </c>
      <c r="C14" s="69"/>
      <c r="D14" s="69"/>
      <c r="E14" s="28" t="str">
        <f ca="1">IF(OR(G14&lt;&gt;1,H14&lt;&gt;1,'רמה הפקתית'!G17&lt;&gt;1),"",(MIN($C$4,C14*$C$3)+D14*$C$5)*'רמה הפקתית'!C17)</f>
        <v/>
      </c>
      <c r="F14" s="35" t="str">
        <f t="shared" ca="1" si="0"/>
        <v/>
      </c>
      <c r="G14">
        <f t="shared" ca="1" si="1"/>
        <v>0</v>
      </c>
      <c r="H14">
        <f t="shared" ca="1" si="2"/>
        <v>0</v>
      </c>
    </row>
    <row r="15" spans="1:8" x14ac:dyDescent="0.2">
      <c r="A15" s="24">
        <f>'תמורה ליוצרים'!A18</f>
        <v>8</v>
      </c>
      <c r="B15" s="30" t="str">
        <f ca="1">'תמורה ליוצרים'!B18</f>
        <v>ננפואטיקה (עמותת מקום לשירה)</v>
      </c>
      <c r="C15" s="69"/>
      <c r="D15" s="69"/>
      <c r="E15" s="28">
        <f ca="1">IF(OR(G15&lt;&gt;1,H15&lt;&gt;1,'רמה הפקתית'!G18&lt;&gt;1),"",(MIN($C$4,C15*$C$3)+D15*$C$5)*'רמה הפקתית'!C18)</f>
        <v>0</v>
      </c>
      <c r="F15" s="35" t="str">
        <f t="shared" ca="1" si="0"/>
        <v/>
      </c>
      <c r="G15">
        <f t="shared" ca="1" si="1"/>
        <v>1</v>
      </c>
      <c r="H15">
        <f t="shared" ca="1" si="2"/>
        <v>1</v>
      </c>
    </row>
    <row r="16" spans="1:8" x14ac:dyDescent="0.2">
      <c r="A16" s="24">
        <f>'תמורה ליוצרים'!A19</f>
        <v>9</v>
      </c>
      <c r="B16" s="30" t="str">
        <f ca="1">'תמורה ליוצרים'!B19</f>
        <v>מאזניים (אגודת הסופרים העבריים)</v>
      </c>
      <c r="C16" s="69"/>
      <c r="D16" s="69"/>
      <c r="E16" s="28">
        <f ca="1">IF(OR(G16&lt;&gt;1,H16&lt;&gt;1,'רמה הפקתית'!G19&lt;&gt;1),"",(MIN($C$4,C16*$C$3)+D16*$C$5)*'רמה הפקתית'!C19)</f>
        <v>0</v>
      </c>
      <c r="F16" s="35" t="str">
        <f t="shared" ca="1" si="0"/>
        <v/>
      </c>
      <c r="G16">
        <f t="shared" ca="1" si="1"/>
        <v>1</v>
      </c>
      <c r="H16">
        <f t="shared" ca="1" si="2"/>
        <v>1</v>
      </c>
    </row>
    <row r="17" spans="1:8" x14ac:dyDescent="0.2">
      <c r="A17" s="24">
        <f>'תמורה ליוצרים'!A20</f>
        <v>10</v>
      </c>
      <c r="B17" s="30" t="str">
        <f ca="1">'תמורה ליוצרים'!B20</f>
        <v>משיב הרוח</v>
      </c>
      <c r="C17" s="69"/>
      <c r="D17" s="69"/>
      <c r="E17" s="28">
        <f ca="1">IF(OR(G17&lt;&gt;1,H17&lt;&gt;1,'רמה הפקתית'!G20&lt;&gt;1),"",(MIN($C$4,C17*$C$3)+D17*$C$5)*'רמה הפקתית'!C20)</f>
        <v>0</v>
      </c>
      <c r="F17" s="35" t="str">
        <f t="shared" ca="1" si="0"/>
        <v/>
      </c>
      <c r="G17">
        <f t="shared" ca="1" si="1"/>
        <v>1</v>
      </c>
      <c r="H17">
        <f t="shared" ca="1" si="2"/>
        <v>1</v>
      </c>
    </row>
    <row r="18" spans="1:8" x14ac:dyDescent="0.2">
      <c r="A18" s="24">
        <f>'תמורה ליוצרים'!A21</f>
        <v>11</v>
      </c>
      <c r="B18" s="30" t="str">
        <f ca="1">'תמורה ליוצרים'!B21</f>
        <v>עמדה (עמותת מונטן)</v>
      </c>
      <c r="C18" s="69"/>
      <c r="D18" s="69"/>
      <c r="E18" s="28">
        <f ca="1">IF(OR(G18&lt;&gt;1,H18&lt;&gt;1,'רמה הפקתית'!G21&lt;&gt;1),"",(MIN($C$4,C18*$C$3)+D18*$C$5)*'רמה הפקתית'!C21)</f>
        <v>0</v>
      </c>
      <c r="F18" s="35" t="str">
        <f t="shared" ca="1" si="0"/>
        <v/>
      </c>
      <c r="G18">
        <f t="shared" ca="1" si="1"/>
        <v>1</v>
      </c>
      <c r="H18">
        <f t="shared" ca="1" si="2"/>
        <v>1</v>
      </c>
    </row>
    <row r="19" spans="1:8" x14ac:dyDescent="0.2">
      <c r="A19" s="24">
        <f>'תמורה ליוצרים'!A22</f>
        <v>12</v>
      </c>
      <c r="B19" s="30" t="str">
        <f ca="1">'תמורה ליוצרים'!B22</f>
        <v>עתון 77 (אגודת סופרים ואמנים)</v>
      </c>
      <c r="C19" s="69"/>
      <c r="D19" s="69"/>
      <c r="E19" s="28">
        <f ca="1">IF(OR(G19&lt;&gt;1,H19&lt;&gt;1,'רמה הפקתית'!G22&lt;&gt;1),"",(MIN($C$4,C19*$C$3)+D19*$C$5)*'רמה הפקתית'!C22)</f>
        <v>0</v>
      </c>
      <c r="F19" s="35" t="str">
        <f t="shared" ca="1" si="0"/>
        <v/>
      </c>
      <c r="G19">
        <f t="shared" ca="1" si="1"/>
        <v>1</v>
      </c>
      <c r="H19">
        <f t="shared" ca="1" si="2"/>
        <v>1</v>
      </c>
    </row>
    <row r="20" spans="1:8" x14ac:dyDescent="0.2">
      <c r="A20" s="24">
        <f>'תמורה ליוצרים'!A23</f>
        <v>13</v>
      </c>
      <c r="B20" s="30" t="str">
        <f ca="1">'תמורה ליוצרים'!B23</f>
        <v/>
      </c>
      <c r="C20" s="69"/>
      <c r="D20" s="69"/>
      <c r="E20" s="28" t="str">
        <f ca="1">IF(OR(G20&lt;&gt;1,H20&lt;&gt;1,'רמה הפקתית'!G23&lt;&gt;1),"",(MIN($C$4,C20*$C$3)+D20*$C$5)*'רמה הפקתית'!C23)</f>
        <v/>
      </c>
      <c r="F20" s="35" t="str">
        <f t="shared" ca="1" si="0"/>
        <v/>
      </c>
      <c r="G20">
        <f t="shared" ca="1" si="1"/>
        <v>0</v>
      </c>
      <c r="H20">
        <f t="shared" ca="1" si="2"/>
        <v>0</v>
      </c>
    </row>
    <row r="21" spans="1:8" x14ac:dyDescent="0.2">
      <c r="A21" s="24">
        <f>'תמורה ליוצרים'!A24</f>
        <v>14</v>
      </c>
      <c r="B21" s="30" t="str">
        <f ca="1">'תמורה ליוצרים'!B24</f>
        <v>פסיפס</v>
      </c>
      <c r="C21" s="69"/>
      <c r="D21" s="69"/>
      <c r="E21" s="28">
        <f ca="1">IF(OR(G21&lt;&gt;1,H21&lt;&gt;1,'רמה הפקתית'!G24&lt;&gt;1),"",(MIN($C$4,C21*$C$3)+D21*$C$5)*'רמה הפקתית'!C24)</f>
        <v>0</v>
      </c>
      <c r="F21" s="35" t="str">
        <f t="shared" ca="1" si="0"/>
        <v/>
      </c>
      <c r="G21">
        <f t="shared" ca="1" si="1"/>
        <v>1</v>
      </c>
      <c r="H21">
        <f t="shared" ca="1" si="2"/>
        <v>1</v>
      </c>
    </row>
    <row r="22" spans="1:8" x14ac:dyDescent="0.2">
      <c r="A22" s="24">
        <f>'תמורה ליוצרים'!A25</f>
        <v>15</v>
      </c>
      <c r="B22" s="30" t="str">
        <f ca="1">'תמורה ליוצרים'!B25</f>
        <v>קתרזיס ( עמותת מצרף)</v>
      </c>
      <c r="C22" s="69"/>
      <c r="D22" s="69"/>
      <c r="E22" s="28">
        <f ca="1">IF(OR(G22&lt;&gt;1,H22&lt;&gt;1,'רמה הפקתית'!G25&lt;&gt;1),"",(MIN($C$4,C22*$C$3)+D22*$C$5)*'רמה הפקתית'!C25)</f>
        <v>0</v>
      </c>
      <c r="F22" s="35" t="str">
        <f t="shared" ca="1" si="0"/>
        <v/>
      </c>
      <c r="G22">
        <f t="shared" ca="1" si="1"/>
        <v>1</v>
      </c>
      <c r="H22">
        <f t="shared" ca="1" si="2"/>
        <v>1</v>
      </c>
    </row>
    <row r="23" spans="1:8" x14ac:dyDescent="0.2">
      <c r="A23" s="24">
        <f>'תמורה ליוצרים'!A26</f>
        <v>16</v>
      </c>
      <c r="B23" s="30" t="str">
        <f ca="1">'תמורה ליוצרים'!B26</f>
        <v/>
      </c>
      <c r="C23" s="69"/>
      <c r="D23" s="69"/>
      <c r="E23" s="28" t="str">
        <f ca="1">IF(OR(G23&lt;&gt;1,H23&lt;&gt;1,'רמה הפקתית'!G26&lt;&gt;1),"",(MIN($C$4,C23*$C$3)+D23*$C$5)*'רמה הפקתית'!C26)</f>
        <v/>
      </c>
      <c r="F23" s="35" t="str">
        <f t="shared" ca="1" si="0"/>
        <v/>
      </c>
      <c r="G23">
        <f t="shared" ca="1" si="1"/>
        <v>0</v>
      </c>
      <c r="H23">
        <f t="shared" ca="1" si="2"/>
        <v>0</v>
      </c>
    </row>
    <row r="24" spans="1:8" x14ac:dyDescent="0.2">
      <c r="A24" s="24">
        <f>'תמורה ליוצרים'!A27</f>
        <v>17</v>
      </c>
      <c r="B24" s="30" t="str">
        <f ca="1">'תמורה ליוצרים'!B27</f>
        <v>הכיוון מזרח (עמותת אחותי)</v>
      </c>
      <c r="C24" s="69"/>
      <c r="D24" s="69"/>
      <c r="E24" s="28">
        <f ca="1">IF(OR(G24&lt;&gt;1,H24&lt;&gt;1,'רמה הפקתית'!G27&lt;&gt;1),"",(MIN($C$4,C24*$C$3)+D24*$C$5)*'רמה הפקתית'!C27)</f>
        <v>0</v>
      </c>
      <c r="F24" s="35" t="str">
        <f t="shared" ca="1" si="0"/>
        <v/>
      </c>
      <c r="G24">
        <f t="shared" ca="1" si="1"/>
        <v>1</v>
      </c>
      <c r="H24">
        <f t="shared" ca="1" si="2"/>
        <v>1</v>
      </c>
    </row>
    <row r="25" spans="1:8" x14ac:dyDescent="0.2">
      <c r="A25" s="24">
        <f>'תמורה ליוצרים'!A28</f>
        <v>18</v>
      </c>
      <c r="B25" s="30" t="str">
        <f ca="1">'תמורה ליוצרים'!B28</f>
        <v/>
      </c>
      <c r="C25" s="69"/>
      <c r="D25" s="69"/>
      <c r="E25" s="28" t="str">
        <f ca="1">IF(OR(G25&lt;&gt;1,H25&lt;&gt;1,'רמה הפקתית'!G28&lt;&gt;1),"",(MIN($C$4,C25*$C$3)+D25*$C$5)*'רמה הפקתית'!C28)</f>
        <v/>
      </c>
      <c r="F25" s="35" t="str">
        <f t="shared" ca="1" si="0"/>
        <v/>
      </c>
      <c r="G25">
        <f t="shared" ca="1" si="1"/>
        <v>0</v>
      </c>
      <c r="H25">
        <f t="shared" ca="1" si="2"/>
        <v>0</v>
      </c>
    </row>
    <row r="26" spans="1:8" x14ac:dyDescent="0.2">
      <c r="A26" s="24">
        <f>'תמורה ליוצרים'!A29</f>
        <v>19</v>
      </c>
      <c r="B26" s="30" t="str">
        <f ca="1">'תמורה ליוצרים'!B29</f>
        <v>הו</v>
      </c>
      <c r="C26" s="69"/>
      <c r="D26" s="69"/>
      <c r="E26" s="28">
        <f ca="1">IF(OR(G26&lt;&gt;1,H26&lt;&gt;1,'רמה הפקתית'!G29&lt;&gt;1),"",(MIN($C$4,C26*$C$3)+D26*$C$5)*'רמה הפקתית'!C29)</f>
        <v>0</v>
      </c>
      <c r="F26" s="35" t="str">
        <f t="shared" ca="1" si="0"/>
        <v/>
      </c>
      <c r="G26">
        <f t="shared" ca="1" si="1"/>
        <v>1</v>
      </c>
      <c r="H26">
        <f t="shared" ca="1" si="2"/>
        <v>1</v>
      </c>
    </row>
    <row r="27" spans="1:8" x14ac:dyDescent="0.2">
      <c r="A27" s="24">
        <f>'תמורה ליוצרים'!A30</f>
        <v>20</v>
      </c>
      <c r="B27" s="30" t="str">
        <f ca="1">'תמורה ליוצרים'!B30</f>
        <v>הבא להבא (עמותת מקום לשירה)</v>
      </c>
      <c r="C27" s="69"/>
      <c r="D27" s="69"/>
      <c r="E27" s="28">
        <f ca="1">IF(OR(G27&lt;&gt;1,H27&lt;&gt;1,'רמה הפקתית'!G30&lt;&gt;1),"",(MIN($C$4,C27*$C$3)+D27*$C$5)*'רמה הפקתית'!C30)</f>
        <v>0</v>
      </c>
      <c r="F27" s="35" t="str">
        <f t="shared" ca="1" si="0"/>
        <v/>
      </c>
      <c r="G27">
        <f t="shared" ca="1" si="1"/>
        <v>1</v>
      </c>
      <c r="H27">
        <f t="shared" ca="1" si="2"/>
        <v>1</v>
      </c>
    </row>
    <row r="28" spans="1:8" x14ac:dyDescent="0.2">
      <c r="A28" s="24">
        <f>'תמורה ליוצרים'!A31</f>
        <v>21</v>
      </c>
      <c r="B28" s="30" t="str">
        <f ca="1">'תמורה ליוצרים'!B31</f>
        <v>היסטוריה (החברה ההיסטורית הישרא</v>
      </c>
      <c r="C28" s="69"/>
      <c r="D28" s="69"/>
      <c r="E28" s="28">
        <f ca="1">IF(OR(G28&lt;&gt;1,H28&lt;&gt;1,'רמה הפקתית'!G31&lt;&gt;1),"",(MIN($C$4,C28*$C$3)+D28*$C$5)*'רמה הפקתית'!C31)</f>
        <v>0</v>
      </c>
      <c r="F28" s="35" t="str">
        <f t="shared" ca="1" si="0"/>
        <v/>
      </c>
      <c r="G28">
        <f t="shared" ca="1" si="1"/>
        <v>1</v>
      </c>
      <c r="H28">
        <f t="shared" ca="1" si="2"/>
        <v>1</v>
      </c>
    </row>
    <row r="29" spans="1:8" x14ac:dyDescent="0.2">
      <c r="A29" s="24">
        <f>'תמורה ליוצרים'!A32</f>
        <v>22</v>
      </c>
      <c r="B29" s="30" t="str">
        <f ca="1">'תמורה ליוצרים'!B32</f>
        <v>מחול עכשיו (תמונע)</v>
      </c>
      <c r="C29" s="69"/>
      <c r="D29" s="69"/>
      <c r="E29" s="28">
        <f ca="1">IF(OR(G29&lt;&gt;1,H29&lt;&gt;1,'רמה הפקתית'!G32&lt;&gt;1),"",(MIN($C$4,C29*$C$3)+D29*$C$5)*'רמה הפקתית'!C32)</f>
        <v>0</v>
      </c>
      <c r="F29" s="35" t="str">
        <f t="shared" ca="1" si="0"/>
        <v/>
      </c>
      <c r="G29">
        <f t="shared" ca="1" si="1"/>
        <v>1</v>
      </c>
      <c r="H29">
        <f t="shared" ca="1" si="2"/>
        <v>1</v>
      </c>
    </row>
    <row r="30" spans="1:8" x14ac:dyDescent="0.2">
      <c r="A30" s="24">
        <f>'תמורה ליוצרים'!A33</f>
        <v>23</v>
      </c>
      <c r="B30" s="30" t="str">
        <f ca="1">'תמורה ליוצרים'!B43</f>
        <v/>
      </c>
      <c r="C30" s="69"/>
      <c r="D30" s="69"/>
      <c r="E30" s="28" t="str">
        <f ca="1">IF(OR(G30&lt;&gt;1,H30&lt;&gt;1,'רמה הפקתית'!G43&lt;&gt;1),"",(MIN($C$4,C30*$C$3)+D30*$C$5)*'רמה הפקתית'!C43)</f>
        <v/>
      </c>
      <c r="F30" s="35" t="str">
        <f t="shared" ca="1" si="0"/>
        <v/>
      </c>
      <c r="G30">
        <f t="shared" ca="1" si="1"/>
        <v>0</v>
      </c>
      <c r="H30">
        <f t="shared" ca="1" si="2"/>
        <v>0</v>
      </c>
    </row>
    <row r="31" spans="1:8" x14ac:dyDescent="0.2">
      <c r="A31" s="24">
        <f>'תמורה ליוצרים'!A34</f>
        <v>24</v>
      </c>
      <c r="B31" s="167"/>
      <c r="C31" s="168"/>
      <c r="D31" s="168"/>
      <c r="E31" s="169"/>
      <c r="F31" s="170"/>
    </row>
    <row r="32" spans="1:8" x14ac:dyDescent="0.2">
      <c r="A32" s="24">
        <f>'תמורה ליוצרים'!A35</f>
        <v>25</v>
      </c>
      <c r="B32" s="167"/>
      <c r="C32" s="168"/>
      <c r="D32" s="168"/>
      <c r="E32" s="169"/>
      <c r="F32" s="170"/>
    </row>
    <row r="33" spans="1:8" x14ac:dyDescent="0.2">
      <c r="A33" s="24">
        <f>'תמורה ליוצרים'!A36</f>
        <v>26</v>
      </c>
      <c r="B33" s="167"/>
      <c r="C33" s="168"/>
      <c r="D33" s="168"/>
      <c r="E33" s="169"/>
      <c r="F33" s="170"/>
    </row>
    <row r="34" spans="1:8" x14ac:dyDescent="0.2">
      <c r="A34" s="24">
        <f>'תמורה ליוצרים'!A37</f>
        <v>27</v>
      </c>
      <c r="B34" s="167"/>
      <c r="C34" s="168"/>
      <c r="D34" s="168"/>
      <c r="E34" s="169"/>
      <c r="F34" s="170"/>
    </row>
    <row r="35" spans="1:8" x14ac:dyDescent="0.2">
      <c r="A35" s="24">
        <f>'תמורה ליוצרים'!A38</f>
        <v>28</v>
      </c>
      <c r="B35" s="167"/>
      <c r="C35" s="168"/>
      <c r="D35" s="168"/>
      <c r="E35" s="169"/>
      <c r="F35" s="170"/>
    </row>
    <row r="36" spans="1:8" x14ac:dyDescent="0.2">
      <c r="A36" s="24">
        <f>'תמורה ליוצרים'!A39</f>
        <v>29</v>
      </c>
      <c r="B36" s="167"/>
      <c r="C36" s="168"/>
      <c r="D36" s="168"/>
      <c r="E36" s="169"/>
      <c r="F36" s="170"/>
    </row>
    <row r="37" spans="1:8" x14ac:dyDescent="0.2">
      <c r="A37" s="24">
        <f>'תמורה ליוצרים'!A40</f>
        <v>30</v>
      </c>
      <c r="B37" s="167"/>
      <c r="C37" s="168"/>
      <c r="D37" s="168"/>
      <c r="E37" s="169"/>
      <c r="F37" s="170"/>
    </row>
    <row r="38" spans="1:8" x14ac:dyDescent="0.2">
      <c r="A38" s="24">
        <f>'תמורה ליוצרים'!A41</f>
        <v>31</v>
      </c>
      <c r="B38" s="167"/>
      <c r="C38" s="168"/>
      <c r="D38" s="168"/>
      <c r="E38" s="169"/>
      <c r="F38" s="170"/>
    </row>
    <row r="39" spans="1:8" x14ac:dyDescent="0.2">
      <c r="A39" s="24">
        <f>'תמורה ליוצרים'!A42</f>
        <v>32</v>
      </c>
      <c r="B39" s="167"/>
      <c r="C39" s="168"/>
      <c r="D39" s="168"/>
      <c r="E39" s="169"/>
      <c r="F39" s="170"/>
    </row>
    <row r="40" spans="1:8" x14ac:dyDescent="0.2">
      <c r="A40" s="24">
        <f>'תמורה ליוצרים'!A43</f>
        <v>33</v>
      </c>
      <c r="B40" s="167"/>
      <c r="C40" s="168"/>
      <c r="D40" s="168"/>
      <c r="E40" s="169"/>
      <c r="F40" s="170"/>
    </row>
    <row r="41" spans="1:8" x14ac:dyDescent="0.2">
      <c r="A41" s="24">
        <f>'תמורה ליוצרים'!A44</f>
        <v>34</v>
      </c>
      <c r="B41" s="167"/>
      <c r="C41" s="168"/>
      <c r="D41" s="168"/>
      <c r="E41" s="169"/>
      <c r="F41" s="170"/>
    </row>
    <row r="42" spans="1:8" x14ac:dyDescent="0.2">
      <c r="A42" s="24">
        <f>'תמורה ליוצרים'!A45</f>
        <v>35</v>
      </c>
      <c r="B42" s="167"/>
      <c r="C42" s="168"/>
      <c r="D42" s="168"/>
      <c r="E42" s="169"/>
      <c r="F42" s="170"/>
    </row>
    <row r="43" spans="1:8" x14ac:dyDescent="0.2">
      <c r="A43" s="24">
        <f>'תמורה ליוצרים'!A46</f>
        <v>36</v>
      </c>
      <c r="B43" s="167"/>
      <c r="C43" s="168"/>
      <c r="D43" s="168"/>
      <c r="E43" s="169"/>
      <c r="F43" s="170"/>
    </row>
    <row r="44" spans="1:8" x14ac:dyDescent="0.2">
      <c r="A44" s="24">
        <f>'תמורה ליוצרים'!A47</f>
        <v>37</v>
      </c>
      <c r="B44" s="167"/>
      <c r="C44" s="168"/>
      <c r="D44" s="168"/>
      <c r="E44" s="169"/>
      <c r="F44" s="170"/>
    </row>
    <row r="45" spans="1:8" x14ac:dyDescent="0.2">
      <c r="A45" s="24">
        <f>'תמורה ליוצרים'!A48</f>
        <v>38</v>
      </c>
      <c r="B45" s="167"/>
      <c r="C45" s="168"/>
      <c r="D45" s="168"/>
      <c r="E45" s="169"/>
      <c r="F45" s="170"/>
    </row>
    <row r="46" spans="1:8" x14ac:dyDescent="0.2">
      <c r="A46" s="24">
        <f>'תמורה ליוצרים'!A49</f>
        <v>39</v>
      </c>
      <c r="B46" s="167"/>
      <c r="C46" s="168"/>
      <c r="D46" s="168"/>
      <c r="E46" s="169"/>
      <c r="F46" s="170"/>
    </row>
    <row r="47" spans="1:8" ht="13.5" thickBot="1" x14ac:dyDescent="0.25">
      <c r="A47" s="24">
        <f>'תמורה ליוצרים'!A50</f>
        <v>40</v>
      </c>
      <c r="B47" s="32" t="str">
        <f ca="1">'תמורה ליוצרים'!B50</f>
        <v/>
      </c>
      <c r="C47" s="70"/>
      <c r="D47" s="70"/>
      <c r="E47" s="77" t="str">
        <f ca="1">IF(OR(G47&lt;&gt;1,H47&lt;&gt;1,'רמה הפקתית'!G50&lt;&gt;1),"",(MIN($C$4,C47*$C$3)+D47*$C$5)*'רמה הפקתית'!C50)</f>
        <v/>
      </c>
      <c r="F47" s="37" t="str">
        <f ca="1">IF(ISERR(E47/$E$48),"",E47/$E$48)</f>
        <v/>
      </c>
      <c r="G47">
        <f t="shared" ca="1" si="1"/>
        <v>0</v>
      </c>
      <c r="H47">
        <f t="shared" ca="1" si="2"/>
        <v>0</v>
      </c>
    </row>
    <row r="48" spans="1:8" ht="14.25" thickTop="1" thickBot="1" x14ac:dyDescent="0.25">
      <c r="A48" s="607" t="s">
        <v>54</v>
      </c>
      <c r="B48" s="624"/>
      <c r="C48" s="624"/>
      <c r="D48" s="608"/>
      <c r="E48" s="13">
        <f ca="1">SUM(E8:E47)</f>
        <v>0</v>
      </c>
      <c r="F48" s="5">
        <f ca="1">SUM(F8:F47)</f>
        <v>0</v>
      </c>
    </row>
    <row r="49" ht="13.5" thickTop="1" x14ac:dyDescent="0.2"/>
  </sheetData>
  <sheetProtection algorithmName="SHA-512" hashValue="GAw9XbI0L/jANXNnpzeuiFR8YHpQ1qj2b0QgNYgCUdFUolQoB+osf8O/dn2C+CKT/pK12TsO2Uq2T29NK/tNCA==" saltValue="eekZyHlsihlRoWXiBlmUoQ==" spinCount="100000" sheet="1" scenarios="1" formatColumns="0" formatRows="0"/>
  <mergeCells count="7">
    <mergeCell ref="A2:B2"/>
    <mergeCell ref="A1:C1"/>
    <mergeCell ref="A6:F6"/>
    <mergeCell ref="A48:D48"/>
    <mergeCell ref="A3:B3"/>
    <mergeCell ref="A4:B4"/>
    <mergeCell ref="A5:B5"/>
  </mergeCells>
  <phoneticPr fontId="0" type="noConversion"/>
  <conditionalFormatting sqref="C8:D47">
    <cfRule type="expression" dxfId="1013" priority="1" stopIfTrue="1">
      <formula>G8=0</formula>
    </cfRule>
  </conditionalFormatting>
  <dataValidations count="1">
    <dataValidation type="custom" errorStyle="warning" operator="greaterThanOrEqual" allowBlank="1" showInputMessage="1" showErrorMessage="1" errorTitle="נתון לא חוקי" error="יש לוודא כי הוזן שם כתב העת_x000a__x000a_יש להזין מספר שלם שאינו שלילי של עותקים" sqref="C8:D47" xr:uid="{00000000-0002-0000-0900-000000000000}">
      <formula1>G8</formula1>
    </dataValidation>
  </dataValidations>
  <pageMargins left="0.27559055118110237" right="0.19685039370078741" top="0.51181102362204722" bottom="0.39370078740157483" header="0.15748031496062992" footer="0.19685039370078741"/>
  <pageSetup paperSize="9" scale="78" orientation="landscape" horizontalDpi="1200"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&amp;L&amp;"Arial,מודגש"&amp;12הלוי דוויק ושות'
יעוץ כלכלי&amp;Cעמוד &amp;P מתוך &amp;N&amp;R&amp;A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0">
    <tabColor indexed="46"/>
    <pageSetUpPr fitToPage="1"/>
  </sheetPr>
  <dimension ref="A1:H47"/>
  <sheetViews>
    <sheetView rightToLeft="1" view="pageBreakPreview" topLeftCell="A16" zoomScale="75" zoomScaleNormal="100" workbookViewId="0">
      <selection activeCell="A44" sqref="A44"/>
    </sheetView>
  </sheetViews>
  <sheetFormatPr defaultColWidth="9.140625" defaultRowHeight="12.75" x14ac:dyDescent="0.2"/>
  <cols>
    <col min="1" max="1" width="7.7109375" bestFit="1" customWidth="1"/>
    <col min="2" max="2" width="26.5703125" customWidth="1"/>
    <col min="3" max="3" width="16.28515625" bestFit="1" customWidth="1"/>
    <col min="4" max="4" width="13.5703125" bestFit="1" customWidth="1"/>
    <col min="5" max="5" width="15.28515625" customWidth="1"/>
    <col min="6" max="6" width="2.42578125" hidden="1" customWidth="1"/>
    <col min="12" max="12" width="9.85546875" bestFit="1" customWidth="1"/>
  </cols>
  <sheetData>
    <row r="1" spans="1:8" ht="17.25" thickTop="1" thickBot="1" x14ac:dyDescent="0.3">
      <c r="B1" s="584" t="e">
        <f>פרמטרים!#REF!</f>
        <v>#REF!</v>
      </c>
      <c r="C1" s="585"/>
      <c r="D1" s="19" t="str">
        <f>פרמטרים!B1</f>
        <v>שנת התקציב</v>
      </c>
      <c r="E1" s="10">
        <f>פרמטרים!C1</f>
        <v>2025</v>
      </c>
    </row>
    <row r="2" spans="1:8" ht="18.75" thickBot="1" x14ac:dyDescent="0.25">
      <c r="B2" s="71" t="e">
        <f>פרמטרים!#REF!</f>
        <v>#REF!</v>
      </c>
      <c r="C2" s="72" t="e">
        <f>פרמטרים!#REF!</f>
        <v>#REF!</v>
      </c>
      <c r="D2" s="20" t="str">
        <f>פרמטרים!B2</f>
        <v>תקציב</v>
      </c>
      <c r="E2" s="9">
        <f>פרמטרים!C2</f>
        <v>1906914</v>
      </c>
    </row>
    <row r="3" spans="1:8" ht="17.25" thickTop="1" thickBot="1" x14ac:dyDescent="0.3">
      <c r="B3" s="84" t="e">
        <f>פרמטרים!#REF!</f>
        <v>#REF!</v>
      </c>
      <c r="C3" s="85" t="e">
        <f>פרמטרים!#REF!</f>
        <v>#REF!</v>
      </c>
    </row>
    <row r="4" spans="1:8" ht="17.25" thickTop="1" thickBot="1" x14ac:dyDescent="0.3">
      <c r="A4" s="609" t="str">
        <f ca="1">"שיעור יחסי במשתנה "&amp;MID(CELL("filename",C6),FIND("]",CELL("filename",C6),1)+1,99)</f>
        <v>שיעור יחסי במשתנה וותק</v>
      </c>
      <c r="B4" s="610"/>
      <c r="C4" s="610"/>
      <c r="D4" s="610"/>
      <c r="E4" s="611"/>
    </row>
    <row r="5" spans="1:8" ht="36.75" customHeight="1" thickTop="1" thickBot="1" x14ac:dyDescent="0.25">
      <c r="A5" s="3" t="str">
        <f>הפצה!A7</f>
        <v>מספר סידורי</v>
      </c>
      <c r="B5" s="1" t="str">
        <f>הפצה!B7</f>
        <v>שם כתב העת</v>
      </c>
      <c r="C5" s="1" t="s">
        <v>143</v>
      </c>
      <c r="D5" s="1" t="str">
        <f ca="1">"ניקוד "&amp;MID(CELL("filename",C6),FIND("]",CELL("filename",C6),1)+1,99)</f>
        <v>ניקוד וותק</v>
      </c>
      <c r="E5" s="4" t="s">
        <v>122</v>
      </c>
    </row>
    <row r="6" spans="1:8" x14ac:dyDescent="0.2">
      <c r="A6" s="24">
        <f>הפצה!A8</f>
        <v>1</v>
      </c>
      <c r="B6" s="29" t="str">
        <f ca="1">הפצה!B8</f>
        <v>1280 מעלות (אמנים יוצרים)</v>
      </c>
      <c r="C6" s="78"/>
      <c r="D6" s="40" t="str">
        <f t="shared" ref="D6:D45" ca="1" si="0">IF(OR(F6&lt;&gt;1,C6=""),"",MIN($C$3,C6))</f>
        <v/>
      </c>
      <c r="E6" s="23" t="str">
        <f t="shared" ref="E6:E27" ca="1" si="1">IF(ISERR(D6/$D$46),"",D6/$D$46)</f>
        <v/>
      </c>
      <c r="F6">
        <f ca="1">IF(OR(B6="",ISERR(C6/3),C6&lt;0),0,1)</f>
        <v>1</v>
      </c>
    </row>
    <row r="7" spans="1:8" x14ac:dyDescent="0.2">
      <c r="A7" s="24">
        <f>הפצה!A9</f>
        <v>2</v>
      </c>
      <c r="B7" s="30" t="str">
        <f ca="1">הפצה!B9</f>
        <v>יהי (אורי צבי גרינברג)</v>
      </c>
      <c r="C7" s="79"/>
      <c r="D7" s="41" t="str">
        <f t="shared" ca="1" si="0"/>
        <v/>
      </c>
      <c r="E7" s="26" t="str">
        <f t="shared" ca="1" si="1"/>
        <v/>
      </c>
      <c r="F7">
        <f t="shared" ref="F7:F45" ca="1" si="2">IF(OR(B7="",ISERR(C7/3),C7&lt;0),0,1)</f>
        <v>1</v>
      </c>
      <c r="H7" s="81"/>
    </row>
    <row r="8" spans="1:8" x14ac:dyDescent="0.2">
      <c r="A8" s="24">
        <f>הפצה!A10</f>
        <v>3</v>
      </c>
      <c r="B8" s="30" t="str">
        <f ca="1">הפצה!B10</f>
        <v/>
      </c>
      <c r="C8" s="79"/>
      <c r="D8" s="41" t="str">
        <f t="shared" ca="1" si="0"/>
        <v/>
      </c>
      <c r="E8" s="26" t="str">
        <f t="shared" ca="1" si="1"/>
        <v/>
      </c>
      <c r="F8">
        <f t="shared" ca="1" si="2"/>
        <v>0</v>
      </c>
    </row>
    <row r="9" spans="1:8" x14ac:dyDescent="0.2">
      <c r="A9" s="24">
        <f>הפצה!A11</f>
        <v>4</v>
      </c>
      <c r="B9" s="30" t="str">
        <f ca="1">הפצה!B11</f>
        <v>דעות (ברית נאמני תורה ועבודה)</v>
      </c>
      <c r="C9" s="79"/>
      <c r="D9" s="41" t="str">
        <f t="shared" ca="1" si="0"/>
        <v/>
      </c>
      <c r="E9" s="26" t="str">
        <f t="shared" ca="1" si="1"/>
        <v/>
      </c>
      <c r="F9">
        <f t="shared" ca="1" si="2"/>
        <v>1</v>
      </c>
    </row>
    <row r="10" spans="1:8" x14ac:dyDescent="0.2">
      <c r="A10" s="24">
        <f>הפצה!A12</f>
        <v>5</v>
      </c>
      <c r="B10" s="30" t="str">
        <f ca="1">הפצה!B12</f>
        <v>הליקון</v>
      </c>
      <c r="C10" s="79"/>
      <c r="D10" s="41" t="str">
        <f t="shared" ca="1" si="0"/>
        <v/>
      </c>
      <c r="E10" s="26" t="str">
        <f t="shared" ca="1" si="1"/>
        <v/>
      </c>
      <c r="F10">
        <f t="shared" ca="1" si="2"/>
        <v>1</v>
      </c>
    </row>
    <row r="11" spans="1:8" x14ac:dyDescent="0.2">
      <c r="A11" s="24">
        <f>הפצה!A13</f>
        <v>6</v>
      </c>
      <c r="B11" s="30" t="str">
        <f ca="1">הפצה!B13</f>
        <v/>
      </c>
      <c r="C11" s="79"/>
      <c r="D11" s="41" t="str">
        <f t="shared" ca="1" si="0"/>
        <v/>
      </c>
      <c r="E11" s="26" t="str">
        <f t="shared" ca="1" si="1"/>
        <v/>
      </c>
      <c r="F11">
        <f t="shared" ca="1" si="2"/>
        <v>0</v>
      </c>
    </row>
    <row r="12" spans="1:8" x14ac:dyDescent="0.2">
      <c r="A12" s="24">
        <f>הפצה!A14</f>
        <v>7</v>
      </c>
      <c r="B12" s="30" t="str">
        <f ca="1">הפצה!B14</f>
        <v/>
      </c>
      <c r="C12" s="79"/>
      <c r="D12" s="41" t="str">
        <f t="shared" ca="1" si="0"/>
        <v/>
      </c>
      <c r="E12" s="26" t="str">
        <f t="shared" ca="1" si="1"/>
        <v/>
      </c>
      <c r="F12">
        <f t="shared" ca="1" si="2"/>
        <v>0</v>
      </c>
    </row>
    <row r="13" spans="1:8" x14ac:dyDescent="0.2">
      <c r="A13" s="24">
        <f>הפצה!A15</f>
        <v>8</v>
      </c>
      <c r="B13" s="30" t="str">
        <f ca="1">הפצה!B15</f>
        <v>ננפואטיקה (עמותת מקום לשירה)</v>
      </c>
      <c r="C13" s="79"/>
      <c r="D13" s="41" t="str">
        <f t="shared" ca="1" si="0"/>
        <v/>
      </c>
      <c r="E13" s="26" t="str">
        <f t="shared" ca="1" si="1"/>
        <v/>
      </c>
      <c r="F13">
        <f t="shared" ca="1" si="2"/>
        <v>1</v>
      </c>
    </row>
    <row r="14" spans="1:8" x14ac:dyDescent="0.2">
      <c r="A14" s="24">
        <f>הפצה!A16</f>
        <v>9</v>
      </c>
      <c r="B14" s="30" t="str">
        <f ca="1">הפצה!B16</f>
        <v>מאזניים (אגודת הסופרים העבריים)</v>
      </c>
      <c r="C14" s="79"/>
      <c r="D14" s="41" t="str">
        <f t="shared" ca="1" si="0"/>
        <v/>
      </c>
      <c r="E14" s="26" t="str">
        <f t="shared" ca="1" si="1"/>
        <v/>
      </c>
      <c r="F14">
        <f t="shared" ca="1" si="2"/>
        <v>1</v>
      </c>
    </row>
    <row r="15" spans="1:8" x14ac:dyDescent="0.2">
      <c r="A15" s="24">
        <f>הפצה!A17</f>
        <v>10</v>
      </c>
      <c r="B15" s="30" t="str">
        <f ca="1">הפצה!B17</f>
        <v>משיב הרוח</v>
      </c>
      <c r="C15" s="79"/>
      <c r="D15" s="41" t="str">
        <f t="shared" ca="1" si="0"/>
        <v/>
      </c>
      <c r="E15" s="26" t="str">
        <f t="shared" ca="1" si="1"/>
        <v/>
      </c>
      <c r="F15">
        <f t="shared" ca="1" si="2"/>
        <v>1</v>
      </c>
    </row>
    <row r="16" spans="1:8" x14ac:dyDescent="0.2">
      <c r="A16" s="24">
        <f>הפצה!A18</f>
        <v>11</v>
      </c>
      <c r="B16" s="30" t="str">
        <f ca="1">הפצה!B18</f>
        <v>עמדה (עמותת מונטן)</v>
      </c>
      <c r="C16" s="79"/>
      <c r="D16" s="41" t="str">
        <f t="shared" ca="1" si="0"/>
        <v/>
      </c>
      <c r="E16" s="26" t="str">
        <f t="shared" ca="1" si="1"/>
        <v/>
      </c>
      <c r="F16">
        <f t="shared" ca="1" si="2"/>
        <v>1</v>
      </c>
    </row>
    <row r="17" spans="1:6" x14ac:dyDescent="0.2">
      <c r="A17" s="24">
        <f>הפצה!A19</f>
        <v>12</v>
      </c>
      <c r="B17" s="30" t="str">
        <f ca="1">הפצה!B19</f>
        <v>עתון 77 (אגודת סופרים ואמנים)</v>
      </c>
      <c r="C17" s="79"/>
      <c r="D17" s="41" t="str">
        <f t="shared" ca="1" si="0"/>
        <v/>
      </c>
      <c r="E17" s="26" t="str">
        <f t="shared" ca="1" si="1"/>
        <v/>
      </c>
      <c r="F17">
        <f t="shared" ca="1" si="2"/>
        <v>1</v>
      </c>
    </row>
    <row r="18" spans="1:6" x14ac:dyDescent="0.2">
      <c r="A18" s="24">
        <f>הפצה!A20</f>
        <v>13</v>
      </c>
      <c r="B18" s="30" t="str">
        <f ca="1">הפצה!B20</f>
        <v/>
      </c>
      <c r="C18" s="79"/>
      <c r="D18" s="41" t="str">
        <f t="shared" ca="1" si="0"/>
        <v/>
      </c>
      <c r="E18" s="26" t="str">
        <f t="shared" ca="1" si="1"/>
        <v/>
      </c>
      <c r="F18">
        <f t="shared" ca="1" si="2"/>
        <v>0</v>
      </c>
    </row>
    <row r="19" spans="1:6" x14ac:dyDescent="0.2">
      <c r="A19" s="24">
        <f>הפצה!A21</f>
        <v>14</v>
      </c>
      <c r="B19" s="30" t="str">
        <f ca="1">הפצה!B21</f>
        <v>פסיפס</v>
      </c>
      <c r="C19" s="79"/>
      <c r="D19" s="41" t="str">
        <f t="shared" ca="1" si="0"/>
        <v/>
      </c>
      <c r="E19" s="26" t="str">
        <f t="shared" ca="1" si="1"/>
        <v/>
      </c>
      <c r="F19">
        <f t="shared" ca="1" si="2"/>
        <v>1</v>
      </c>
    </row>
    <row r="20" spans="1:6" x14ac:dyDescent="0.2">
      <c r="A20" s="24">
        <f>הפצה!A22</f>
        <v>15</v>
      </c>
      <c r="B20" s="30" t="str">
        <f ca="1">הפצה!B22</f>
        <v>קתרזיס ( עמותת מצרף)</v>
      </c>
      <c r="C20" s="79"/>
      <c r="D20" s="41" t="str">
        <f t="shared" ca="1" si="0"/>
        <v/>
      </c>
      <c r="E20" s="26" t="str">
        <f t="shared" ca="1" si="1"/>
        <v/>
      </c>
      <c r="F20">
        <f t="shared" ca="1" si="2"/>
        <v>1</v>
      </c>
    </row>
    <row r="21" spans="1:6" x14ac:dyDescent="0.2">
      <c r="A21" s="24">
        <f>הפצה!A23</f>
        <v>16</v>
      </c>
      <c r="B21" s="30" t="str">
        <f ca="1">הפצה!B23</f>
        <v/>
      </c>
      <c r="C21" s="79"/>
      <c r="D21" s="41" t="str">
        <f t="shared" ca="1" si="0"/>
        <v/>
      </c>
      <c r="E21" s="26" t="str">
        <f t="shared" ca="1" si="1"/>
        <v/>
      </c>
      <c r="F21">
        <f t="shared" ca="1" si="2"/>
        <v>0</v>
      </c>
    </row>
    <row r="22" spans="1:6" x14ac:dyDescent="0.2">
      <c r="A22" s="24">
        <f>הפצה!A24</f>
        <v>17</v>
      </c>
      <c r="B22" s="30" t="str">
        <f ca="1">הפצה!B24</f>
        <v>הכיוון מזרח (עמותת אחותי)</v>
      </c>
      <c r="C22" s="79"/>
      <c r="D22" s="41" t="str">
        <f t="shared" ca="1" si="0"/>
        <v/>
      </c>
      <c r="E22" s="26" t="str">
        <f t="shared" ca="1" si="1"/>
        <v/>
      </c>
      <c r="F22">
        <f t="shared" ca="1" si="2"/>
        <v>1</v>
      </c>
    </row>
    <row r="23" spans="1:6" x14ac:dyDescent="0.2">
      <c r="A23" s="24">
        <f>הפצה!A25</f>
        <v>18</v>
      </c>
      <c r="B23" s="30" t="str">
        <f ca="1">הפצה!B25</f>
        <v/>
      </c>
      <c r="C23" s="79"/>
      <c r="D23" s="41" t="str">
        <f t="shared" ca="1" si="0"/>
        <v/>
      </c>
      <c r="E23" s="26" t="str">
        <f t="shared" ca="1" si="1"/>
        <v/>
      </c>
      <c r="F23">
        <f t="shared" ca="1" si="2"/>
        <v>0</v>
      </c>
    </row>
    <row r="24" spans="1:6" x14ac:dyDescent="0.2">
      <c r="A24" s="24">
        <f>הפצה!A26</f>
        <v>19</v>
      </c>
      <c r="B24" s="30" t="str">
        <f ca="1">הפצה!B26</f>
        <v>הו</v>
      </c>
      <c r="C24" s="79"/>
      <c r="D24" s="41" t="str">
        <f t="shared" ca="1" si="0"/>
        <v/>
      </c>
      <c r="E24" s="26" t="str">
        <f t="shared" ca="1" si="1"/>
        <v/>
      </c>
      <c r="F24">
        <f t="shared" ca="1" si="2"/>
        <v>1</v>
      </c>
    </row>
    <row r="25" spans="1:6" x14ac:dyDescent="0.2">
      <c r="A25" s="24">
        <f>הפצה!A27</f>
        <v>20</v>
      </c>
      <c r="B25" s="30" t="str">
        <f ca="1">הפצה!B27</f>
        <v>הבא להבא (עמותת מקום לשירה)</v>
      </c>
      <c r="C25" s="79"/>
      <c r="D25" s="41" t="str">
        <f t="shared" ca="1" si="0"/>
        <v/>
      </c>
      <c r="E25" s="26" t="str">
        <f t="shared" ca="1" si="1"/>
        <v/>
      </c>
      <c r="F25">
        <f t="shared" ca="1" si="2"/>
        <v>1</v>
      </c>
    </row>
    <row r="26" spans="1:6" x14ac:dyDescent="0.2">
      <c r="A26" s="24">
        <f>הפצה!A28</f>
        <v>21</v>
      </c>
      <c r="B26" s="30" t="str">
        <f ca="1">הפצה!B28</f>
        <v>היסטוריה (החברה ההיסטורית הישרא</v>
      </c>
      <c r="C26" s="79"/>
      <c r="D26" s="41" t="str">
        <f t="shared" ca="1" si="0"/>
        <v/>
      </c>
      <c r="E26" s="26" t="str">
        <f t="shared" ca="1" si="1"/>
        <v/>
      </c>
      <c r="F26">
        <f t="shared" ca="1" si="2"/>
        <v>1</v>
      </c>
    </row>
    <row r="27" spans="1:6" x14ac:dyDescent="0.2">
      <c r="A27" s="24">
        <f>הפצה!A29</f>
        <v>22</v>
      </c>
      <c r="B27" s="30" t="str">
        <f ca="1">הפצה!B29</f>
        <v>מחול עכשיו (תמונע)</v>
      </c>
      <c r="C27" s="79"/>
      <c r="D27" s="41" t="str">
        <f t="shared" ca="1" si="0"/>
        <v/>
      </c>
      <c r="E27" s="26" t="str">
        <f t="shared" ca="1" si="1"/>
        <v/>
      </c>
      <c r="F27">
        <f t="shared" ca="1" si="2"/>
        <v>1</v>
      </c>
    </row>
    <row r="28" spans="1:6" x14ac:dyDescent="0.2">
      <c r="A28" s="24">
        <f>הפצה!A30</f>
        <v>23</v>
      </c>
      <c r="B28" s="30"/>
      <c r="C28" s="79"/>
      <c r="D28" s="41"/>
      <c r="E28" s="26"/>
    </row>
    <row r="29" spans="1:6" x14ac:dyDescent="0.2">
      <c r="A29" s="24">
        <f>הפצה!A31</f>
        <v>24</v>
      </c>
      <c r="B29" s="30"/>
      <c r="C29" s="79"/>
      <c r="D29" s="41"/>
      <c r="E29" s="26"/>
    </row>
    <row r="30" spans="1:6" x14ac:dyDescent="0.2">
      <c r="A30" s="24">
        <f>הפצה!A32</f>
        <v>25</v>
      </c>
      <c r="B30" s="30"/>
      <c r="C30" s="79"/>
      <c r="D30" s="41"/>
      <c r="E30" s="26"/>
    </row>
    <row r="31" spans="1:6" x14ac:dyDescent="0.2">
      <c r="A31" s="24">
        <f>הפצה!A33</f>
        <v>26</v>
      </c>
      <c r="B31" s="30"/>
      <c r="C31" s="79"/>
      <c r="D31" s="41"/>
      <c r="E31" s="26"/>
    </row>
    <row r="32" spans="1:6" x14ac:dyDescent="0.2">
      <c r="A32" s="24">
        <f>הפצה!A34</f>
        <v>27</v>
      </c>
      <c r="B32" s="30"/>
      <c r="C32" s="79"/>
      <c r="D32" s="41"/>
      <c r="E32" s="26"/>
    </row>
    <row r="33" spans="1:6" x14ac:dyDescent="0.2">
      <c r="A33" s="24">
        <f>הפצה!A35</f>
        <v>28</v>
      </c>
      <c r="B33" s="30"/>
      <c r="C33" s="79"/>
      <c r="D33" s="41"/>
      <c r="E33" s="26"/>
    </row>
    <row r="34" spans="1:6" x14ac:dyDescent="0.2">
      <c r="A34" s="24">
        <f>הפצה!A36</f>
        <v>29</v>
      </c>
      <c r="B34" s="30"/>
      <c r="C34" s="79"/>
      <c r="D34" s="41"/>
      <c r="E34" s="26"/>
    </row>
    <row r="35" spans="1:6" x14ac:dyDescent="0.2">
      <c r="A35" s="24">
        <f>הפצה!A37</f>
        <v>30</v>
      </c>
      <c r="B35" s="30"/>
      <c r="C35" s="79"/>
      <c r="D35" s="41"/>
      <c r="E35" s="26"/>
    </row>
    <row r="36" spans="1:6" x14ac:dyDescent="0.2">
      <c r="A36" s="24">
        <f>הפצה!A38</f>
        <v>31</v>
      </c>
      <c r="B36" s="30"/>
      <c r="C36" s="79"/>
      <c r="D36" s="41"/>
      <c r="E36" s="26"/>
    </row>
    <row r="37" spans="1:6" x14ac:dyDescent="0.2">
      <c r="A37" s="24">
        <f>הפצה!A39</f>
        <v>32</v>
      </c>
      <c r="B37" s="30"/>
      <c r="C37" s="79"/>
      <c r="D37" s="41"/>
      <c r="E37" s="26"/>
    </row>
    <row r="38" spans="1:6" x14ac:dyDescent="0.2">
      <c r="A38" s="24">
        <f>הפצה!A40</f>
        <v>33</v>
      </c>
      <c r="B38" s="30"/>
      <c r="C38" s="79"/>
      <c r="D38" s="41"/>
      <c r="E38" s="26"/>
    </row>
    <row r="39" spans="1:6" x14ac:dyDescent="0.2">
      <c r="A39" s="24">
        <f>הפצה!A41</f>
        <v>34</v>
      </c>
      <c r="B39" s="30" t="str">
        <f ca="1">הפצה!B30</f>
        <v/>
      </c>
      <c r="C39" s="79"/>
      <c r="D39" s="41" t="str">
        <f t="shared" ca="1" si="0"/>
        <v/>
      </c>
      <c r="E39" s="26" t="str">
        <f ca="1">IF(ISERR(D39/$D$46),"",D39/$D$46)</f>
        <v/>
      </c>
      <c r="F39">
        <f t="shared" ca="1" si="2"/>
        <v>0</v>
      </c>
    </row>
    <row r="40" spans="1:6" x14ac:dyDescent="0.2">
      <c r="A40" s="24">
        <f>הפצה!A42</f>
        <v>35</v>
      </c>
      <c r="B40" s="167"/>
      <c r="C40" s="171"/>
      <c r="D40" s="172"/>
      <c r="E40" s="166"/>
    </row>
    <row r="41" spans="1:6" x14ac:dyDescent="0.2">
      <c r="A41" s="24">
        <f>הפצה!A43</f>
        <v>36</v>
      </c>
      <c r="B41" s="167"/>
      <c r="C41" s="171"/>
      <c r="D41" s="172"/>
      <c r="E41" s="166"/>
    </row>
    <row r="42" spans="1:6" x14ac:dyDescent="0.2">
      <c r="A42" s="24">
        <f>הפצה!A44</f>
        <v>37</v>
      </c>
      <c r="B42" s="167"/>
      <c r="C42" s="171"/>
      <c r="D42" s="172"/>
      <c r="E42" s="166"/>
    </row>
    <row r="43" spans="1:6" x14ac:dyDescent="0.2">
      <c r="A43" s="24">
        <f>הפצה!A45</f>
        <v>38</v>
      </c>
      <c r="B43" s="167"/>
      <c r="C43" s="171"/>
      <c r="D43" s="172"/>
      <c r="E43" s="166"/>
    </row>
    <row r="44" spans="1:6" x14ac:dyDescent="0.2">
      <c r="A44" s="24">
        <f>הפצה!A46</f>
        <v>39</v>
      </c>
      <c r="B44" s="167"/>
      <c r="C44" s="171"/>
      <c r="D44" s="172"/>
      <c r="E44" s="166"/>
    </row>
    <row r="45" spans="1:6" ht="13.5" thickBot="1" x14ac:dyDescent="0.25">
      <c r="A45" s="24">
        <f>הפצה!A47</f>
        <v>40</v>
      </c>
      <c r="B45" s="32" t="str">
        <f ca="1">הפצה!B47</f>
        <v/>
      </c>
      <c r="C45" s="80"/>
      <c r="D45" s="42" t="str">
        <f t="shared" ca="1" si="0"/>
        <v/>
      </c>
      <c r="E45" s="27" t="str">
        <f ca="1">IF(ISERR(D45/$D$46),"",D45/$D$46)</f>
        <v/>
      </c>
      <c r="F45">
        <f t="shared" ca="1" si="2"/>
        <v>0</v>
      </c>
    </row>
    <row r="46" spans="1:6" ht="14.25" thickTop="1" thickBot="1" x14ac:dyDescent="0.25">
      <c r="A46" s="607" t="s">
        <v>54</v>
      </c>
      <c r="B46" s="617"/>
      <c r="C46" s="618"/>
      <c r="D46" s="13">
        <f ca="1">SUM(D6:D45)</f>
        <v>0</v>
      </c>
      <c r="E46" s="14">
        <f ca="1">SUM(E6:E45)</f>
        <v>0</v>
      </c>
    </row>
    <row r="47" spans="1:6" ht="13.5" thickTop="1" x14ac:dyDescent="0.2"/>
  </sheetData>
  <sheetProtection algorithmName="SHA-512" hashValue="1W26McDB4cR63WHmAps6JXJep3gcbGIF4+7kZ3gWWadW3hVxKuegDt1gGK2k1Z7IZk7p+2vjMtyEiuLfuIBkZg==" saltValue="orCSaAnFkKE1D/sef5jteA==" spinCount="100000" sheet="1" scenarios="1" formatColumns="0" formatRows="0"/>
  <mergeCells count="3">
    <mergeCell ref="A4:E4"/>
    <mergeCell ref="A46:C46"/>
    <mergeCell ref="B1:C1"/>
  </mergeCells>
  <phoneticPr fontId="0" type="noConversion"/>
  <conditionalFormatting sqref="C6:C45">
    <cfRule type="expression" dxfId="1012" priority="1" stopIfTrue="1">
      <formula>F6=0</formula>
    </cfRule>
  </conditionalFormatting>
  <dataValidations count="1">
    <dataValidation type="custom" errorStyle="warning" operator="greaterThanOrEqual" allowBlank="1" showInputMessage="1" showErrorMessage="1" errorTitle="נתון לא חוקי" error="יש לוודא כי הוזן שם כתב העת_x000a__x000a_יש להזין מספר שאינו שלילי של שנות וותק" sqref="C6:C45" xr:uid="{00000000-0002-0000-0A00-000000000000}">
      <formula1>F6</formula1>
    </dataValidation>
  </dataValidations>
  <pageMargins left="0.27559055118110237" right="0.19685039370078741" top="0.51181102362204722" bottom="0.39370078740157483" header="0.15748031496062992" footer="0.19685039370078741"/>
  <pageSetup paperSize="9" scale="85" orientation="landscape" horizontalDpi="1200"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&amp;L&amp;"Arial,מודגש"&amp;12הלוי דוויק ושות'
יעוץ כלכלי&amp;Cעמוד &amp;P מתוך &amp;N&amp;R&amp;A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indexed="44"/>
    <pageSetUpPr fitToPage="1"/>
  </sheetPr>
  <dimension ref="A1:O52"/>
  <sheetViews>
    <sheetView rightToLeft="1" view="pageBreakPreview" zoomScaleNormal="100" zoomScaleSheetLayoutView="100" workbookViewId="0"/>
  </sheetViews>
  <sheetFormatPr defaultRowHeight="12.75" x14ac:dyDescent="0.2"/>
  <cols>
    <col min="1" max="1" width="10.140625" bestFit="1" customWidth="1"/>
    <col min="2" max="2" width="34" bestFit="1" customWidth="1"/>
    <col min="3" max="3" width="11.140625" bestFit="1" customWidth="1"/>
    <col min="4" max="4" width="10.28515625" customWidth="1"/>
    <col min="5" max="5" width="11.42578125" customWidth="1"/>
    <col min="6" max="6" width="16.85546875" customWidth="1"/>
    <col min="7" max="7" width="13.42578125" hidden="1" customWidth="1"/>
    <col min="8" max="8" width="16.5703125" hidden="1" customWidth="1"/>
    <col min="9" max="9" width="13.42578125" hidden="1" customWidth="1"/>
    <col min="10" max="10" width="13.28515625" hidden="1" customWidth="1"/>
    <col min="11" max="11" width="11.85546875" customWidth="1"/>
    <col min="12" max="12" width="16.42578125" customWidth="1"/>
    <col min="13" max="13" width="9.140625" customWidth="1"/>
  </cols>
  <sheetData>
    <row r="1" spans="1:15" ht="17.25" thickTop="1" thickBot="1" x14ac:dyDescent="0.25">
      <c r="F1" s="19" t="str">
        <f>פרמטרים!$B$1</f>
        <v>שנת התקציב</v>
      </c>
      <c r="G1" s="10">
        <f>פרמטרים!$C$1</f>
        <v>2025</v>
      </c>
      <c r="K1" s="10">
        <f>G1</f>
        <v>2025</v>
      </c>
    </row>
    <row r="2" spans="1:15" ht="18.75" thickBot="1" x14ac:dyDescent="0.25">
      <c r="F2" s="20" t="str">
        <f>פרמטרים!$B$2</f>
        <v>תקציב</v>
      </c>
      <c r="G2" s="9">
        <f>פרמטרים!$C$2</f>
        <v>1906914</v>
      </c>
      <c r="K2" s="9">
        <f>G2</f>
        <v>1906914</v>
      </c>
    </row>
    <row r="3" spans="1:15" ht="13.5" hidden="1" thickTop="1" x14ac:dyDescent="0.2"/>
    <row r="4" spans="1:15" hidden="1" x14ac:dyDescent="0.2"/>
    <row r="5" spans="1:15" hidden="1" x14ac:dyDescent="0.2"/>
    <row r="6" spans="1:15" hidden="1" x14ac:dyDescent="0.2"/>
    <row r="7" spans="1:15" ht="13.5" hidden="1" thickBot="1" x14ac:dyDescent="0.25"/>
    <row r="8" spans="1:15" ht="17.25" thickTop="1" thickBot="1" x14ac:dyDescent="0.3">
      <c r="A8" s="609" t="s">
        <v>144</v>
      </c>
      <c r="B8" s="610"/>
      <c r="C8" s="631"/>
      <c r="D8" s="631"/>
      <c r="E8" s="631"/>
      <c r="F8" s="631"/>
      <c r="G8" s="631"/>
      <c r="H8" s="631"/>
      <c r="I8" s="631"/>
      <c r="J8" s="631"/>
      <c r="K8" s="610"/>
      <c r="L8" s="611"/>
    </row>
    <row r="9" spans="1:15" ht="32.25" thickTop="1" x14ac:dyDescent="0.2">
      <c r="A9" s="632" t="str">
        <f>'היקף החוברות'!A10</f>
        <v>מספר סידורי</v>
      </c>
      <c r="B9" s="634" t="str">
        <f>'היקף החוברות'!B10</f>
        <v>שם כתב העת</v>
      </c>
      <c r="C9" s="127" t="str">
        <f t="array" ref="C9:J9" ca="1">TRANSPOSE(פרמטרים!E17:E21)</f>
        <v>היקף החוברות</v>
      </c>
      <c r="D9" s="127" t="str">
        <f ca="1"/>
        <v>רמה הפקתית</v>
      </c>
      <c r="E9" s="127" t="str">
        <f ca="1"/>
        <v>תמורה ליוצרים</v>
      </c>
      <c r="F9" s="127" t="str">
        <f ca="1"/>
        <v>הפצת כתב העת</v>
      </c>
      <c r="G9" s="127" t="str">
        <v>סה"כ</v>
      </c>
      <c r="H9" s="127" t="e">
        <v>#N/A</v>
      </c>
      <c r="I9" s="127" t="e">
        <v>#N/A</v>
      </c>
      <c r="J9" s="127" t="e">
        <v>#N/A</v>
      </c>
      <c r="K9" s="126" t="s">
        <v>145</v>
      </c>
      <c r="L9" s="128" t="s">
        <v>146</v>
      </c>
    </row>
    <row r="10" spans="1:15" ht="16.5" thickBot="1" x14ac:dyDescent="0.25">
      <c r="A10" s="633"/>
      <c r="B10" s="635"/>
      <c r="C10" s="129">
        <f t="array" ref="C10:J10">TRANSPOSE(פרמטרים!F17:F20)</f>
        <v>0.35</v>
      </c>
      <c r="D10" s="129">
        <v>0.2</v>
      </c>
      <c r="E10" s="129">
        <v>0.2</v>
      </c>
      <c r="F10" s="129">
        <v>0.25</v>
      </c>
      <c r="G10" s="129" t="e">
        <v>#N/A</v>
      </c>
      <c r="H10" s="129" t="e">
        <v>#N/A</v>
      </c>
      <c r="I10" s="129" t="e">
        <v>#N/A</v>
      </c>
      <c r="J10" s="129" t="e">
        <v>#N/A</v>
      </c>
      <c r="K10" s="129">
        <f>SUM(C10:F10)</f>
        <v>1</v>
      </c>
      <c r="L10" s="130">
        <f>G2</f>
        <v>1906914</v>
      </c>
    </row>
    <row r="11" spans="1:15" x14ac:dyDescent="0.2">
      <c r="A11" s="48">
        <f>'היקף החוברות'!A11</f>
        <v>1</v>
      </c>
      <c r="B11" s="30" t="str">
        <f ca="1">'הפצת כתב העת'!B11</f>
        <v>1280 מעלות (אמנים יוצרים)</v>
      </c>
      <c r="C11" s="16">
        <f ca="1">'היקף החוברות'!F11</f>
        <v>2.9914529914529909E-2</v>
      </c>
      <c r="D11" s="16">
        <f ca="1">'רמה הפקתית'!F11</f>
        <v>5.81787521079258E-2</v>
      </c>
      <c r="E11" s="16">
        <f ca="1">'תמורה ליוצרים'!I11</f>
        <v>0</v>
      </c>
      <c r="F11" s="16">
        <f ca="1">'הפצת כתב העת'!H11</f>
        <v>3.5014272121788773E-2</v>
      </c>
      <c r="G11" s="16"/>
      <c r="H11" s="16"/>
      <c r="I11" s="16"/>
      <c r="J11" s="16"/>
      <c r="K11" s="54">
        <f t="shared" ref="K11:K14" ca="1" si="0">IF(B11="","",SUMPRODUCT($C$10:$F$10,C11:F11))</f>
        <v>3.0859403922117824E-2</v>
      </c>
      <c r="L11" s="131">
        <f t="shared" ref="L11:L14" ca="1" si="1">IF(K11="","",K11*$L$10)</f>
        <v>58846.229370741385</v>
      </c>
      <c r="O11" s="2"/>
    </row>
    <row r="12" spans="1:15" x14ac:dyDescent="0.2">
      <c r="A12" s="48">
        <f>'היקף החוברות'!A12</f>
        <v>2</v>
      </c>
      <c r="B12" s="30" t="str">
        <f ca="1">'הפצת כתב העת'!B12</f>
        <v>יהי (אורי צבי גרינברג)</v>
      </c>
      <c r="C12" s="16">
        <f ca="1">'היקף החוברות'!F12</f>
        <v>2.9914529914529909E-2</v>
      </c>
      <c r="D12" s="16">
        <f ca="1">'רמה הפקתית'!F12</f>
        <v>5.81787521079258E-2</v>
      </c>
      <c r="E12" s="16">
        <f ca="1">'תמורה ליוצרים'!I12</f>
        <v>0</v>
      </c>
      <c r="F12" s="16">
        <f ca="1">'הפצת כתב העת'!H12</f>
        <v>4.3767840152235969E-2</v>
      </c>
      <c r="G12" s="16"/>
      <c r="H12" s="16"/>
      <c r="I12" s="16"/>
      <c r="J12" s="16"/>
      <c r="K12" s="54">
        <f t="shared" ca="1" si="0"/>
        <v>3.3047795929729624E-2</v>
      </c>
      <c r="L12" s="131">
        <f t="shared" ca="1" si="1"/>
        <v>63019.304727544441</v>
      </c>
      <c r="O12" s="2"/>
    </row>
    <row r="13" spans="1:15" x14ac:dyDescent="0.2">
      <c r="A13" s="48">
        <f>'היקף החוברות'!A13</f>
        <v>3</v>
      </c>
      <c r="B13" s="30" t="str">
        <f ca="1">'הפצת כתב העת'!B13</f>
        <v/>
      </c>
      <c r="C13" s="16" t="str">
        <f ca="1">'היקף החוברות'!F13</f>
        <v/>
      </c>
      <c r="D13" s="16" t="str">
        <f ca="1">'רמה הפקתית'!F13</f>
        <v/>
      </c>
      <c r="E13" s="16" t="str">
        <f ca="1">'תמורה ליוצרים'!I13</f>
        <v/>
      </c>
      <c r="F13" s="16" t="str">
        <f ca="1">'הפצת כתב העת'!H13</f>
        <v/>
      </c>
      <c r="G13" s="16"/>
      <c r="H13" s="16"/>
      <c r="I13" s="16"/>
      <c r="J13" s="16"/>
      <c r="K13" s="54" t="str">
        <f t="shared" ca="1" si="0"/>
        <v/>
      </c>
      <c r="L13" s="131" t="str">
        <f t="shared" ca="1" si="1"/>
        <v/>
      </c>
      <c r="O13" s="2"/>
    </row>
    <row r="14" spans="1:15" x14ac:dyDescent="0.2">
      <c r="A14" s="48">
        <f>'היקף החוברות'!A14</f>
        <v>4</v>
      </c>
      <c r="B14" s="30" t="str">
        <f ca="1">'הפצת כתב העת'!B14</f>
        <v>דעות (ברית נאמני תורה ועבודה)</v>
      </c>
      <c r="C14" s="16">
        <f ca="1">'היקף החוברות'!F14</f>
        <v>2.5641025641025637E-2</v>
      </c>
      <c r="D14" s="16">
        <f ca="1">'רמה הפקתית'!F14</f>
        <v>5.81787521079258E-2</v>
      </c>
      <c r="E14" s="16">
        <f ca="1">'תמורה ליוצרים'!I14</f>
        <v>0</v>
      </c>
      <c r="F14" s="16">
        <f ca="1">'הפצת כתב העת'!H14</f>
        <v>6.565176022835395E-2</v>
      </c>
      <c r="G14" s="16"/>
      <c r="H14" s="16"/>
      <c r="I14" s="16"/>
      <c r="J14" s="16"/>
      <c r="K14" s="54">
        <f t="shared" ca="1" si="0"/>
        <v>3.7023049453032621E-2</v>
      </c>
      <c r="L14" s="131">
        <f t="shared" ca="1" si="1"/>
        <v>70599.771324680245</v>
      </c>
      <c r="O14" s="2"/>
    </row>
    <row r="15" spans="1:15" x14ac:dyDescent="0.2">
      <c r="A15" s="48">
        <f>'היקף החוברות'!A15</f>
        <v>5</v>
      </c>
      <c r="B15" s="30" t="str">
        <f ca="1">'הפצת כתב העת'!B15</f>
        <v>הליקון</v>
      </c>
      <c r="C15" s="16">
        <f ca="1">'היקף החוברות'!F15</f>
        <v>6.4102564102564097E-2</v>
      </c>
      <c r="D15" s="16">
        <f ca="1">'רמה הפקתית'!F15</f>
        <v>5.81787521079258E-2</v>
      </c>
      <c r="E15" s="16">
        <f ca="1">'תמורה ליוצרים'!I15</f>
        <v>4.9259434703487889E-3</v>
      </c>
      <c r="F15" s="16">
        <f ca="1">'הפצת כתב העת'!H15</f>
        <v>3.9391056137012367E-2</v>
      </c>
      <c r="G15" s="16"/>
      <c r="H15" s="16"/>
      <c r="I15" s="16"/>
      <c r="J15" s="16"/>
      <c r="K15" s="54">
        <f t="shared" ref="K15:K50" ca="1" si="2">IF(B15="","",SUMPRODUCT($C$10:$F$10,C15:F15))</f>
        <v>4.4904600585805449E-2</v>
      </c>
      <c r="L15" s="131">
        <f t="shared" ref="L15:L50" ca="1" si="3">IF(K15="","",K15*$L$10)</f>
        <v>85629.211521480611</v>
      </c>
      <c r="O15" s="2"/>
    </row>
    <row r="16" spans="1:15" x14ac:dyDescent="0.2">
      <c r="A16" s="48">
        <f>'היקף החוברות'!A16</f>
        <v>6</v>
      </c>
      <c r="B16" s="30" t="str">
        <f ca="1">'הפצת כתב העת'!B16</f>
        <v/>
      </c>
      <c r="C16" s="16" t="str">
        <f ca="1">'היקף החוברות'!F16</f>
        <v/>
      </c>
      <c r="D16" s="16" t="str">
        <f ca="1">'רמה הפקתית'!F16</f>
        <v/>
      </c>
      <c r="E16" s="16" t="str">
        <f ca="1">'תמורה ליוצרים'!I16</f>
        <v/>
      </c>
      <c r="F16" s="16" t="str">
        <f ca="1">'הפצת כתב העת'!H16</f>
        <v/>
      </c>
      <c r="G16" s="16"/>
      <c r="H16" s="16"/>
      <c r="I16" s="16"/>
      <c r="J16" s="16"/>
      <c r="K16" s="54" t="str">
        <f t="shared" ca="1" si="2"/>
        <v/>
      </c>
      <c r="L16" s="131" t="str">
        <f t="shared" ca="1" si="3"/>
        <v/>
      </c>
      <c r="O16" s="2"/>
    </row>
    <row r="17" spans="1:15" x14ac:dyDescent="0.2">
      <c r="A17" s="48">
        <f>'היקף החוברות'!A17</f>
        <v>7</v>
      </c>
      <c r="B17" s="30" t="str">
        <f ca="1">'הפצת כתב העת'!B17</f>
        <v/>
      </c>
      <c r="C17" s="16" t="str">
        <f ca="1">'היקף החוברות'!F17</f>
        <v/>
      </c>
      <c r="D17" s="16" t="str">
        <f ca="1">'רמה הפקתית'!F17</f>
        <v/>
      </c>
      <c r="E17" s="16" t="str">
        <f ca="1">'תמורה ליוצרים'!I17</f>
        <v/>
      </c>
      <c r="F17" s="16" t="str">
        <f ca="1">'הפצת כתב העת'!H17</f>
        <v/>
      </c>
      <c r="G17" s="16"/>
      <c r="H17" s="16"/>
      <c r="I17" s="16"/>
      <c r="J17" s="16"/>
      <c r="K17" s="54" t="str">
        <f t="shared" ca="1" si="2"/>
        <v/>
      </c>
      <c r="L17" s="131" t="str">
        <f t="shared" ca="1" si="3"/>
        <v/>
      </c>
      <c r="O17" s="2"/>
    </row>
    <row r="18" spans="1:15" x14ac:dyDescent="0.2">
      <c r="A18" s="48">
        <f>'היקף החוברות'!A18</f>
        <v>8</v>
      </c>
      <c r="B18" s="30" t="str">
        <f ca="1">'הפצת כתב העת'!B18</f>
        <v>ננפואטיקה (עמותת מקום לשירה)</v>
      </c>
      <c r="C18" s="16">
        <f ca="1">'היקף החוברות'!F18</f>
        <v>0.10683760683760682</v>
      </c>
      <c r="D18" s="16">
        <f ca="1">'רמה הפקתית'!F18</f>
        <v>3.87858347386172E-2</v>
      </c>
      <c r="E18" s="16">
        <f ca="1">'תמורה ליוצרים'!I18</f>
        <v>4.7340444492339533E-2</v>
      </c>
      <c r="F18" s="16">
        <f ca="1">'הפצת כתב העת'!H18</f>
        <v>0.1094196003805899</v>
      </c>
      <c r="G18" s="16"/>
      <c r="H18" s="16"/>
      <c r="I18" s="16"/>
      <c r="J18" s="16"/>
      <c r="K18" s="54">
        <f t="shared" ca="1" si="2"/>
        <v>8.1973318334501208E-2</v>
      </c>
      <c r="L18" s="131">
        <f t="shared" ca="1" si="3"/>
        <v>156316.06835851705</v>
      </c>
      <c r="O18" s="2"/>
    </row>
    <row r="19" spans="1:15" x14ac:dyDescent="0.2">
      <c r="A19" s="48">
        <f>'היקף החוברות'!A19</f>
        <v>9</v>
      </c>
      <c r="B19" s="30" t="str">
        <f ca="1">'הפצת כתב העת'!B19</f>
        <v>מאזניים (אגודת הסופרים העבריים)</v>
      </c>
      <c r="C19" s="16">
        <f ca="1">'היקף החוברות'!F19</f>
        <v>0.10683760683760682</v>
      </c>
      <c r="D19" s="16">
        <f ca="1">'רמה הפקתית'!F19</f>
        <v>5.81787521079258E-2</v>
      </c>
      <c r="E19" s="16">
        <f ca="1">'תמורה ליוצרים'!I19</f>
        <v>1.11796563103926E-2</v>
      </c>
      <c r="F19" s="16">
        <f ca="1">'הפצת כתב העת'!H19</f>
        <v>0.1094196003805899</v>
      </c>
      <c r="G19" s="16"/>
      <c r="H19" s="16"/>
      <c r="I19" s="16"/>
      <c r="J19" s="16"/>
      <c r="K19" s="54">
        <f t="shared" ca="1" si="2"/>
        <v>7.8619744171973538E-2</v>
      </c>
      <c r="L19" s="131">
        <f t="shared" ca="1" si="3"/>
        <v>149921.09083795475</v>
      </c>
      <c r="O19" s="2"/>
    </row>
    <row r="20" spans="1:15" x14ac:dyDescent="0.2">
      <c r="A20" s="48">
        <f>'היקף החוברות'!A20</f>
        <v>10</v>
      </c>
      <c r="B20" s="30" t="str">
        <f ca="1">'הפצת כתב העת'!B20</f>
        <v>משיב הרוח</v>
      </c>
      <c r="C20" s="16">
        <f ca="1">'היקף החוברות'!F20</f>
        <v>9.4017094017094002E-2</v>
      </c>
      <c r="D20" s="16">
        <f ca="1">'רמה הפקתית'!F20</f>
        <v>5.81787521079258E-2</v>
      </c>
      <c r="E20" s="16">
        <f ca="1">'תמורה ליוצרים'!I20</f>
        <v>1.7241178434669251E-2</v>
      </c>
      <c r="F20" s="16">
        <f ca="1">'הפצת כתב העת'!H20</f>
        <v>8.7535680304471938E-2</v>
      </c>
      <c r="G20" s="16"/>
      <c r="H20" s="16"/>
      <c r="I20" s="16"/>
      <c r="J20" s="16"/>
      <c r="K20" s="54">
        <f t="shared" ca="1" si="2"/>
        <v>6.9873889090619895E-2</v>
      </c>
      <c r="L20" s="131">
        <f t="shared" ca="1" si="3"/>
        <v>133243.49734135033</v>
      </c>
      <c r="O20" s="2"/>
    </row>
    <row r="21" spans="1:15" x14ac:dyDescent="0.2">
      <c r="A21" s="48">
        <f>'היקף החוברות'!A21</f>
        <v>11</v>
      </c>
      <c r="B21" s="30" t="str">
        <f ca="1">'הפצת כתב העת'!B21</f>
        <v>עמדה (עמותת מונטן)</v>
      </c>
      <c r="C21" s="16">
        <f ca="1">'היקף החוברות'!F21</f>
        <v>3.9947974730583424E-2</v>
      </c>
      <c r="D21" s="16">
        <f ca="1">'רמה הפקתית'!F21</f>
        <v>5.438448566610455E-2</v>
      </c>
      <c r="E21" s="16">
        <f ca="1">'תמורה ליוצרים'!I21</f>
        <v>0</v>
      </c>
      <c r="F21" s="16">
        <f ca="1">'הפצת כתב העת'!H21</f>
        <v>1.6365366317792576E-2</v>
      </c>
      <c r="G21" s="16"/>
      <c r="H21" s="16"/>
      <c r="I21" s="16"/>
      <c r="J21" s="16"/>
      <c r="K21" s="54">
        <f t="shared" ca="1" si="2"/>
        <v>2.8950029868373254E-2</v>
      </c>
      <c r="L21" s="131">
        <f t="shared" ca="1" si="3"/>
        <v>55205.217256419113</v>
      </c>
      <c r="O21" s="2"/>
    </row>
    <row r="22" spans="1:15" x14ac:dyDescent="0.2">
      <c r="A22" s="48">
        <f>'היקף החוברות'!A22</f>
        <v>12</v>
      </c>
      <c r="B22" s="30" t="str">
        <f ca="1">'הפצת כתב העת'!B22</f>
        <v>עתון 77 (אגודת סופרים ואמנים)</v>
      </c>
      <c r="C22" s="16">
        <f ca="1">'היקף החוברות'!F22</f>
        <v>7.1906354515050147E-2</v>
      </c>
      <c r="D22" s="16">
        <f ca="1">'רמה הפקתית'!F22</f>
        <v>3.6256323777403038E-2</v>
      </c>
      <c r="E22" s="16">
        <f ca="1">'תמורה ליוצרים'!I22</f>
        <v>1.0566347249797345E-2</v>
      </c>
      <c r="F22" s="16">
        <f ca="1">'הפצת כתב העת'!H22</f>
        <v>0.12274024738344434</v>
      </c>
      <c r="G22" s="16"/>
      <c r="H22" s="16"/>
      <c r="I22" s="16"/>
      <c r="J22" s="16"/>
      <c r="K22" s="54">
        <f t="shared" ca="1" si="2"/>
        <v>6.5216820131568709E-2</v>
      </c>
      <c r="L22" s="131">
        <f t="shared" ca="1" si="3"/>
        <v>124362.86734437021</v>
      </c>
      <c r="O22" s="2"/>
    </row>
    <row r="23" spans="1:15" x14ac:dyDescent="0.2">
      <c r="A23" s="48">
        <f>'היקף החוברות'!A23</f>
        <v>13</v>
      </c>
      <c r="B23" s="30" t="str">
        <f ca="1">'הפצת כתב העת'!B23</f>
        <v/>
      </c>
      <c r="C23" s="16" t="str">
        <f ca="1">'היקף החוברות'!F23</f>
        <v/>
      </c>
      <c r="D23" s="16" t="str">
        <f ca="1">'רמה הפקתית'!F23</f>
        <v/>
      </c>
      <c r="E23" s="16" t="str">
        <f ca="1">'תמורה ליוצרים'!I23</f>
        <v/>
      </c>
      <c r="F23" s="16" t="str">
        <f ca="1">'הפצת כתב העת'!H23</f>
        <v/>
      </c>
      <c r="G23" s="16"/>
      <c r="H23" s="16"/>
      <c r="I23" s="16"/>
      <c r="J23" s="16"/>
      <c r="K23" s="54" t="str">
        <f t="shared" ca="1" si="2"/>
        <v/>
      </c>
      <c r="L23" s="131" t="str">
        <f t="shared" ca="1" si="3"/>
        <v/>
      </c>
      <c r="O23" s="2"/>
    </row>
    <row r="24" spans="1:15" x14ac:dyDescent="0.2">
      <c r="A24" s="48">
        <f>'היקף החוברות'!A24</f>
        <v>14</v>
      </c>
      <c r="B24" s="30" t="str">
        <f ca="1">'הפצת כתב העת'!B24</f>
        <v>פסיפס</v>
      </c>
      <c r="C24" s="16">
        <f ca="1">'היקף החוברות'!F24</f>
        <v>1.5979189892233368E-2</v>
      </c>
      <c r="D24" s="16">
        <f ca="1">'רמה הפקתית'!F24</f>
        <v>1.8128161888701519E-2</v>
      </c>
      <c r="E24" s="16">
        <f ca="1">'תמורה ליוצרים'!I24</f>
        <v>0</v>
      </c>
      <c r="F24" s="16">
        <f ca="1">'הפצת כתב העת'!H24</f>
        <v>3.2730732635585152E-2</v>
      </c>
      <c r="G24" s="16"/>
      <c r="H24" s="16"/>
      <c r="I24" s="16"/>
      <c r="J24" s="16"/>
      <c r="K24" s="54">
        <f t="shared" ca="1" si="2"/>
        <v>1.7401031998918272E-2</v>
      </c>
      <c r="L24" s="131">
        <f t="shared" ca="1" si="3"/>
        <v>33182.271533185238</v>
      </c>
    </row>
    <row r="25" spans="1:15" x14ac:dyDescent="0.2">
      <c r="A25" s="48">
        <f>'היקף החוברות'!A25</f>
        <v>15</v>
      </c>
      <c r="B25" s="30" t="str">
        <f ca="1">'הפצת כתב העת'!B25</f>
        <v>קתרזיס ( עמותת מצרף)</v>
      </c>
      <c r="C25" s="16">
        <f ca="1">'היקף החוברות'!F25</f>
        <v>3.9947974730583424E-2</v>
      </c>
      <c r="D25" s="16">
        <f ca="1">'רמה הפקתית'!F25</f>
        <v>1.8128161888701519E-2</v>
      </c>
      <c r="E25" s="16">
        <f ca="1">'תמורה ליוצרים'!I25</f>
        <v>0</v>
      </c>
      <c r="F25" s="16">
        <f ca="1">'הפצת כתב העת'!H25</f>
        <v>1.6365366317792576E-2</v>
      </c>
      <c r="G25" s="16"/>
      <c r="H25" s="16"/>
      <c r="I25" s="16"/>
      <c r="J25" s="16"/>
      <c r="K25" s="54">
        <f t="shared" ca="1" si="2"/>
        <v>2.1698765112892645E-2</v>
      </c>
      <c r="L25" s="131">
        <f t="shared" ca="1" si="3"/>
        <v>41377.678976486568</v>
      </c>
    </row>
    <row r="26" spans="1:15" x14ac:dyDescent="0.2">
      <c r="A26" s="48">
        <f>'היקף החוברות'!A26</f>
        <v>16</v>
      </c>
      <c r="B26" s="30" t="str">
        <f ca="1">'הפצת כתב העת'!B26</f>
        <v/>
      </c>
      <c r="C26" s="16" t="str">
        <f ca="1">'היקף החוברות'!F26</f>
        <v/>
      </c>
      <c r="D26" s="16" t="str">
        <f ca="1">'רמה הפקתית'!F26</f>
        <v/>
      </c>
      <c r="E26" s="16" t="str">
        <f ca="1">'תמורה ליוצרים'!I26</f>
        <v/>
      </c>
      <c r="F26" s="16" t="str">
        <f ca="1">'הפצת כתב העת'!H26</f>
        <v/>
      </c>
      <c r="G26" s="16"/>
      <c r="H26" s="16"/>
      <c r="I26" s="16"/>
      <c r="J26" s="16"/>
      <c r="K26" s="54" t="str">
        <f t="shared" ca="1" si="2"/>
        <v/>
      </c>
      <c r="L26" s="131" t="str">
        <f t="shared" ca="1" si="3"/>
        <v/>
      </c>
    </row>
    <row r="27" spans="1:15" x14ac:dyDescent="0.2">
      <c r="A27" s="48">
        <f>'היקף החוברות'!A27</f>
        <v>17</v>
      </c>
      <c r="B27" s="30" t="str">
        <f ca="1">'הפצת כתב העת'!B27</f>
        <v>הכיוון מזרח (עמותת אחותי)</v>
      </c>
      <c r="C27" s="16">
        <f ca="1">'היקף החוברות'!F27</f>
        <v>4.2735042735042729E-2</v>
      </c>
      <c r="D27" s="16">
        <f ca="1">'רמה הפקתית'!F27</f>
        <v>5.81787521079258E-2</v>
      </c>
      <c r="E27" s="16">
        <f ca="1">'תמורה ליוצרים'!I27</f>
        <v>2.4171799437522359E-2</v>
      </c>
      <c r="F27" s="16">
        <f ca="1">'הפצת כתב העת'!H27</f>
        <v>0</v>
      </c>
      <c r="G27" s="16"/>
      <c r="H27" s="16"/>
      <c r="I27" s="16"/>
      <c r="J27" s="16"/>
      <c r="K27" s="54">
        <f t="shared" ca="1" si="2"/>
        <v>3.1427375266354585E-2</v>
      </c>
      <c r="L27" s="131">
        <f t="shared" ca="1" si="3"/>
        <v>59929.301878665283</v>
      </c>
    </row>
    <row r="28" spans="1:15" x14ac:dyDescent="0.2">
      <c r="A28" s="48">
        <f>'היקף החוברות'!A28</f>
        <v>18</v>
      </c>
      <c r="B28" s="30" t="str">
        <f ca="1">'הפצת כתב העת'!B28</f>
        <v/>
      </c>
      <c r="C28" s="16" t="str">
        <f ca="1">'היקף החוברות'!F28</f>
        <v/>
      </c>
      <c r="D28" s="16" t="str">
        <f ca="1">'רמה הפקתית'!F28</f>
        <v/>
      </c>
      <c r="E28" s="16" t="str">
        <f ca="1">'תמורה ליוצרים'!I28</f>
        <v/>
      </c>
      <c r="F28" s="16" t="str">
        <f ca="1">'הפצת כתב העת'!H28</f>
        <v/>
      </c>
      <c r="G28" s="16"/>
      <c r="H28" s="16"/>
      <c r="I28" s="16"/>
      <c r="J28" s="16"/>
      <c r="K28" s="54" t="str">
        <f t="shared" ca="1" si="2"/>
        <v/>
      </c>
      <c r="L28" s="131" t="str">
        <f t="shared" ca="1" si="3"/>
        <v/>
      </c>
      <c r="O28" s="6"/>
    </row>
    <row r="29" spans="1:15" x14ac:dyDescent="0.2">
      <c r="A29" s="48">
        <f>'היקף החוברות'!A29</f>
        <v>19</v>
      </c>
      <c r="B29" s="30" t="str">
        <f ca="1">'הפצת כתב העת'!B29</f>
        <v>הו</v>
      </c>
      <c r="C29" s="16">
        <f ca="1">'היקף החוברות'!F29</f>
        <v>4.2735042735042729E-2</v>
      </c>
      <c r="D29" s="16">
        <f ca="1">'רמה הפקתית'!F29</f>
        <v>5.81787521079258E-2</v>
      </c>
      <c r="E29" s="16">
        <f ca="1">'תמורה ליוצרים'!I29</f>
        <v>3.1609908152167375E-2</v>
      </c>
      <c r="F29" s="16">
        <f ca="1">'הפצת כתב העת'!H29</f>
        <v>3.5014272121788773E-2</v>
      </c>
      <c r="G29" s="16"/>
      <c r="H29" s="16"/>
      <c r="I29" s="16"/>
      <c r="J29" s="16"/>
      <c r="K29" s="54">
        <f t="shared" ca="1" si="2"/>
        <v>4.1668565039730779E-2</v>
      </c>
      <c r="L29" s="131">
        <f t="shared" ca="1" si="3"/>
        <v>79458.370034173175</v>
      </c>
    </row>
    <row r="30" spans="1:15" x14ac:dyDescent="0.2">
      <c r="A30" s="48">
        <f>'היקף החוברות'!A30</f>
        <v>20</v>
      </c>
      <c r="B30" s="30" t="str">
        <f ca="1">'הפצת כתב העת'!B30</f>
        <v>הבא להבא (עמותת מקום לשירה)</v>
      </c>
      <c r="C30" s="16">
        <f ca="1">'היקף החוברות'!F30</f>
        <v>5.9829059829059818E-2</v>
      </c>
      <c r="D30" s="16">
        <f ca="1">'רמה הפקתית'!F30</f>
        <v>3.87858347386172E-2</v>
      </c>
      <c r="E30" s="16">
        <f ca="1">'תמורה ליוצרים'!I30</f>
        <v>4.371493343686389E-2</v>
      </c>
      <c r="F30" s="16">
        <f ca="1">'הפצת כתב העת'!H30</f>
        <v>3.9391056137012367E-2</v>
      </c>
      <c r="G30" s="16"/>
      <c r="H30" s="16"/>
      <c r="I30" s="16"/>
      <c r="J30" s="16"/>
      <c r="K30" s="54">
        <f t="shared" ca="1" si="2"/>
        <v>4.7288088609520246E-2</v>
      </c>
      <c r="L30" s="131">
        <f t="shared" ca="1" si="3"/>
        <v>90174.318202734692</v>
      </c>
    </row>
    <row r="31" spans="1:15" x14ac:dyDescent="0.2">
      <c r="A31" s="48">
        <f>'היקף החוברות'!A31</f>
        <v>21</v>
      </c>
      <c r="B31" s="30" t="str">
        <f ca="1">'הפצת כתב העת'!B31</f>
        <v>היסטוריה (החברה ההיסטורית הישרא</v>
      </c>
      <c r="C31" s="16">
        <f ca="1">'היקף החוברות'!F31</f>
        <v>4.2735042735042729E-2</v>
      </c>
      <c r="D31" s="16">
        <f ca="1">'רמה הפקתית'!F31</f>
        <v>3.87858347386172E-2</v>
      </c>
      <c r="E31" s="16">
        <f ca="1">'תמורה ליוצרים'!I31</f>
        <v>0</v>
      </c>
      <c r="F31" s="16">
        <f ca="1">'הפצת כתב העת'!H31</f>
        <v>1.7507136060894386E-2</v>
      </c>
      <c r="G31" s="16"/>
      <c r="H31" s="16"/>
      <c r="I31" s="16"/>
      <c r="J31" s="16"/>
      <c r="K31" s="54">
        <f t="shared" ca="1" si="2"/>
        <v>2.7091215920211992E-2</v>
      </c>
      <c r="L31" s="131">
        <f t="shared" ca="1" si="3"/>
        <v>51660.618915275132</v>
      </c>
    </row>
    <row r="32" spans="1:15" x14ac:dyDescent="0.2">
      <c r="A32" s="48">
        <f>'היקף החוברות'!A32</f>
        <v>22</v>
      </c>
      <c r="B32" s="30" t="str">
        <f ca="1">'הפצת כתב העת'!B32</f>
        <v>מחול עכשיו (תמונע)</v>
      </c>
      <c r="C32" s="16">
        <f ca="1">'היקף החוברות'!F32</f>
        <v>2.5641025641025637E-2</v>
      </c>
      <c r="D32" s="16">
        <f ca="1">'רמה הפקתית'!F32</f>
        <v>5.81787521079258E-2</v>
      </c>
      <c r="E32" s="16">
        <f ca="1">'תמורה ליוצרים'!I32</f>
        <v>5.7604575443663431E-2</v>
      </c>
      <c r="F32" s="16">
        <f ca="1">'הפצת כתב העת'!H32</f>
        <v>2.6260704091341576E-2</v>
      </c>
      <c r="G32" s="16"/>
      <c r="H32" s="16"/>
      <c r="I32" s="16"/>
      <c r="J32" s="16"/>
      <c r="K32" s="54">
        <f t="shared" ca="1" si="2"/>
        <v>3.8696200507512213E-2</v>
      </c>
      <c r="L32" s="131">
        <f t="shared" ca="1" si="3"/>
        <v>73790.326494582143</v>
      </c>
    </row>
    <row r="33" spans="1:12" x14ac:dyDescent="0.2">
      <c r="A33" s="48">
        <f>'היקף החוברות'!A33</f>
        <v>23</v>
      </c>
      <c r="B33" s="30" t="str">
        <f ca="1">'הפצת כתב העת'!B33</f>
        <v>קול אישה שירה (תואר)</v>
      </c>
      <c r="C33" s="16">
        <f ca="1">'היקף החוברות'!F33</f>
        <v>2.601263470828688E-2</v>
      </c>
      <c r="D33" s="16">
        <f ca="1">'רמה הפקתית'!F33</f>
        <v>5.0590219224283306E-2</v>
      </c>
      <c r="E33" s="16">
        <f ca="1">'תמורה ליוצרים'!I33</f>
        <v>0.17693095210060247</v>
      </c>
      <c r="F33" s="16">
        <f ca="1">'הפצת כתב העת'!H33</f>
        <v>1.5223596574690771E-2</v>
      </c>
      <c r="G33" s="16"/>
      <c r="H33" s="16"/>
      <c r="I33" s="16"/>
      <c r="J33" s="16"/>
      <c r="K33" s="54">
        <f t="shared" ca="1" si="2"/>
        <v>5.8414555556550264E-2</v>
      </c>
      <c r="L33" s="131">
        <f t="shared" ca="1" si="3"/>
        <v>111391.5337945635</v>
      </c>
    </row>
    <row r="34" spans="1:12" x14ac:dyDescent="0.2">
      <c r="A34" s="48">
        <f>'היקף החוברות'!A34</f>
        <v>24</v>
      </c>
      <c r="B34" s="30" t="str">
        <f ca="1">'הפצת כתב העת'!B34</f>
        <v>האיגוד העולמי למדעי היהדות</v>
      </c>
      <c r="C34" s="16">
        <f ca="1">'היקף החוברות'!F34</f>
        <v>4.2735042735042729E-2</v>
      </c>
      <c r="D34" s="16">
        <f ca="1">'רמה הפקתית'!F34</f>
        <v>5.81787521079258E-2</v>
      </c>
      <c r="E34" s="16">
        <f ca="1">'תמורה ליוצרים'!I34</f>
        <v>0</v>
      </c>
      <c r="F34" s="16">
        <f ca="1">'הפצת כתב העת'!H34</f>
        <v>3.5014272121788773E-2</v>
      </c>
      <c r="G34" s="16"/>
      <c r="H34" s="16"/>
      <c r="I34" s="16"/>
      <c r="J34" s="16"/>
      <c r="K34" s="54">
        <f t="shared" ca="1" si="2"/>
        <v>3.5346583409297305E-2</v>
      </c>
      <c r="L34" s="131">
        <f t="shared" ca="1" si="3"/>
        <v>67402.894755356756</v>
      </c>
    </row>
    <row r="35" spans="1:12" x14ac:dyDescent="0.2">
      <c r="A35" s="48">
        <f>'היקף החוברות'!A35</f>
        <v>25</v>
      </c>
      <c r="B35" s="30" t="str">
        <f ca="1">'הפצת כתב העת'!B35</f>
        <v/>
      </c>
      <c r="C35" s="16" t="str">
        <f ca="1">'היקף החוברות'!F35</f>
        <v/>
      </c>
      <c r="D35" s="16" t="str">
        <f ca="1">'רמה הפקתית'!F35</f>
        <v/>
      </c>
      <c r="E35" s="16" t="str">
        <f ca="1">'תמורה ליוצרים'!I35</f>
        <v/>
      </c>
      <c r="F35" s="16" t="str">
        <f ca="1">'הפצת כתב העת'!H35</f>
        <v/>
      </c>
      <c r="G35" s="16"/>
      <c r="H35" s="16"/>
      <c r="I35" s="16"/>
      <c r="J35" s="16"/>
      <c r="K35" s="54" t="str">
        <f t="shared" ca="1" si="2"/>
        <v/>
      </c>
      <c r="L35" s="131" t="str">
        <f t="shared" ca="1" si="3"/>
        <v/>
      </c>
    </row>
    <row r="36" spans="1:12" x14ac:dyDescent="0.2">
      <c r="A36" s="48">
        <f>'היקף החוברות'!A36</f>
        <v>26</v>
      </c>
      <c r="B36" s="30" t="str">
        <f ca="1">'הפצת כתב העת'!B36</f>
        <v/>
      </c>
      <c r="C36" s="16" t="str">
        <f ca="1">'היקף החוברות'!F36</f>
        <v/>
      </c>
      <c r="D36" s="16" t="str">
        <f ca="1">'רמה הפקתית'!F36</f>
        <v/>
      </c>
      <c r="E36" s="16" t="str">
        <f ca="1">'תמורה ליוצרים'!I36</f>
        <v/>
      </c>
      <c r="F36" s="16" t="str">
        <f ca="1">'הפצת כתב העת'!H36</f>
        <v/>
      </c>
      <c r="G36" s="16"/>
      <c r="H36" s="16"/>
      <c r="I36" s="16"/>
      <c r="J36" s="16"/>
      <c r="K36" s="54" t="str">
        <f t="shared" ca="1" si="2"/>
        <v/>
      </c>
      <c r="L36" s="131" t="str">
        <f t="shared" ca="1" si="3"/>
        <v/>
      </c>
    </row>
    <row r="37" spans="1:12" x14ac:dyDescent="0.2">
      <c r="A37" s="48">
        <f>'היקף החוברות'!A37</f>
        <v>27</v>
      </c>
      <c r="B37" s="30" t="str">
        <f ca="1">'הפצת כתב העת'!B37</f>
        <v/>
      </c>
      <c r="C37" s="16" t="str">
        <f ca="1">'היקף החוברות'!F37</f>
        <v/>
      </c>
      <c r="D37" s="16" t="str">
        <f ca="1">'רמה הפקתית'!F37</f>
        <v/>
      </c>
      <c r="E37" s="16" t="str">
        <f ca="1">'תמורה ליוצרים'!I37</f>
        <v/>
      </c>
      <c r="F37" s="16" t="str">
        <f ca="1">'הפצת כתב העת'!H37</f>
        <v/>
      </c>
      <c r="G37" s="16"/>
      <c r="H37" s="16"/>
      <c r="I37" s="16"/>
      <c r="J37" s="16"/>
      <c r="K37" s="54" t="str">
        <f t="shared" ca="1" si="2"/>
        <v/>
      </c>
      <c r="L37" s="131" t="str">
        <f t="shared" ca="1" si="3"/>
        <v/>
      </c>
    </row>
    <row r="38" spans="1:12" x14ac:dyDescent="0.2">
      <c r="A38" s="48">
        <f>'היקף החוברות'!A38</f>
        <v>28</v>
      </c>
      <c r="B38" s="30" t="str">
        <f ca="1">'הפצת כתב העת'!B38</f>
        <v/>
      </c>
      <c r="C38" s="16" t="str">
        <f ca="1">'היקף החוברות'!F38</f>
        <v/>
      </c>
      <c r="D38" s="16" t="str">
        <f ca="1">'רמה הפקתית'!F38</f>
        <v/>
      </c>
      <c r="E38" s="16" t="str">
        <f ca="1">'תמורה ליוצרים'!I38</f>
        <v/>
      </c>
      <c r="F38" s="16" t="str">
        <f ca="1">'הפצת כתב העת'!H38</f>
        <v/>
      </c>
      <c r="G38" s="16"/>
      <c r="H38" s="16"/>
      <c r="I38" s="16"/>
      <c r="J38" s="16"/>
      <c r="K38" s="54" t="str">
        <f t="shared" ca="1" si="2"/>
        <v/>
      </c>
      <c r="L38" s="131" t="str">
        <f t="shared" ca="1" si="3"/>
        <v/>
      </c>
    </row>
    <row r="39" spans="1:12" x14ac:dyDescent="0.2">
      <c r="A39" s="48">
        <f>'היקף החוברות'!A39</f>
        <v>29</v>
      </c>
      <c r="B39" s="30" t="str">
        <f ca="1">'הפצת כתב העת'!B39</f>
        <v>גופא (נתיב האומן )</v>
      </c>
      <c r="C39" s="16">
        <f ca="1">'היקף החוברות'!F39</f>
        <v>7.4321813452248231E-3</v>
      </c>
      <c r="D39" s="16">
        <f ca="1">'רמה הפקתית'!F39</f>
        <v>1.6863406408094434E-2</v>
      </c>
      <c r="E39" s="16">
        <f ca="1">'תמורה ליוצרים'!I39</f>
        <v>7.8671517059366411E-2</v>
      </c>
      <c r="F39" s="16">
        <f ca="1">'הפצת כתב העת'!H39</f>
        <v>1.5223596574690771E-2</v>
      </c>
      <c r="G39" s="16"/>
      <c r="H39" s="16"/>
      <c r="I39" s="16"/>
      <c r="J39" s="16"/>
      <c r="K39" s="54">
        <f t="shared" ca="1" si="2"/>
        <v>2.5514147307993552E-2</v>
      </c>
      <c r="L39" s="131">
        <f t="shared" ca="1" si="3"/>
        <v>48653.284699675212</v>
      </c>
    </row>
    <row r="40" spans="1:12" x14ac:dyDescent="0.2">
      <c r="A40" s="48">
        <f>'היקף החוברות'!A40</f>
        <v>30</v>
      </c>
      <c r="B40" s="30" t="str">
        <f ca="1">'הפצת כתב העת'!B40</f>
        <v>ערב רב (בר קיימא)</v>
      </c>
      <c r="C40" s="16">
        <f ca="1">'היקף החוברות'!F40</f>
        <v>3.1958379784466737E-2</v>
      </c>
      <c r="D40" s="16">
        <f ca="1">'רמה הפקתית'!F40</f>
        <v>3.6256323777403038E-2</v>
      </c>
      <c r="E40" s="16">
        <f ca="1">'תמורה ליוצרים'!I40</f>
        <v>2.4686936277322276E-2</v>
      </c>
      <c r="F40" s="16">
        <f ca="1">'הפצת כתב העת'!H40</f>
        <v>4.0913415794481447E-2</v>
      </c>
      <c r="G40" s="16"/>
      <c r="H40" s="16">
        <f ca="1">'הפצת כתב העת'!H40</f>
        <v>4.0913415794481447E-2</v>
      </c>
      <c r="I40" s="16"/>
      <c r="J40" s="16"/>
      <c r="K40" s="54">
        <f t="shared" ca="1" si="2"/>
        <v>3.3602438884128782E-2</v>
      </c>
      <c r="L40" s="131">
        <f t="shared" ca="1" si="3"/>
        <v>64076.961142289554</v>
      </c>
    </row>
    <row r="41" spans="1:12" x14ac:dyDescent="0.2">
      <c r="A41" s="48">
        <f>'היקף החוברות'!A41</f>
        <v>31</v>
      </c>
      <c r="B41" s="30" t="str">
        <f ca="1">'הפצת כתב העת'!B41</f>
        <v/>
      </c>
      <c r="C41" s="16" t="str">
        <f ca="1">'היקף החוברות'!F41</f>
        <v/>
      </c>
      <c r="D41" s="16" t="str">
        <f ca="1">'רמה הפקתית'!F41</f>
        <v/>
      </c>
      <c r="E41" s="16" t="str">
        <f ca="1">'תמורה ליוצרים'!I41</f>
        <v/>
      </c>
      <c r="F41" s="16" t="str">
        <f ca="1">'הפצת כתב העת'!H41</f>
        <v/>
      </c>
      <c r="G41" s="16"/>
      <c r="H41" s="16" t="str">
        <f ca="1">'הפצת כתב העת'!H41</f>
        <v/>
      </c>
      <c r="I41" s="16"/>
      <c r="J41" s="16"/>
      <c r="K41" s="54" t="str">
        <f t="shared" ca="1" si="2"/>
        <v/>
      </c>
      <c r="L41" s="131" t="str">
        <f t="shared" ca="1" si="3"/>
        <v/>
      </c>
    </row>
    <row r="42" spans="1:12" x14ac:dyDescent="0.2">
      <c r="A42" s="48">
        <f>'היקף החוברות'!A42</f>
        <v>32</v>
      </c>
      <c r="B42" s="30" t="str">
        <f ca="1">'הפצת כתב העת'!B42</f>
        <v>מעלה</v>
      </c>
      <c r="C42" s="16">
        <f ca="1">'היקף החוברות'!F42</f>
        <v>1.5979189892233368E-2</v>
      </c>
      <c r="D42" s="16">
        <f ca="1">'רמה הפקתית'!F42</f>
        <v>5.438448566610455E-2</v>
      </c>
      <c r="E42" s="16">
        <f ca="1">'תמורה ליוצרים'!I42</f>
        <v>0.22855578402964788</v>
      </c>
      <c r="F42" s="16">
        <f ca="1">'הפצת כתב העת'!H42</f>
        <v>8.1826831588962895E-2</v>
      </c>
      <c r="G42" s="16"/>
      <c r="H42" s="16">
        <f ca="1">'הפצת כתב העת'!H42</f>
        <v>8.1826831588962895E-2</v>
      </c>
      <c r="I42" s="16"/>
      <c r="J42" s="16"/>
      <c r="K42" s="54">
        <f t="shared" ca="1" si="2"/>
        <v>8.2637478298672878E-2</v>
      </c>
      <c r="L42" s="131">
        <f t="shared" ca="1" si="3"/>
        <v>157582.56429243551</v>
      </c>
    </row>
    <row r="43" spans="1:12" x14ac:dyDescent="0.2">
      <c r="A43" s="48">
        <f>'היקף החוברות'!A43</f>
        <v>33</v>
      </c>
      <c r="B43" s="30" t="str">
        <f ca="1">'הפצת כתב העת'!B43</f>
        <v/>
      </c>
      <c r="C43" s="16" t="str">
        <f ca="1">'היקף החוברות'!F43</f>
        <v/>
      </c>
      <c r="D43" s="16" t="str">
        <f ca="1">'רמה הפקתית'!F43</f>
        <v/>
      </c>
      <c r="E43" s="16" t="str">
        <f ca="1">'תמורה ליוצרים'!I43</f>
        <v/>
      </c>
      <c r="F43" s="16" t="str">
        <f ca="1">'הפצת כתב העת'!H43</f>
        <v/>
      </c>
      <c r="G43" s="16"/>
      <c r="H43" s="16" t="str">
        <f ca="1">'הפצת כתב העת'!H43</f>
        <v/>
      </c>
      <c r="I43" s="16"/>
      <c r="J43" s="16"/>
      <c r="K43" s="54" t="str">
        <f t="shared" ca="1" si="2"/>
        <v/>
      </c>
      <c r="L43" s="131" t="str">
        <f t="shared" ca="1" si="3"/>
        <v/>
      </c>
    </row>
    <row r="44" spans="1:12" x14ac:dyDescent="0.2">
      <c r="A44" s="48">
        <f>'היקף החוברות'!A44</f>
        <v>34</v>
      </c>
      <c r="B44" s="30" t="str">
        <f ca="1">'הפצת כתב העת'!B44</f>
        <v>כתב עת ירושלמי</v>
      </c>
      <c r="C44" s="16">
        <f ca="1">'היקף החוברות'!F44</f>
        <v>3.7160906726124113E-2</v>
      </c>
      <c r="D44" s="16">
        <f ca="1">'רמה הפקתית'!F44</f>
        <v>1.6863406408094434E-2</v>
      </c>
      <c r="E44" s="16">
        <f ca="1">'תמורה ליוצרים'!I44</f>
        <v>4.3898533049169693E-2</v>
      </c>
      <c r="F44" s="16">
        <f ca="1">'הפצת כתב העת'!H44</f>
        <v>1.5223596574690771E-2</v>
      </c>
      <c r="G44" s="16"/>
      <c r="H44" s="16">
        <f ca="1">'הפצת כתב העת'!H44</f>
        <v>1.5223596574690771E-2</v>
      </c>
      <c r="I44" s="16"/>
      <c r="J44" s="16"/>
      <c r="K44" s="54">
        <f t="shared" ca="1" si="2"/>
        <v>2.8964604389268955E-2</v>
      </c>
      <c r="L44" s="131">
        <f t="shared" ca="1" si="3"/>
        <v>55233.009614358423</v>
      </c>
    </row>
    <row r="45" spans="1:12" x14ac:dyDescent="0.2">
      <c r="A45" s="48">
        <f>'היקף החוברות'!A45</f>
        <v>35</v>
      </c>
      <c r="B45" s="30" t="str">
        <f ca="1">'הפצת כתב העת'!B45</f>
        <v/>
      </c>
      <c r="C45" s="16" t="str">
        <f ca="1">'היקף החוברות'!F45</f>
        <v/>
      </c>
      <c r="D45" s="16" t="str">
        <f ca="1">'רמה הפקתית'!F45</f>
        <v/>
      </c>
      <c r="E45" s="16" t="str">
        <f ca="1">'תמורה ליוצרים'!I45</f>
        <v/>
      </c>
      <c r="F45" s="16" t="str">
        <f ca="1">'הפצת כתב העת'!H45</f>
        <v/>
      </c>
      <c r="G45" s="16"/>
      <c r="H45" s="16" t="str">
        <f ca="1">'הפצת כתב העת'!H45</f>
        <v/>
      </c>
      <c r="I45" s="16"/>
      <c r="J45" s="16"/>
      <c r="K45" s="54" t="str">
        <f t="shared" ca="1" si="2"/>
        <v/>
      </c>
      <c r="L45" s="131" t="str">
        <f t="shared" ca="1" si="3"/>
        <v/>
      </c>
    </row>
    <row r="46" spans="1:12" x14ac:dyDescent="0.2">
      <c r="A46" s="48">
        <f>'היקף החוברות'!A46</f>
        <v>36</v>
      </c>
      <c r="B46" s="30" t="str">
        <f ca="1">'הפצת כתב העת'!B46</f>
        <v>העמותה ליצירה פנטסטית- אוטופיה</v>
      </c>
      <c r="C46" s="16">
        <f ca="1">'היקף החוברות'!F46</f>
        <v>0</v>
      </c>
      <c r="D46" s="16" t="str">
        <f ca="1">'רמה הפקתית'!F46</f>
        <v/>
      </c>
      <c r="E46" s="16">
        <f ca="1">'תמורה ליוצרים'!I46</f>
        <v>0.19890149105612673</v>
      </c>
      <c r="F46" s="16">
        <f ca="1">'הפצת כתב העת'!H46</f>
        <v>0</v>
      </c>
      <c r="G46" s="16"/>
      <c r="H46" s="16">
        <f ca="1">'הפצת כתב העת'!H46</f>
        <v>0</v>
      </c>
      <c r="I46" s="16"/>
      <c r="J46" s="16"/>
      <c r="K46" s="54">
        <f t="shared" ca="1" si="2"/>
        <v>3.9780298211225348E-2</v>
      </c>
      <c r="L46" s="131">
        <f t="shared" ca="1" si="3"/>
        <v>75857.60758316057</v>
      </c>
    </row>
    <row r="47" spans="1:12" x14ac:dyDescent="0.2">
      <c r="A47" s="48">
        <f>'היקף החוברות'!A47</f>
        <v>37</v>
      </c>
      <c r="B47" s="30" t="str">
        <f ca="1">'הפצת כתב העת'!B47</f>
        <v/>
      </c>
      <c r="C47" s="16" t="str">
        <f ca="1">'היקף החוברות'!F47</f>
        <v/>
      </c>
      <c r="D47" s="16" t="str">
        <f ca="1">'רמה הפקתית'!F47</f>
        <v/>
      </c>
      <c r="E47" s="16" t="str">
        <f ca="1">'תמורה ליוצרים'!I47</f>
        <v/>
      </c>
      <c r="F47" s="16" t="str">
        <f ca="1">'הפצת כתב העת'!H47</f>
        <v/>
      </c>
      <c r="G47" s="16"/>
      <c r="H47" s="16" t="str">
        <f ca="1">'הפצת כתב העת'!H47</f>
        <v/>
      </c>
      <c r="I47" s="16"/>
      <c r="J47" s="16"/>
      <c r="K47" s="54" t="str">
        <f t="shared" ca="1" si="2"/>
        <v/>
      </c>
      <c r="L47" s="131" t="str">
        <f t="shared" ca="1" si="3"/>
        <v/>
      </c>
    </row>
    <row r="48" spans="1:12" x14ac:dyDescent="0.2">
      <c r="A48" s="48">
        <f>'היקף החוברות'!A48</f>
        <v>38</v>
      </c>
      <c r="B48" s="30" t="str">
        <f ca="1">'הפצת כתב העת'!B48</f>
        <v/>
      </c>
      <c r="C48" s="16" t="str">
        <f ca="1">'היקף החוברות'!F48</f>
        <v/>
      </c>
      <c r="D48" s="16" t="str">
        <f ca="1">'רמה הפקתית'!F48</f>
        <v/>
      </c>
      <c r="E48" s="16" t="str">
        <f ca="1">'תמורה ליוצרים'!I48</f>
        <v/>
      </c>
      <c r="F48" s="16" t="str">
        <f ca="1">'הפצת כתב העת'!H48</f>
        <v/>
      </c>
      <c r="G48" s="16"/>
      <c r="H48" s="16" t="str">
        <f ca="1">'הפצת כתב העת'!H48</f>
        <v/>
      </c>
      <c r="I48" s="16"/>
      <c r="J48" s="16"/>
      <c r="K48" s="54" t="str">
        <f t="shared" ca="1" si="2"/>
        <v/>
      </c>
      <c r="L48" s="131" t="str">
        <f t="shared" ca="1" si="3"/>
        <v/>
      </c>
    </row>
    <row r="49" spans="1:12" x14ac:dyDescent="0.2">
      <c r="A49" s="48">
        <f>'היקף החוברות'!A49</f>
        <v>39</v>
      </c>
      <c r="B49" s="30" t="str">
        <f ca="1">'הפצת כתב העת'!B49</f>
        <v/>
      </c>
      <c r="C49" s="16" t="str">
        <f ca="1">'היקף החוברות'!F49</f>
        <v/>
      </c>
      <c r="D49" s="16" t="str">
        <f ca="1">'רמה הפקתית'!F49</f>
        <v/>
      </c>
      <c r="E49" s="16" t="str">
        <f ca="1">'תמורה ליוצרים'!I49</f>
        <v/>
      </c>
      <c r="F49" s="16" t="str">
        <f ca="1">'הפצת כתב העת'!H49</f>
        <v/>
      </c>
      <c r="G49" s="16"/>
      <c r="H49" s="16" t="str">
        <f ca="1">'הפצת כתב העת'!H49</f>
        <v/>
      </c>
      <c r="I49" s="16"/>
      <c r="J49" s="16"/>
      <c r="K49" s="54" t="str">
        <f t="shared" ca="1" si="2"/>
        <v/>
      </c>
      <c r="L49" s="131" t="str">
        <f t="shared" ca="1" si="3"/>
        <v/>
      </c>
    </row>
    <row r="50" spans="1:12" ht="13.5" thickBot="1" x14ac:dyDescent="0.25">
      <c r="A50" s="48">
        <f>'היקף החוברות'!A50</f>
        <v>40</v>
      </c>
      <c r="B50" s="30" t="str">
        <f ca="1">'הפצת כתב העת'!B50</f>
        <v/>
      </c>
      <c r="C50" s="16" t="str">
        <f ca="1">'היקף החוברות'!F50</f>
        <v/>
      </c>
      <c r="D50" s="16" t="str">
        <f ca="1">'רמה הפקתית'!F50</f>
        <v/>
      </c>
      <c r="E50" s="16" t="str">
        <f ca="1">'תמורה ליוצרים'!I50</f>
        <v/>
      </c>
      <c r="F50" s="16" t="str">
        <f ca="1">'הפצת כתב העת'!H50</f>
        <v/>
      </c>
      <c r="G50" s="16"/>
      <c r="H50" s="16" t="str">
        <f ca="1">'הפצת כתב העת'!H50</f>
        <v/>
      </c>
      <c r="I50" s="16"/>
      <c r="J50" s="16"/>
      <c r="K50" s="54" t="str">
        <f t="shared" ca="1" si="2"/>
        <v/>
      </c>
      <c r="L50" s="131" t="str">
        <f t="shared" ca="1" si="3"/>
        <v/>
      </c>
    </row>
    <row r="51" spans="1:12" ht="14.25" thickTop="1" thickBot="1" x14ac:dyDescent="0.25">
      <c r="A51" s="629" t="s">
        <v>54</v>
      </c>
      <c r="B51" s="630"/>
      <c r="C51" s="132">
        <f t="shared" ref="C51:L51" ca="1" si="4">SUM(C11:C50)</f>
        <v>0.99999999999999967</v>
      </c>
      <c r="D51" s="132">
        <f t="shared" ca="1" si="4"/>
        <v>1</v>
      </c>
      <c r="E51" s="132">
        <f t="shared" ca="1" si="4"/>
        <v>1</v>
      </c>
      <c r="F51" s="132">
        <f t="shared" ca="1" si="4"/>
        <v>0.99999999999999989</v>
      </c>
      <c r="G51" s="132">
        <f t="shared" si="4"/>
        <v>0</v>
      </c>
      <c r="H51" s="132">
        <f t="shared" ca="1" si="4"/>
        <v>0.1379638439581351</v>
      </c>
      <c r="I51" s="132">
        <f t="shared" si="4"/>
        <v>0</v>
      </c>
      <c r="J51" s="132">
        <f t="shared" si="4"/>
        <v>0</v>
      </c>
      <c r="K51" s="132">
        <f t="shared" ca="1" si="4"/>
        <v>0.99999999999999989</v>
      </c>
      <c r="L51" s="133">
        <f t="shared" ca="1" si="4"/>
        <v>1906913.9999999998</v>
      </c>
    </row>
    <row r="52" spans="1:12" ht="13.5" thickTop="1" x14ac:dyDescent="0.2">
      <c r="L52" t="b">
        <f ca="1">L51=L10</f>
        <v>1</v>
      </c>
    </row>
  </sheetData>
  <sheetProtection algorithmName="SHA-512" hashValue="c5Pn6/6kCwMjnRHU52xE3p1ZsAVvPHcFpz2zTZl1S8IbEeRjMa9jMcqylG9irxKzZAn9zRmmYqOBHmmRD5hHnQ==" saltValue="1cpXyq4I8FFY7yvFqiWvOg==" spinCount="100000" sheet="1" scenarios="1" formatColumns="0" formatRows="0"/>
  <mergeCells count="4">
    <mergeCell ref="A51:B51"/>
    <mergeCell ref="A8:L8"/>
    <mergeCell ref="A9:A10"/>
    <mergeCell ref="B9:B10"/>
  </mergeCells>
  <phoneticPr fontId="24" type="noConversion"/>
  <pageMargins left="0.27559055118110237" right="0.19685039370078741" top="0.51181102362204722" bottom="0.39370078740157483" header="0.15748031496062992" footer="0.19685039370078741"/>
  <pageSetup paperSize="9" scale="86" orientation="landscape" horizontalDpi="1200"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&amp;L&amp;"Arial,מודגש"&amp;12א. חפץ ושות'
יעוץ כלכלי&amp;Cעמוד &amp;P מתוך &amp;N&amp;R&amp;A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4">
    <tabColor indexed="44"/>
    <pageSetUpPr fitToPage="1"/>
  </sheetPr>
  <dimension ref="A1:J52"/>
  <sheetViews>
    <sheetView rightToLeft="1" view="pageBreakPreview" zoomScaleNormal="100" zoomScaleSheetLayoutView="100" workbookViewId="0"/>
  </sheetViews>
  <sheetFormatPr defaultColWidth="9.140625" defaultRowHeight="12.75" x14ac:dyDescent="0.2"/>
  <cols>
    <col min="1" max="1" width="10" bestFit="1" customWidth="1"/>
    <col min="2" max="2" width="34" bestFit="1" customWidth="1"/>
    <col min="3" max="3" width="12.28515625" customWidth="1"/>
    <col min="4" max="4" width="23.28515625" customWidth="1"/>
    <col min="5" max="5" width="20.140625" bestFit="1" customWidth="1"/>
    <col min="6" max="6" width="17" bestFit="1" customWidth="1"/>
    <col min="7" max="7" width="14.28515625" customWidth="1"/>
    <col min="8" max="8" width="12.140625" customWidth="1"/>
    <col min="9" max="9" width="17.7109375" customWidth="1"/>
    <col min="10" max="10" width="4.28515625" hidden="1" customWidth="1"/>
    <col min="11" max="200" width="9.140625" customWidth="1"/>
  </cols>
  <sheetData>
    <row r="1" spans="1:10" ht="20.25" thickTop="1" thickBot="1" x14ac:dyDescent="0.25">
      <c r="F1" s="88" t="str">
        <f>פרמטרים!B1</f>
        <v>שנת התקציב</v>
      </c>
      <c r="G1" s="89">
        <f>פרמטרים!C1</f>
        <v>2025</v>
      </c>
    </row>
    <row r="2" spans="1:10" ht="19.5" thickBot="1" x14ac:dyDescent="0.25">
      <c r="F2" s="91" t="str">
        <f>פרמטרים!B2</f>
        <v>תקציב</v>
      </c>
      <c r="G2" s="92">
        <f>פרמטרים!C2</f>
        <v>1906914</v>
      </c>
    </row>
    <row r="3" spans="1:10" ht="13.5" hidden="1" thickTop="1" x14ac:dyDescent="0.2"/>
    <row r="4" spans="1:10" hidden="1" x14ac:dyDescent="0.2"/>
    <row r="5" spans="1:10" ht="16.5" thickTop="1" x14ac:dyDescent="0.2">
      <c r="D5" s="462" t="str">
        <f>"סך התקציב בשנת "&amp;G1-1</f>
        <v>סך התקציב בשנת 2024</v>
      </c>
    </row>
    <row r="6" spans="1:10" ht="16.5" thickBot="1" x14ac:dyDescent="0.25">
      <c r="D6" s="463" t="s">
        <v>147</v>
      </c>
    </row>
    <row r="7" spans="1:10" ht="29.25" customHeight="1" thickBot="1" x14ac:dyDescent="0.25">
      <c r="D7" s="506">
        <v>1906914</v>
      </c>
    </row>
    <row r="8" spans="1:10" hidden="1" x14ac:dyDescent="0.2"/>
    <row r="9" spans="1:10" ht="16.5" thickBot="1" x14ac:dyDescent="0.3">
      <c r="A9" s="636" t="s">
        <v>148</v>
      </c>
      <c r="B9" s="637"/>
      <c r="C9" s="637"/>
      <c r="D9" s="637"/>
      <c r="E9" s="637"/>
      <c r="F9" s="637"/>
      <c r="G9" s="637"/>
      <c r="H9" s="637"/>
      <c r="I9" s="638"/>
    </row>
    <row r="10" spans="1:10" ht="81" customHeight="1" thickBot="1" x14ac:dyDescent="0.25">
      <c r="A10" s="185" t="str">
        <f>'התחשיב הבסיסי'!A9</f>
        <v>מספר סידורי</v>
      </c>
      <c r="B10" s="186" t="str">
        <f>'התחשיב הבסיסי'!B9</f>
        <v>שם כתב העת</v>
      </c>
      <c r="C10" s="186" t="s">
        <v>149</v>
      </c>
      <c r="D10" s="551" t="str">
        <f xml:space="preserve"> "סכום תמיכה בשנת" &amp; " "&amp;YEAR(פרמטרים!$H$9)</f>
        <v>סכום תמיכה בשנת 2024</v>
      </c>
      <c r="E10" s="186" t="s">
        <v>150</v>
      </c>
      <c r="F10" s="186" t="str">
        <f xml:space="preserve"> "שיעור תמיכה בשנת" &amp; " "&amp;YEAR(פרמטרים!$H$9)</f>
        <v>שיעור תמיכה בשנת 2024</v>
      </c>
      <c r="G10" s="186" t="s">
        <v>151</v>
      </c>
      <c r="H10" s="186" t="s">
        <v>152</v>
      </c>
      <c r="I10" s="505" t="s">
        <v>153</v>
      </c>
    </row>
    <row r="11" spans="1:10" x14ac:dyDescent="0.2">
      <c r="A11" s="48">
        <f>'התחשיב הבסיסי'!A11</f>
        <v>1</v>
      </c>
      <c r="B11" s="30" t="str">
        <f ca="1">'התחשיב הבסיסי'!B11</f>
        <v>1280 מעלות (אמנים יוצרים)</v>
      </c>
      <c r="C11" s="16">
        <f ca="1">'התחשיב הבסיסי'!K11</f>
        <v>3.0859403922117824E-2</v>
      </c>
      <c r="D11" s="552">
        <f>'סיכום לועדה- הזנת נתונים'!O31</f>
        <v>71987</v>
      </c>
      <c r="E11" s="342">
        <v>0</v>
      </c>
      <c r="F11" s="16">
        <f ca="1">IF(B11="","",IF($D$7&lt;$D$51,"בדוק נתוני הזנה",D11/$D$7))</f>
        <v>3.7750522572071947E-2</v>
      </c>
      <c r="G11" s="86">
        <f t="shared" ref="G11:G50" ca="1" si="0">IF(OR(C11="",F11=""),"",IF(E11=1,C11,AVERAGE($F11,C11)))</f>
        <v>3.4304963247094887E-2</v>
      </c>
      <c r="H11" s="86">
        <f t="shared" ref="H11:H50" ca="1" si="1">IF(OR(G11="",C11=""),"",G11/$G$51)</f>
        <v>3.3985441070425441E-2</v>
      </c>
      <c r="I11" s="490">
        <f t="shared" ref="I11:I50" ca="1" si="2">IF(OR(B11="",F11="",C11=""),"",IF($D$7&lt;$D$51,"בדוק נתוני הזנה",H11*$G$2))</f>
        <v>64807.313373369259</v>
      </c>
      <c r="J11">
        <f ca="1">IF(OR('תנאי סף'!AL11&lt;&gt;1,B11="",F11&lt;0,ISERR(F11/3)),0,1)</f>
        <v>1</v>
      </c>
    </row>
    <row r="12" spans="1:10" x14ac:dyDescent="0.2">
      <c r="A12" s="48">
        <f>'התחשיב הבסיסי'!A12</f>
        <v>2</v>
      </c>
      <c r="B12" s="30" t="str">
        <f ca="1">'התחשיב הבסיסי'!B12</f>
        <v>יהי (אורי צבי גרינברג)</v>
      </c>
      <c r="C12" s="16">
        <f ca="1">'התחשיב הבסיסי'!K12</f>
        <v>3.3047795929729624E-2</v>
      </c>
      <c r="D12" s="552">
        <f>'סיכום לועדה- הזנת נתונים'!O32</f>
        <v>48732</v>
      </c>
      <c r="E12" s="342">
        <v>0</v>
      </c>
      <c r="F12" s="16">
        <f t="shared" ref="F12:F50" ca="1" si="3">IF(B12="","",IF($D$7&lt;$D$51,"בדוק נתוני הזנה",D12/$D$7))</f>
        <v>2.5555426201706002E-2</v>
      </c>
      <c r="G12" s="86">
        <f t="shared" ca="1" si="0"/>
        <v>2.9301611065717811E-2</v>
      </c>
      <c r="H12" s="86">
        <f t="shared" ca="1" si="1"/>
        <v>2.9028690949750847E-2</v>
      </c>
      <c r="I12" s="490">
        <f t="shared" ca="1" si="2"/>
        <v>55355.217173753183</v>
      </c>
      <c r="J12">
        <f ca="1">IF(OR('תנאי סף'!AL12&lt;&gt;1,B12="",F12&lt;0,ISERR(F12/3)),0,1)</f>
        <v>1</v>
      </c>
    </row>
    <row r="13" spans="1:10" x14ac:dyDescent="0.2">
      <c r="A13" s="48">
        <f>'התחשיב הבסיסי'!A13</f>
        <v>3</v>
      </c>
      <c r="B13" s="30" t="str">
        <f ca="1">'התחשיב הבסיסי'!B13</f>
        <v/>
      </c>
      <c r="C13" s="16" t="str">
        <f ca="1">'התחשיב הבסיסי'!K13</f>
        <v/>
      </c>
      <c r="D13" s="552">
        <f>'סיכום לועדה- הזנת נתונים'!O33</f>
        <v>0</v>
      </c>
      <c r="E13" s="342"/>
      <c r="F13" s="16" t="str">
        <f t="shared" ca="1" si="3"/>
        <v/>
      </c>
      <c r="G13" s="86" t="str">
        <f t="shared" ca="1" si="0"/>
        <v/>
      </c>
      <c r="H13" s="86" t="str">
        <f t="shared" ca="1" si="1"/>
        <v/>
      </c>
      <c r="I13" s="490" t="str">
        <f t="shared" ca="1" si="2"/>
        <v/>
      </c>
      <c r="J13">
        <f ca="1">IF(OR('תנאי סף'!AL13&lt;&gt;1,B13="",F13&lt;0,ISERR(F13/3)),0,1)</f>
        <v>0</v>
      </c>
    </row>
    <row r="14" spans="1:10" x14ac:dyDescent="0.2">
      <c r="A14" s="48">
        <f>'התחשיב הבסיסי'!A14</f>
        <v>4</v>
      </c>
      <c r="B14" s="30" t="str">
        <f ca="1">'התחשיב הבסיסי'!B14</f>
        <v>דעות (ברית נאמני תורה ועבודה)</v>
      </c>
      <c r="C14" s="16">
        <f ca="1">'התחשיב הבסיסי'!K14</f>
        <v>3.7023049453032621E-2</v>
      </c>
      <c r="D14" s="552">
        <f>'סיכום לועדה- הזנת נתונים'!O34</f>
        <v>114119</v>
      </c>
      <c r="E14" s="342">
        <v>0</v>
      </c>
      <c r="F14" s="16">
        <f t="shared" ca="1" si="3"/>
        <v>5.9844859285736011E-2</v>
      </c>
      <c r="G14" s="86">
        <f t="shared" ca="1" si="0"/>
        <v>4.8433954369384316E-2</v>
      </c>
      <c r="H14" s="86">
        <f t="shared" ca="1" si="1"/>
        <v>4.7982832401599534E-2</v>
      </c>
      <c r="I14" s="490">
        <f t="shared" ca="1" si="2"/>
        <v>91499.134866263776</v>
      </c>
      <c r="J14">
        <f ca="1">IF(OR('תנאי סף'!AL14&lt;&gt;1,B14="",F14&lt;0,ISERR(F14/3)),0,1)</f>
        <v>1</v>
      </c>
    </row>
    <row r="15" spans="1:10" x14ac:dyDescent="0.2">
      <c r="A15" s="48">
        <f>'התחשיב הבסיסי'!A15</f>
        <v>5</v>
      </c>
      <c r="B15" s="30" t="str">
        <f ca="1">'התחשיב הבסיסי'!B15</f>
        <v>הליקון</v>
      </c>
      <c r="C15" s="16">
        <f ca="1">'התחשיב הבסיסי'!K15</f>
        <v>4.4904600585805449E-2</v>
      </c>
      <c r="D15" s="552">
        <f>'סיכום לועדה- הזנת נתונים'!O35</f>
        <v>142850</v>
      </c>
      <c r="E15" s="342"/>
      <c r="F15" s="16">
        <f t="shared" ca="1" si="3"/>
        <v>7.4911611116180388E-2</v>
      </c>
      <c r="G15" s="86">
        <f t="shared" ca="1" si="0"/>
        <v>5.9908105850992918E-2</v>
      </c>
      <c r="H15" s="86">
        <f t="shared" ca="1" si="1"/>
        <v>5.9350111713416524E-2</v>
      </c>
      <c r="I15" s="490">
        <f t="shared" ca="1" si="2"/>
        <v>113175.55892787795</v>
      </c>
      <c r="J15">
        <f ca="1">IF(OR('תנאי סף'!AL15&lt;&gt;1,B15="",F15&lt;0,ISERR(F15/3)),0,1)</f>
        <v>1</v>
      </c>
    </row>
    <row r="16" spans="1:10" x14ac:dyDescent="0.2">
      <c r="A16" s="48">
        <f>'התחשיב הבסיסי'!A16</f>
        <v>6</v>
      </c>
      <c r="B16" s="30" t="str">
        <f ca="1">'התחשיב הבסיסי'!B16</f>
        <v/>
      </c>
      <c r="C16" s="16" t="str">
        <f ca="1">'התחשיב הבסיסי'!K16</f>
        <v/>
      </c>
      <c r="D16" s="552">
        <f>'סיכום לועדה- הזנת נתונים'!O36</f>
        <v>0</v>
      </c>
      <c r="E16" s="342"/>
      <c r="F16" s="16" t="str">
        <f t="shared" ca="1" si="3"/>
        <v/>
      </c>
      <c r="G16" s="86" t="str">
        <f t="shared" ca="1" si="0"/>
        <v/>
      </c>
      <c r="H16" s="86" t="str">
        <f t="shared" ca="1" si="1"/>
        <v/>
      </c>
      <c r="I16" s="490" t="str">
        <f t="shared" ca="1" si="2"/>
        <v/>
      </c>
      <c r="J16">
        <f ca="1">IF(OR('תנאי סף'!AL16&lt;&gt;1,B16="",F16&lt;0,ISERR(F16/3)),0,1)</f>
        <v>0</v>
      </c>
    </row>
    <row r="17" spans="1:10" x14ac:dyDescent="0.2">
      <c r="A17" s="48">
        <f>'התחשיב הבסיסי'!A17</f>
        <v>7</v>
      </c>
      <c r="B17" s="30" t="str">
        <f ca="1">'התחשיב הבסיסי'!B17</f>
        <v/>
      </c>
      <c r="C17" s="16" t="str">
        <f ca="1">'התחשיב הבסיסי'!K17</f>
        <v/>
      </c>
      <c r="D17" s="552">
        <f>'סיכום לועדה- הזנת נתונים'!O37</f>
        <v>0</v>
      </c>
      <c r="E17" s="342"/>
      <c r="F17" s="16" t="str">
        <f t="shared" ca="1" si="3"/>
        <v/>
      </c>
      <c r="G17" s="86" t="str">
        <f t="shared" ca="1" si="0"/>
        <v/>
      </c>
      <c r="H17" s="86" t="str">
        <f t="shared" ca="1" si="1"/>
        <v/>
      </c>
      <c r="I17" s="490" t="str">
        <f t="shared" ca="1" si="2"/>
        <v/>
      </c>
      <c r="J17">
        <f ca="1">IF(OR('תנאי סף'!AL17&lt;&gt;1,B17="",F17&lt;0,ISERR(F17/3)),0,1)</f>
        <v>0</v>
      </c>
    </row>
    <row r="18" spans="1:10" x14ac:dyDescent="0.2">
      <c r="A18" s="48">
        <f>'התחשיב הבסיסי'!A18</f>
        <v>8</v>
      </c>
      <c r="B18" s="30" t="str">
        <f ca="1">'התחשיב הבסיסי'!B18</f>
        <v>ננפואטיקה (עמותת מקום לשירה)</v>
      </c>
      <c r="C18" s="16">
        <f ca="1">'התחשיב הבסיסי'!K18</f>
        <v>8.1973318334501208E-2</v>
      </c>
      <c r="D18" s="552">
        <f>'סיכום לועדה- הזנת נתונים'!O38</f>
        <v>124497</v>
      </c>
      <c r="E18" s="342"/>
      <c r="F18" s="16">
        <f t="shared" ca="1" si="3"/>
        <v>6.5287160301932864E-2</v>
      </c>
      <c r="G18" s="86">
        <f t="shared" ca="1" si="0"/>
        <v>7.3630239318217036E-2</v>
      </c>
      <c r="H18" s="86">
        <f t="shared" ca="1" si="1"/>
        <v>7.2944434929907681E-2</v>
      </c>
      <c r="I18" s="490">
        <f t="shared" ca="1" si="2"/>
        <v>139098.76418992996</v>
      </c>
      <c r="J18">
        <f ca="1">IF(OR('תנאי סף'!AL18&lt;&gt;1,B18="",F18&lt;0,ISERR(F18/3)),0,1)</f>
        <v>1</v>
      </c>
    </row>
    <row r="19" spans="1:10" x14ac:dyDescent="0.2">
      <c r="A19" s="48">
        <f>'התחשיב הבסיסי'!A19</f>
        <v>9</v>
      </c>
      <c r="B19" s="30" t="str">
        <f ca="1">'התחשיב הבסיסי'!B19</f>
        <v>מאזניים (אגודת הסופרים העבריים)</v>
      </c>
      <c r="C19" s="16">
        <f ca="1">'התחשיב הבסיסי'!K19</f>
        <v>7.8619744171973538E-2</v>
      </c>
      <c r="D19" s="552">
        <f>'סיכום לועדה- הזנת נתונים'!O39</f>
        <v>164453</v>
      </c>
      <c r="E19" s="342"/>
      <c r="F19" s="16">
        <f t="shared" ca="1" si="3"/>
        <v>8.6240386299539465E-2</v>
      </c>
      <c r="G19" s="86">
        <f t="shared" ca="1" si="0"/>
        <v>8.2430065235756494E-2</v>
      </c>
      <c r="H19" s="86">
        <f t="shared" ca="1" si="1"/>
        <v>8.1662297794135238E-2</v>
      </c>
      <c r="I19" s="490">
        <f t="shared" ca="1" si="2"/>
        <v>155722.97893580562</v>
      </c>
      <c r="J19">
        <f ca="1">IF(OR('תנאי סף'!AL19&lt;&gt;1,B19="",F19&lt;0,ISERR(F19/3)),0,1)</f>
        <v>1</v>
      </c>
    </row>
    <row r="20" spans="1:10" x14ac:dyDescent="0.2">
      <c r="A20" s="48">
        <f>'התחשיב הבסיסי'!A20</f>
        <v>10</v>
      </c>
      <c r="B20" s="30" t="str">
        <f ca="1">'התחשיב הבסיסי'!B20</f>
        <v>משיב הרוח</v>
      </c>
      <c r="C20" s="16">
        <f ca="1">'התחשיב הבסיסי'!K20</f>
        <v>6.9873889090619895E-2</v>
      </c>
      <c r="D20" s="552">
        <f>'סיכום לועדה- הזנת נתונים'!O40</f>
        <v>160958</v>
      </c>
      <c r="E20" s="342">
        <v>0</v>
      </c>
      <c r="F20" s="16">
        <f t="shared" ca="1" si="3"/>
        <v>8.4407582093371805E-2</v>
      </c>
      <c r="G20" s="86">
        <f t="shared" ca="1" si="0"/>
        <v>7.7140735591995857E-2</v>
      </c>
      <c r="H20" s="86">
        <f t="shared" ca="1" si="1"/>
        <v>7.6422233853087163E-2</v>
      </c>
      <c r="I20" s="490">
        <f t="shared" ca="1" si="2"/>
        <v>145730.62764572585</v>
      </c>
      <c r="J20">
        <f ca="1">IF(OR('תנאי סף'!AL20&lt;&gt;1,B20="",F20&lt;0,ISERR(F20/3)),0,1)</f>
        <v>1</v>
      </c>
    </row>
    <row r="21" spans="1:10" x14ac:dyDescent="0.2">
      <c r="A21" s="48">
        <f>'התחשיב הבסיסי'!A21</f>
        <v>11</v>
      </c>
      <c r="B21" s="30" t="str">
        <f ca="1">'התחשיב הבסיסי'!B21</f>
        <v>עמדה (עמותת מונטן)</v>
      </c>
      <c r="C21" s="16">
        <f ca="1">'התחשיב הבסיסי'!K21</f>
        <v>2.8950029868373254E-2</v>
      </c>
      <c r="D21" s="552">
        <f>'סיכום לועדה- הזנת נתונים'!O41</f>
        <v>31000</v>
      </c>
      <c r="E21" s="342">
        <v>0</v>
      </c>
      <c r="F21" s="16">
        <f t="shared" ca="1" si="3"/>
        <v>1.6256632443833335E-2</v>
      </c>
      <c r="G21" s="86">
        <f t="shared" ca="1" si="0"/>
        <v>2.2603331156103294E-2</v>
      </c>
      <c r="H21" s="86">
        <f t="shared" ca="1" si="1"/>
        <v>2.2392799941743518E-2</v>
      </c>
      <c r="I21" s="490">
        <f t="shared" ca="1" si="2"/>
        <v>42701.143708109899</v>
      </c>
      <c r="J21">
        <f ca="1">IF(OR('תנאי סף'!AL21&lt;&gt;1,B21="",F21&lt;0,ISERR(F21/3)),0,1)</f>
        <v>1</v>
      </c>
    </row>
    <row r="22" spans="1:10" x14ac:dyDescent="0.2">
      <c r="A22" s="48">
        <f>'התחשיב הבסיסי'!A22</f>
        <v>12</v>
      </c>
      <c r="B22" s="30" t="str">
        <f ca="1">'התחשיב הבסיסי'!B22</f>
        <v>עתון 77 (אגודת סופרים ואמנים)</v>
      </c>
      <c r="C22" s="16">
        <f ca="1">'התחשיב הבסיסי'!K22</f>
        <v>6.5216820131568709E-2</v>
      </c>
      <c r="D22" s="552">
        <f>'סיכום לועדה- הזנת נתונים'!O42</f>
        <v>146532</v>
      </c>
      <c r="E22" s="342">
        <v>0</v>
      </c>
      <c r="F22" s="16">
        <f t="shared" ca="1" si="3"/>
        <v>7.6842479524509233E-2</v>
      </c>
      <c r="G22" s="86">
        <f t="shared" ca="1" si="0"/>
        <v>7.1029649828038971E-2</v>
      </c>
      <c r="H22" s="86">
        <f t="shared" ca="1" si="1"/>
        <v>7.0368067766060069E-2</v>
      </c>
      <c r="I22" s="490">
        <f t="shared" ca="1" si="2"/>
        <v>134185.85357604868</v>
      </c>
      <c r="J22">
        <f ca="1">IF(OR('תנאי סף'!AL22&lt;&gt;1,B22="",F22&lt;0,ISERR(F22/3)),0,1)</f>
        <v>1</v>
      </c>
    </row>
    <row r="23" spans="1:10" x14ac:dyDescent="0.2">
      <c r="A23" s="48">
        <f>'התחשיב הבסיסי'!A23</f>
        <v>13</v>
      </c>
      <c r="B23" s="30" t="str">
        <f ca="1">'התחשיב הבסיסי'!B23</f>
        <v/>
      </c>
      <c r="C23" s="16" t="str">
        <f ca="1">'התחשיב הבסיסי'!K23</f>
        <v/>
      </c>
      <c r="D23" s="552">
        <f>'סיכום לועדה- הזנת נתונים'!O43</f>
        <v>0</v>
      </c>
      <c r="E23" s="342"/>
      <c r="F23" s="16" t="str">
        <f t="shared" ca="1" si="3"/>
        <v/>
      </c>
      <c r="G23" s="86" t="str">
        <f t="shared" ca="1" si="0"/>
        <v/>
      </c>
      <c r="H23" s="86" t="str">
        <f t="shared" ca="1" si="1"/>
        <v/>
      </c>
      <c r="I23" s="490" t="str">
        <f t="shared" ca="1" si="2"/>
        <v/>
      </c>
      <c r="J23">
        <f ca="1">IF(OR('תנאי סף'!AL23&lt;&gt;1,B23="",F23&lt;0,ISERR(F23/3)),0,1)</f>
        <v>0</v>
      </c>
    </row>
    <row r="24" spans="1:10" x14ac:dyDescent="0.2">
      <c r="A24" s="48">
        <f>'התחשיב הבסיסי'!A24</f>
        <v>14</v>
      </c>
      <c r="B24" s="30" t="str">
        <f ca="1">'התחשיב הבסיסי'!B24</f>
        <v>פסיפס</v>
      </c>
      <c r="C24" s="16">
        <f ca="1">'התחשיב הבסיסי'!K24</f>
        <v>1.7401031998918272E-2</v>
      </c>
      <c r="D24" s="552">
        <f>'סיכום לועדה- הזנת נתונים'!O44</f>
        <v>43081</v>
      </c>
      <c r="E24" s="342">
        <v>0</v>
      </c>
      <c r="F24" s="16">
        <f t="shared" ca="1" si="3"/>
        <v>2.2591999429444641E-2</v>
      </c>
      <c r="G24" s="86">
        <f t="shared" ca="1" si="0"/>
        <v>1.9996515714181456E-2</v>
      </c>
      <c r="H24" s="86">
        <f t="shared" ca="1" si="1"/>
        <v>1.9810264815710049E-2</v>
      </c>
      <c r="I24" s="490">
        <f t="shared" ca="1" si="2"/>
        <v>37776.471320784913</v>
      </c>
      <c r="J24">
        <f ca="1">IF(OR('תנאי סף'!AL24&lt;&gt;1,B24="",F24&lt;0,ISERR(F24/3)),0,1)</f>
        <v>1</v>
      </c>
    </row>
    <row r="25" spans="1:10" x14ac:dyDescent="0.2">
      <c r="A25" s="48">
        <f>'התחשיב הבסיסי'!A25</f>
        <v>15</v>
      </c>
      <c r="B25" s="30" t="str">
        <f ca="1">'התחשיב הבסיסי'!B25</f>
        <v>קתרזיס ( עמותת מצרף)</v>
      </c>
      <c r="C25" s="16">
        <f ca="1">'התחשיב הבסיסי'!K25</f>
        <v>2.1698765112892645E-2</v>
      </c>
      <c r="D25" s="552">
        <f>'סיכום לועדה- הזנת נתונים'!O45</f>
        <v>29000</v>
      </c>
      <c r="E25" s="342">
        <v>0</v>
      </c>
      <c r="F25" s="16">
        <f t="shared" ca="1" si="3"/>
        <v>1.520781744745699E-2</v>
      </c>
      <c r="G25" s="86">
        <f t="shared" ca="1" si="0"/>
        <v>1.8453291280174818E-2</v>
      </c>
      <c r="H25" s="86">
        <f t="shared" ca="1" si="1"/>
        <v>1.8281414232702509E-2</v>
      </c>
      <c r="I25" s="490">
        <f t="shared" ca="1" si="2"/>
        <v>34861.084740139675</v>
      </c>
      <c r="J25">
        <f ca="1">IF(OR('תנאי סף'!AL25&lt;&gt;1,B25="",F25&lt;0,ISERR(F25/3)),0,1)</f>
        <v>1</v>
      </c>
    </row>
    <row r="26" spans="1:10" x14ac:dyDescent="0.2">
      <c r="A26" s="48">
        <f>'התחשיב הבסיסי'!A26</f>
        <v>16</v>
      </c>
      <c r="B26" s="30" t="str">
        <f ca="1">'התחשיב הבסיסי'!B26</f>
        <v/>
      </c>
      <c r="C26" s="16" t="str">
        <f ca="1">'התחשיב הבסיסי'!K26</f>
        <v/>
      </c>
      <c r="D26" s="552">
        <f>'סיכום לועדה- הזנת נתונים'!O46</f>
        <v>0</v>
      </c>
      <c r="E26" s="342"/>
      <c r="F26" s="16" t="str">
        <f t="shared" ca="1" si="3"/>
        <v/>
      </c>
      <c r="G26" s="86" t="str">
        <f t="shared" ca="1" si="0"/>
        <v/>
      </c>
      <c r="H26" s="86" t="str">
        <f t="shared" ca="1" si="1"/>
        <v/>
      </c>
      <c r="I26" s="490" t="str">
        <f t="shared" ca="1" si="2"/>
        <v/>
      </c>
      <c r="J26">
        <f ca="1">IF(OR('תנאי סף'!AL26&lt;&gt;1,B26="",F26&lt;0,ISERR(F26/3)),0,1)</f>
        <v>0</v>
      </c>
    </row>
    <row r="27" spans="1:10" x14ac:dyDescent="0.2">
      <c r="A27" s="48">
        <f>'התחשיב הבסיסי'!A27</f>
        <v>17</v>
      </c>
      <c r="B27" s="30" t="str">
        <f ca="1">'התחשיב הבסיסי'!B27</f>
        <v>הכיוון מזרח (עמותת אחותי)</v>
      </c>
      <c r="C27" s="16">
        <f ca="1">'התחשיב הבסיסי'!K27</f>
        <v>3.1427375266354585E-2</v>
      </c>
      <c r="D27" s="552">
        <f>'סיכום לועדה- הזנת נתונים'!O47</f>
        <v>134434</v>
      </c>
      <c r="E27" s="342">
        <v>0</v>
      </c>
      <c r="F27" s="16">
        <f t="shared" ca="1" si="3"/>
        <v>7.0498197611428726E-2</v>
      </c>
      <c r="G27" s="86">
        <f t="shared" ca="1" si="0"/>
        <v>5.0962786438891655E-2</v>
      </c>
      <c r="H27" s="86">
        <f t="shared" ca="1" si="1"/>
        <v>5.0488110505417988E-2</v>
      </c>
      <c r="I27" s="490">
        <f t="shared" ca="1" si="2"/>
        <v>96276.484756328631</v>
      </c>
      <c r="J27">
        <f ca="1">IF(OR('תנאי סף'!AL27&lt;&gt;1,B27="",F27&lt;0,ISERR(F27/3)),0,1)</f>
        <v>1</v>
      </c>
    </row>
    <row r="28" spans="1:10" x14ac:dyDescent="0.2">
      <c r="A28" s="48">
        <f>'התחשיב הבסיסי'!A28</f>
        <v>18</v>
      </c>
      <c r="B28" s="30" t="str">
        <f ca="1">'התחשיב הבסיסי'!B28</f>
        <v/>
      </c>
      <c r="C28" s="16" t="str">
        <f ca="1">'התחשיב הבסיסי'!K28</f>
        <v/>
      </c>
      <c r="D28" s="552">
        <f>'סיכום לועדה- הזנת נתונים'!O48</f>
        <v>0</v>
      </c>
      <c r="E28" s="342"/>
      <c r="F28" s="16" t="str">
        <f t="shared" ca="1" si="3"/>
        <v/>
      </c>
      <c r="G28" s="86" t="str">
        <f t="shared" ca="1" si="0"/>
        <v/>
      </c>
      <c r="H28" s="86" t="str">
        <f t="shared" ca="1" si="1"/>
        <v/>
      </c>
      <c r="I28" s="490" t="str">
        <f t="shared" ca="1" si="2"/>
        <v/>
      </c>
      <c r="J28">
        <f ca="1">IF(OR('תנאי סף'!AL28&lt;&gt;1,B28="",F28&lt;0,ISERR(F28/3)),0,1)</f>
        <v>0</v>
      </c>
    </row>
    <row r="29" spans="1:10" x14ac:dyDescent="0.2">
      <c r="A29" s="48">
        <f>'התחשיב הבסיסי'!A29</f>
        <v>19</v>
      </c>
      <c r="B29" s="30" t="str">
        <f ca="1">'התחשיב הבסיסי'!B29</f>
        <v>הו</v>
      </c>
      <c r="C29" s="16">
        <f ca="1">'התחשיב הבסיסי'!K29</f>
        <v>4.1668565039730779E-2</v>
      </c>
      <c r="D29" s="552">
        <f>'סיכום לועדה- הזנת נתונים'!O49</f>
        <v>118619</v>
      </c>
      <c r="E29" s="342">
        <v>0</v>
      </c>
      <c r="F29" s="16">
        <f t="shared" ca="1" si="3"/>
        <v>6.2204693027582789E-2</v>
      </c>
      <c r="G29" s="86">
        <f t="shared" ca="1" si="0"/>
        <v>5.1936629033656784E-2</v>
      </c>
      <c r="H29" s="86">
        <f t="shared" ca="1" si="1"/>
        <v>5.1452882567054381E-2</v>
      </c>
      <c r="I29" s="490">
        <f t="shared" ca="1" si="2"/>
        <v>98116.222107471942</v>
      </c>
      <c r="J29">
        <f ca="1">IF(OR('תנאי סף'!AL29&lt;&gt;1,B29="",F29&lt;0,ISERR(F29/3)),0,1)</f>
        <v>1</v>
      </c>
    </row>
    <row r="30" spans="1:10" x14ac:dyDescent="0.2">
      <c r="A30" s="48">
        <f>'התחשיב הבסיסי'!A30</f>
        <v>20</v>
      </c>
      <c r="B30" s="30" t="str">
        <f ca="1">'התחשיב הבסיסי'!B30</f>
        <v>הבא להבא (עמותת מקום לשירה)</v>
      </c>
      <c r="C30" s="16">
        <f ca="1">'התחשיב הבסיסי'!K30</f>
        <v>4.7288088609520246E-2</v>
      </c>
      <c r="D30" s="552">
        <f>'סיכום לועדה- הזנת נתונים'!O50</f>
        <v>59960</v>
      </c>
      <c r="E30" s="342"/>
      <c r="F30" s="16">
        <f t="shared" ca="1" si="3"/>
        <v>3.1443473591362799E-2</v>
      </c>
      <c r="G30" s="86">
        <f t="shared" ca="1" si="0"/>
        <v>3.9365781100441519E-2</v>
      </c>
      <c r="H30" s="86">
        <f t="shared" ca="1" si="1"/>
        <v>3.8999121618170506E-2</v>
      </c>
      <c r="I30" s="490">
        <f t="shared" ca="1" si="2"/>
        <v>74367.971001391998</v>
      </c>
      <c r="J30">
        <f ca="1">IF(OR('תנאי סף'!AL30&lt;&gt;1,B30="",F30&lt;0,ISERR(F30/3)),0,1)</f>
        <v>1</v>
      </c>
    </row>
    <row r="31" spans="1:10" x14ac:dyDescent="0.2">
      <c r="A31" s="48">
        <f>'התחשיב הבסיסי'!A31</f>
        <v>21</v>
      </c>
      <c r="B31" s="30" t="str">
        <f ca="1">'התחשיב הבסיסי'!B31</f>
        <v>היסטוריה (החברה ההיסטורית הישרא</v>
      </c>
      <c r="C31" s="16">
        <f ca="1">'התחשיב הבסיסי'!K31</f>
        <v>2.7091215920211992E-2</v>
      </c>
      <c r="D31" s="552">
        <f>'סיכום לועדה- הזנת נתונים'!O51</f>
        <v>49832</v>
      </c>
      <c r="E31" s="342">
        <v>0</v>
      </c>
      <c r="F31" s="16">
        <f t="shared" ca="1" si="3"/>
        <v>2.6132274449712993E-2</v>
      </c>
      <c r="G31" s="86">
        <f t="shared" ca="1" si="0"/>
        <v>2.6611745184962492E-2</v>
      </c>
      <c r="H31" s="86">
        <f t="shared" ca="1" si="1"/>
        <v>2.6363878930589172E-2</v>
      </c>
      <c r="I31" s="490">
        <f t="shared" ca="1" si="2"/>
        <v>50273.649827045519</v>
      </c>
      <c r="J31">
        <f ca="1">IF(OR('תנאי סף'!AL31&lt;&gt;1,B31="",F31&lt;0,ISERR(F31/3)),0,1)</f>
        <v>1</v>
      </c>
    </row>
    <row r="32" spans="1:10" x14ac:dyDescent="0.2">
      <c r="A32" s="48">
        <f>'התחשיב הבסיסי'!A32</f>
        <v>22</v>
      </c>
      <c r="B32" s="30" t="str">
        <f ca="1">'התחשיב הבסיסי'!B32</f>
        <v>מחול עכשיו (תמונע)</v>
      </c>
      <c r="C32" s="16">
        <f ca="1">'התחשיב הבסיסי'!K32</f>
        <v>3.8696200507512213E-2</v>
      </c>
      <c r="D32" s="552">
        <f>'סיכום לועדה- הזנת נתונים'!O52</f>
        <v>52302</v>
      </c>
      <c r="E32" s="342"/>
      <c r="F32" s="16">
        <f t="shared" ca="1" si="3"/>
        <v>2.7427560970237776E-2</v>
      </c>
      <c r="G32" s="86">
        <f t="shared" ca="1" si="0"/>
        <v>3.3061880738874991E-2</v>
      </c>
      <c r="H32" s="86">
        <f t="shared" ca="1" si="1"/>
        <v>3.2753936841008684E-2</v>
      </c>
      <c r="I32" s="490">
        <f t="shared" ca="1" si="2"/>
        <v>62458.940717235237</v>
      </c>
      <c r="J32">
        <f ca="1">IF(OR('תנאי סף'!AL32&lt;&gt;1,B32="",F32&lt;0,ISERR(F32/3)),0,1)</f>
        <v>1</v>
      </c>
    </row>
    <row r="33" spans="1:10" x14ac:dyDescent="0.2">
      <c r="A33" s="48">
        <f>'התחשיב הבסיסי'!A33</f>
        <v>23</v>
      </c>
      <c r="B33" s="30" t="str">
        <f ca="1">'התחשיב הבסיסי'!B33</f>
        <v>קול אישה שירה (תואר)</v>
      </c>
      <c r="C33" s="16">
        <f ca="1">'התחשיב הבסיסי'!K33</f>
        <v>5.8414555556550264E-2</v>
      </c>
      <c r="D33" s="552">
        <f>'סיכום לועדה- הזנת נתונים'!O53</f>
        <v>60000</v>
      </c>
      <c r="E33" s="342">
        <v>0</v>
      </c>
      <c r="F33" s="16">
        <f t="shared" ca="1" si="3"/>
        <v>3.1464449891290325E-2</v>
      </c>
      <c r="G33" s="86">
        <f t="shared" ca="1" si="0"/>
        <v>4.4939502723920291E-2</v>
      </c>
      <c r="H33" s="86">
        <f t="shared" ca="1" si="1"/>
        <v>4.4520928664377887E-2</v>
      </c>
      <c r="I33" s="490">
        <f t="shared" ca="1" si="2"/>
        <v>84897.582163103492</v>
      </c>
      <c r="J33">
        <f ca="1">IF(OR('תנאי סף'!AL33&lt;&gt;1,B33="",F33&lt;0,ISERR(F33/3)),0,1)</f>
        <v>1</v>
      </c>
    </row>
    <row r="34" spans="1:10" x14ac:dyDescent="0.2">
      <c r="A34" s="48">
        <f>'התחשיב הבסיסי'!A34</f>
        <v>24</v>
      </c>
      <c r="B34" s="30" t="str">
        <f ca="1">'התחשיב הבסיסי'!B34</f>
        <v>האיגוד העולמי למדעי היהדות</v>
      </c>
      <c r="C34" s="16">
        <f ca="1">'התחשיב הבסיסי'!K34</f>
        <v>3.5346583409297305E-2</v>
      </c>
      <c r="D34" s="552">
        <f>'סיכום לועדה- הזנת נתונים'!O54</f>
        <v>62879</v>
      </c>
      <c r="E34" s="342">
        <v>0</v>
      </c>
      <c r="F34" s="16">
        <f t="shared" ca="1" si="3"/>
        <v>3.297421907857407E-2</v>
      </c>
      <c r="G34" s="86">
        <f t="shared" ca="1" si="0"/>
        <v>3.4160401243935684E-2</v>
      </c>
      <c r="H34" s="86">
        <f t="shared" ca="1" si="1"/>
        <v>3.384222554199004E-2</v>
      </c>
      <c r="I34" s="490">
        <f t="shared" ca="1" si="2"/>
        <v>64534.213677178392</v>
      </c>
      <c r="J34">
        <f ca="1">IF(OR('תנאי סף'!AL34&lt;&gt;1,B34="",F34&lt;0,ISERR(F34/3)),0,1)</f>
        <v>1</v>
      </c>
    </row>
    <row r="35" spans="1:10" x14ac:dyDescent="0.2">
      <c r="A35" s="48">
        <f>'התחשיב הבסיסי'!A35</f>
        <v>25</v>
      </c>
      <c r="B35" s="30" t="str">
        <f ca="1">'התחשיב הבסיסי'!B35</f>
        <v/>
      </c>
      <c r="C35" s="16" t="str">
        <f ca="1">'התחשיב הבסיסי'!K35</f>
        <v/>
      </c>
      <c r="D35" s="552">
        <f>'סיכום לועדה- הזנת נתונים'!O55</f>
        <v>0</v>
      </c>
      <c r="E35" s="342"/>
      <c r="F35" s="16" t="str">
        <f t="shared" ca="1" si="3"/>
        <v/>
      </c>
      <c r="G35" s="86" t="str">
        <f t="shared" ca="1" si="0"/>
        <v/>
      </c>
      <c r="H35" s="86" t="str">
        <f t="shared" ca="1" si="1"/>
        <v/>
      </c>
      <c r="I35" s="490" t="str">
        <f t="shared" ca="1" si="2"/>
        <v/>
      </c>
      <c r="J35">
        <f ca="1">IF(OR('תנאי סף'!AL35&lt;&gt;1,B35="",F35&lt;0,ISERR(F35/3)),0,1)</f>
        <v>0</v>
      </c>
    </row>
    <row r="36" spans="1:10" x14ac:dyDescent="0.2">
      <c r="A36" s="48">
        <f>'התחשיב הבסיסי'!A36</f>
        <v>26</v>
      </c>
      <c r="B36" s="30" t="str">
        <f ca="1">'התחשיב הבסיסי'!B36</f>
        <v/>
      </c>
      <c r="C36" s="16" t="str">
        <f ca="1">'התחשיב הבסיסי'!K36</f>
        <v/>
      </c>
      <c r="D36" s="552">
        <f>'סיכום לועדה- הזנת נתונים'!O56</f>
        <v>0</v>
      </c>
      <c r="E36" s="342"/>
      <c r="F36" s="16" t="str">
        <f t="shared" ca="1" si="3"/>
        <v/>
      </c>
      <c r="G36" s="86" t="str">
        <f t="shared" ca="1" si="0"/>
        <v/>
      </c>
      <c r="H36" s="86" t="str">
        <f t="shared" ca="1" si="1"/>
        <v/>
      </c>
      <c r="I36" s="490" t="str">
        <f t="shared" ca="1" si="2"/>
        <v/>
      </c>
      <c r="J36">
        <f ca="1">IF(OR('תנאי סף'!AL36&lt;&gt;1,B36="",F36&lt;0,ISERR(F36/3)),0,1)</f>
        <v>0</v>
      </c>
    </row>
    <row r="37" spans="1:10" x14ac:dyDescent="0.2">
      <c r="A37" s="48">
        <f>'התחשיב הבסיסי'!A37</f>
        <v>27</v>
      </c>
      <c r="B37" s="30" t="str">
        <f ca="1">'התחשיב הבסיסי'!B37</f>
        <v/>
      </c>
      <c r="C37" s="16" t="str">
        <f ca="1">'התחשיב הבסיסי'!K37</f>
        <v/>
      </c>
      <c r="D37" s="552">
        <f>'סיכום לועדה- הזנת נתונים'!O57</f>
        <v>0</v>
      </c>
      <c r="E37" s="342"/>
      <c r="F37" s="16" t="str">
        <f t="shared" ca="1" si="3"/>
        <v/>
      </c>
      <c r="G37" s="86" t="str">
        <f t="shared" ca="1" si="0"/>
        <v/>
      </c>
      <c r="H37" s="86" t="str">
        <f t="shared" ca="1" si="1"/>
        <v/>
      </c>
      <c r="I37" s="490" t="str">
        <f t="shared" ca="1" si="2"/>
        <v/>
      </c>
      <c r="J37">
        <f ca="1">IF(OR('תנאי סף'!AL37&lt;&gt;1,B37="",F37&lt;0,ISERR(F37/3)),0,1)</f>
        <v>0</v>
      </c>
    </row>
    <row r="38" spans="1:10" x14ac:dyDescent="0.2">
      <c r="A38" s="48">
        <f>'התחשיב הבסיסי'!A38</f>
        <v>28</v>
      </c>
      <c r="B38" s="30" t="str">
        <f ca="1">'התחשיב הבסיסי'!B38</f>
        <v/>
      </c>
      <c r="C38" s="16" t="str">
        <f ca="1">'התחשיב הבסיסי'!K38</f>
        <v/>
      </c>
      <c r="D38" s="552">
        <f>'סיכום לועדה- הזנת נתונים'!O58</f>
        <v>0</v>
      </c>
      <c r="E38" s="342"/>
      <c r="F38" s="16" t="str">
        <f t="shared" ca="1" si="3"/>
        <v/>
      </c>
      <c r="G38" s="86" t="str">
        <f t="shared" ca="1" si="0"/>
        <v/>
      </c>
      <c r="H38" s="86" t="str">
        <f t="shared" ca="1" si="1"/>
        <v/>
      </c>
      <c r="I38" s="490" t="str">
        <f t="shared" ca="1" si="2"/>
        <v/>
      </c>
      <c r="J38">
        <f ca="1">IF(OR('תנאי סף'!AL38&lt;&gt;1,B38="",F38&lt;0,ISERR(F38/3)),0,1)</f>
        <v>0</v>
      </c>
    </row>
    <row r="39" spans="1:10" x14ac:dyDescent="0.2">
      <c r="A39" s="48">
        <f>'התחשיב הבסיסי'!A39</f>
        <v>29</v>
      </c>
      <c r="B39" s="30" t="str">
        <f ca="1">'התחשיב הבסיסי'!B39</f>
        <v>גופא (נתיב האומן )</v>
      </c>
      <c r="C39" s="16">
        <f ca="1">'התחשיב הבסיסי'!K39</f>
        <v>2.5514147307993552E-2</v>
      </c>
      <c r="D39" s="552">
        <f>'סיכום לועדה- הזנת נתונים'!O59</f>
        <v>39915</v>
      </c>
      <c r="E39" s="342">
        <v>0</v>
      </c>
      <c r="F39" s="16">
        <f t="shared" ca="1" si="3"/>
        <v>2.0931725290180888E-2</v>
      </c>
      <c r="G39" s="86">
        <f t="shared" ca="1" si="0"/>
        <v>2.322293629908722E-2</v>
      </c>
      <c r="H39" s="86">
        <f t="shared" ca="1" si="1"/>
        <v>2.3006633978589368E-2</v>
      </c>
      <c r="I39" s="490">
        <f t="shared" ca="1" si="2"/>
        <v>43871.672426647769</v>
      </c>
      <c r="J39">
        <f ca="1">IF(OR('תנאי סף'!AL39&lt;&gt;1,B39="",F39&lt;0,ISERR(F39/3)),0,1)</f>
        <v>1</v>
      </c>
    </row>
    <row r="40" spans="1:10" x14ac:dyDescent="0.2">
      <c r="A40" s="48">
        <f>'התחשיב הבסיסי'!A40</f>
        <v>30</v>
      </c>
      <c r="B40" s="30" t="str">
        <f ca="1">'התחשיב הבסיסי'!B40</f>
        <v>ערב רב (בר קיימא)</v>
      </c>
      <c r="C40" s="16">
        <f ca="1">'התחשיב הבסיסי'!K40</f>
        <v>3.3602438884128782E-2</v>
      </c>
      <c r="D40" s="552">
        <f>'סיכום לועדה- הזנת נתונים'!O60</f>
        <v>66237</v>
      </c>
      <c r="E40" s="342">
        <v>0</v>
      </c>
      <c r="F40" s="16">
        <f t="shared" ca="1" si="3"/>
        <v>3.4735179457489954E-2</v>
      </c>
      <c r="G40" s="86">
        <f t="shared" ca="1" si="0"/>
        <v>3.4168809170809368E-2</v>
      </c>
      <c r="H40" s="86">
        <f t="shared" ca="1" si="1"/>
        <v>3.3850555156023782E-2</v>
      </c>
      <c r="I40" s="490">
        <f t="shared" ca="1" si="2"/>
        <v>64550.097534793931</v>
      </c>
      <c r="J40">
        <f ca="1">IF(OR('תנאי סף'!AL40&lt;&gt;1,B40="",F40&lt;0,ISERR(F40/3)),0,1)</f>
        <v>1</v>
      </c>
    </row>
    <row r="41" spans="1:10" x14ac:dyDescent="0.2">
      <c r="A41" s="48">
        <f>'התחשיב הבסיסי'!A41</f>
        <v>31</v>
      </c>
      <c r="B41" s="30" t="str">
        <f ca="1">'התחשיב הבסיסי'!B41</f>
        <v/>
      </c>
      <c r="C41" s="16" t="str">
        <f ca="1">'התחשיב הבסיסי'!K41</f>
        <v/>
      </c>
      <c r="D41" s="552">
        <f>'סיכום לועדה- הזנת נתונים'!O61</f>
        <v>0</v>
      </c>
      <c r="E41" s="342"/>
      <c r="F41" s="16" t="str">
        <f t="shared" ca="1" si="3"/>
        <v/>
      </c>
      <c r="G41" s="86" t="str">
        <f t="shared" ca="1" si="0"/>
        <v/>
      </c>
      <c r="H41" s="86" t="str">
        <f t="shared" ca="1" si="1"/>
        <v/>
      </c>
      <c r="I41" s="490" t="str">
        <f t="shared" ca="1" si="2"/>
        <v/>
      </c>
      <c r="J41">
        <f ca="1">IF(OR('תנאי סף'!AL41&lt;&gt;1,B41="",F41&lt;0,ISERR(F41/3)),0,1)</f>
        <v>0</v>
      </c>
    </row>
    <row r="42" spans="1:10" x14ac:dyDescent="0.2">
      <c r="A42" s="48">
        <f>'התחשיב הבסיסי'!A42</f>
        <v>32</v>
      </c>
      <c r="B42" s="30" t="str">
        <f ca="1">'התחשיב הבסיסי'!B42</f>
        <v>מעלה</v>
      </c>
      <c r="C42" s="16">
        <f ca="1">'התחשיב הבסיסי'!K42</f>
        <v>8.2637478298672878E-2</v>
      </c>
      <c r="D42" s="552">
        <f>'סיכום לועדה- הזנת נתונים'!O62</f>
        <v>80000</v>
      </c>
      <c r="E42" s="342">
        <v>0</v>
      </c>
      <c r="F42" s="16">
        <f t="shared" ca="1" si="3"/>
        <v>4.1952599855053764E-2</v>
      </c>
      <c r="G42" s="86">
        <f t="shared" ca="1" si="0"/>
        <v>6.2295039076863318E-2</v>
      </c>
      <c r="H42" s="86">
        <f t="shared" ca="1" si="1"/>
        <v>6.1714812643207745E-2</v>
      </c>
      <c r="I42" s="490">
        <f t="shared" ca="1" si="2"/>
        <v>117684.84023670986</v>
      </c>
      <c r="J42">
        <f ca="1">IF(OR('תנאי סף'!AL42&lt;&gt;1,B42="",F42&lt;0,ISERR(F42/3)),0,1)</f>
        <v>1</v>
      </c>
    </row>
    <row r="43" spans="1:10" x14ac:dyDescent="0.2">
      <c r="A43" s="48">
        <f>'התחשיב הבסיסי'!A43</f>
        <v>33</v>
      </c>
      <c r="B43" s="30" t="str">
        <f ca="1">'התחשיב הבסיסי'!B43</f>
        <v/>
      </c>
      <c r="C43" s="16" t="str">
        <f ca="1">'התחשיב הבסיסי'!K43</f>
        <v/>
      </c>
      <c r="D43" s="552">
        <f>'סיכום לועדה- הזנת נתונים'!O63</f>
        <v>0</v>
      </c>
      <c r="E43" s="342"/>
      <c r="F43" s="16" t="str">
        <f t="shared" ca="1" si="3"/>
        <v/>
      </c>
      <c r="G43" s="86" t="str">
        <f t="shared" ca="1" si="0"/>
        <v/>
      </c>
      <c r="H43" s="86" t="str">
        <f t="shared" ca="1" si="1"/>
        <v/>
      </c>
      <c r="I43" s="490" t="str">
        <f t="shared" ca="1" si="2"/>
        <v/>
      </c>
      <c r="J43">
        <f ca="1">IF(OR('תנאי סף'!AL43&lt;&gt;1,B43="",F43&lt;0,ISERR(F43/3)),0,1)</f>
        <v>0</v>
      </c>
    </row>
    <row r="44" spans="1:10" x14ac:dyDescent="0.2">
      <c r="A44" s="48">
        <f>'התחשיב הבסיסי'!A44</f>
        <v>34</v>
      </c>
      <c r="B44" s="30" t="str">
        <f ca="1">'התחשיב הבסיסי'!B44</f>
        <v>כתב עת ירושלמי</v>
      </c>
      <c r="C44" s="16">
        <f ca="1">'התחשיב הבסיסי'!K44</f>
        <v>2.8964604389268955E-2</v>
      </c>
      <c r="D44" s="552">
        <f>'סיכום לועדה- הזנת נתונים'!O64</f>
        <v>65526</v>
      </c>
      <c r="E44" s="342">
        <v>0</v>
      </c>
      <c r="F44" s="16">
        <f t="shared" ca="1" si="3"/>
        <v>3.4362325726278162E-2</v>
      </c>
      <c r="G44" s="86">
        <f t="shared" ca="1" si="0"/>
        <v>3.1663465057773559E-2</v>
      </c>
      <c r="H44" s="86">
        <f t="shared" ca="1" si="1"/>
        <v>3.1368546237914061E-2</v>
      </c>
      <c r="I44" s="490">
        <f t="shared" ca="1" si="2"/>
        <v>59817.119980725656</v>
      </c>
      <c r="J44">
        <f ca="1">IF(OR('תנאי סף'!AL44&lt;&gt;1,B44="",F44&lt;0,ISERR(F44/3)),0,1)</f>
        <v>1</v>
      </c>
    </row>
    <row r="45" spans="1:10" x14ac:dyDescent="0.2">
      <c r="A45" s="48">
        <f>'התחשיב הבסיסי'!A45</f>
        <v>35</v>
      </c>
      <c r="B45" s="30" t="str">
        <f ca="1">'התחשיב הבסיסי'!B45</f>
        <v/>
      </c>
      <c r="C45" s="16" t="str">
        <f ca="1">'התחשיב הבסיסי'!K45</f>
        <v/>
      </c>
      <c r="D45" s="552">
        <f>'סיכום לועדה- הזנת נתונים'!O65</f>
        <v>0</v>
      </c>
      <c r="E45" s="342"/>
      <c r="F45" s="16" t="str">
        <f t="shared" ca="1" si="3"/>
        <v/>
      </c>
      <c r="G45" s="86" t="str">
        <f t="shared" ca="1" si="0"/>
        <v/>
      </c>
      <c r="H45" s="86" t="str">
        <f t="shared" ca="1" si="1"/>
        <v/>
      </c>
      <c r="I45" s="490" t="str">
        <f t="shared" ca="1" si="2"/>
        <v/>
      </c>
      <c r="J45">
        <f ca="1">IF(OR('תנאי סף'!AL45&lt;&gt;1,B45="",F45&lt;0,ISERR(F45/3)),0,1)</f>
        <v>0</v>
      </c>
    </row>
    <row r="46" spans="1:10" x14ac:dyDescent="0.2">
      <c r="A46" s="48">
        <f>'התחשיב הבסיסי'!A46</f>
        <v>36</v>
      </c>
      <c r="B46" s="30" t="str">
        <f ca="1">'התחשיב הבסיסי'!B46</f>
        <v>העמותה ליצירה פנטסטית- אוטופיה</v>
      </c>
      <c r="C46" s="16">
        <f ca="1">'התחשיב הבסיסי'!K46</f>
        <v>3.9780298211225348E-2</v>
      </c>
      <c r="D46" s="552">
        <f>'סיכום לועדה- הזנת נתונים'!O66</f>
        <v>0</v>
      </c>
      <c r="E46" s="342">
        <v>1</v>
      </c>
      <c r="F46" s="16">
        <f t="shared" ca="1" si="3"/>
        <v>0</v>
      </c>
      <c r="G46" s="86">
        <f t="shared" ca="1" si="0"/>
        <v>3.9780298211225348E-2</v>
      </c>
      <c r="H46" s="86">
        <f t="shared" ca="1" si="1"/>
        <v>3.9409777847117786E-2</v>
      </c>
      <c r="I46" s="490">
        <f t="shared" ca="1" si="2"/>
        <v>75151.057113558767</v>
      </c>
      <c r="J46">
        <f ca="1">IF(OR('תנאי סף'!AL46&lt;&gt;1,B46="",F46&lt;0,ISERR(F46/3)),0,1)</f>
        <v>1</v>
      </c>
    </row>
    <row r="47" spans="1:10" x14ac:dyDescent="0.2">
      <c r="A47" s="48">
        <f>'התחשיב הבסיסי'!A47</f>
        <v>37</v>
      </c>
      <c r="B47" s="30" t="str">
        <f ca="1">'התחשיב הבסיסי'!B47</f>
        <v/>
      </c>
      <c r="C47" s="16" t="str">
        <f ca="1">'התחשיב הבסיסי'!K47</f>
        <v/>
      </c>
      <c r="D47" s="552">
        <f>'סיכום לועדה- הזנת נתונים'!O67</f>
        <v>0</v>
      </c>
      <c r="E47" s="342"/>
      <c r="F47" s="16" t="str">
        <f t="shared" ca="1" si="3"/>
        <v/>
      </c>
      <c r="G47" s="86" t="str">
        <f t="shared" ca="1" si="0"/>
        <v/>
      </c>
      <c r="H47" s="86" t="str">
        <f t="shared" ca="1" si="1"/>
        <v/>
      </c>
      <c r="I47" s="490" t="str">
        <f t="shared" ca="1" si="2"/>
        <v/>
      </c>
      <c r="J47">
        <f ca="1">IF(OR('תנאי סף'!AL47&lt;&gt;1,B47="",F47&lt;0,ISERR(F47/3)),0,1)</f>
        <v>0</v>
      </c>
    </row>
    <row r="48" spans="1:10" x14ac:dyDescent="0.2">
      <c r="A48" s="48">
        <f>'התחשיב הבסיסי'!A48</f>
        <v>38</v>
      </c>
      <c r="B48" s="30" t="str">
        <f ca="1">'התחשיב הבסיסי'!B48</f>
        <v/>
      </c>
      <c r="C48" s="16" t="str">
        <f ca="1">'התחשיב הבסיסי'!K48</f>
        <v/>
      </c>
      <c r="D48" s="552">
        <f>'סיכום לועדה- הזנת נתונים'!O68</f>
        <v>0</v>
      </c>
      <c r="E48" s="342"/>
      <c r="F48" s="16" t="str">
        <f t="shared" ca="1" si="3"/>
        <v/>
      </c>
      <c r="G48" s="86" t="str">
        <f t="shared" ca="1" si="0"/>
        <v/>
      </c>
      <c r="H48" s="86" t="str">
        <f t="shared" ca="1" si="1"/>
        <v/>
      </c>
      <c r="I48" s="490" t="str">
        <f t="shared" ca="1" si="2"/>
        <v/>
      </c>
      <c r="J48">
        <f ca="1">IF(OR('תנאי סף'!AL48&lt;&gt;1,B48="",F48&lt;0,ISERR(F48/3)),0,1)</f>
        <v>0</v>
      </c>
    </row>
    <row r="49" spans="1:10" x14ac:dyDescent="0.2">
      <c r="A49" s="48">
        <f>'התחשיב הבסיסי'!A49</f>
        <v>39</v>
      </c>
      <c r="B49" s="30" t="str">
        <f ca="1">'התחשיב הבסיסי'!B49</f>
        <v/>
      </c>
      <c r="C49" s="16" t="str">
        <f ca="1">'התחשיב הבסיסי'!K49</f>
        <v/>
      </c>
      <c r="D49" s="552">
        <f>'סיכום לועדה- הזנת נתונים'!O69</f>
        <v>0</v>
      </c>
      <c r="E49" s="342"/>
      <c r="F49" s="16" t="str">
        <f t="shared" ca="1" si="3"/>
        <v/>
      </c>
      <c r="G49" s="86" t="str">
        <f t="shared" ca="1" si="0"/>
        <v/>
      </c>
      <c r="H49" s="86" t="str">
        <f t="shared" ca="1" si="1"/>
        <v/>
      </c>
      <c r="I49" s="490" t="str">
        <f t="shared" ca="1" si="2"/>
        <v/>
      </c>
      <c r="J49">
        <f ca="1">IF(OR('תנאי סף'!AL49&lt;&gt;1,B49="",F49&lt;0,ISERR(F49/3)),0,1)</f>
        <v>0</v>
      </c>
    </row>
    <row r="50" spans="1:10" ht="13.5" thickBot="1" x14ac:dyDescent="0.25">
      <c r="A50" s="48">
        <f>'התחשיב הבסיסי'!A50</f>
        <v>40</v>
      </c>
      <c r="B50" s="30" t="str">
        <f ca="1">'התחשיב הבסיסי'!B50</f>
        <v/>
      </c>
      <c r="C50" s="16" t="str">
        <f ca="1">'התחשיב הבסיסי'!K50</f>
        <v/>
      </c>
      <c r="D50" s="552">
        <f>'סיכום לועדה- הזנת נתונים'!O70</f>
        <v>0</v>
      </c>
      <c r="E50" s="342"/>
      <c r="F50" s="16" t="str">
        <f t="shared" ca="1" si="3"/>
        <v/>
      </c>
      <c r="G50" s="86" t="str">
        <f t="shared" ca="1" si="0"/>
        <v/>
      </c>
      <c r="H50" s="86" t="str">
        <f t="shared" ca="1" si="1"/>
        <v/>
      </c>
      <c r="I50" s="490" t="str">
        <f t="shared" ca="1" si="2"/>
        <v/>
      </c>
      <c r="J50">
        <f ca="1">IF(OR('תנאי סף'!AL50&lt;&gt;1,B50="",F50&lt;0,ISERR(F50/3)),0,1)</f>
        <v>0</v>
      </c>
    </row>
    <row r="51" spans="1:10" ht="14.25" thickTop="1" thickBot="1" x14ac:dyDescent="0.25">
      <c r="A51" s="629" t="s">
        <v>54</v>
      </c>
      <c r="B51" s="630"/>
      <c r="C51" s="11">
        <f ca="1">SUM(C11:C50)</f>
        <v>0.99999999999999989</v>
      </c>
      <c r="D51" s="87">
        <f>SUM(D11:D50)</f>
        <v>1866913</v>
      </c>
      <c r="E51" s="87"/>
      <c r="F51" s="461">
        <f ca="1">SUM(F11:F50)-SUMIF(B11:B50,"",F11:F50)</f>
        <v>0.97902317566497499</v>
      </c>
      <c r="G51" s="11">
        <f ca="1">SUM(G11:G50)</f>
        <v>1.0094017369381001</v>
      </c>
      <c r="H51" s="11">
        <f ca="1">SUM(H11:H50)</f>
        <v>1</v>
      </c>
      <c r="I51" s="491">
        <f ca="1">SUM(I11:I50)</f>
        <v>1906914</v>
      </c>
    </row>
    <row r="52" spans="1:10" ht="13.5" thickTop="1" x14ac:dyDescent="0.2"/>
  </sheetData>
  <sheetProtection algorithmName="SHA-512" hashValue="fUqzgijpLGUh/ZXALmxlCp3jlP3tX4mGngRAbpZrEtWPBIs1yMjs1IP3VDR/PlXuGOuLw+z2xdKDGf/hpiAVIw==" saltValue="wXsaX0RRojNkU1V4k0WCag==" spinCount="100000" sheet="1" objects="1" scenarios="1"/>
  <mergeCells count="2">
    <mergeCell ref="A51:B51"/>
    <mergeCell ref="A9:I9"/>
  </mergeCells>
  <phoneticPr fontId="24" type="noConversion"/>
  <conditionalFormatting sqref="E11:E50">
    <cfRule type="expression" dxfId="1011" priority="1" stopIfTrue="1">
      <formula>J11=0</formula>
    </cfRule>
  </conditionalFormatting>
  <dataValidations count="3">
    <dataValidation type="list" errorStyle="warning" operator="greaterThanOrEqual" allowBlank="1" showInputMessage="1" showErrorMessage="1" errorTitle="נתון לא חוקי" error="יש לוודא כי הוזן שם כתב העת_x000a__x000a_יש להזין סכום שאינו שלילי" sqref="E11:E50" xr:uid="{00000000-0002-0000-0C00-000000000000}">
      <formula1>"0,1"</formula1>
    </dataValidation>
    <dataValidation type="decimal" errorStyle="warning" operator="greaterThanOrEqual" allowBlank="1" showInputMessage="1" showErrorMessage="1" errorTitle="נתון לא חוקי" error="יש לוודא כי הוזן שם כתב העת_x000a__x000a_יש להזין שעור שאינו שלילי" sqref="F11:F50" xr:uid="{00000000-0002-0000-0C00-000001000000}">
      <formula1>0</formula1>
    </dataValidation>
    <dataValidation type="decimal" operator="greaterThanOrEqual" allowBlank="1" showInputMessage="1" showErrorMessage="1" errorTitle="נתון שגוי." error="ניתן להזין רק מספר גדול או שווה ל-0." sqref="D7:E7" xr:uid="{00000000-0002-0000-0C00-000002000000}">
      <formula1>0</formula1>
    </dataValidation>
  </dataValidations>
  <pageMargins left="0.27559055118110237" right="0.19685039370078741" top="0.51181102362204722" bottom="0.39370078740157483" header="0.15748031496062992" footer="0.19685039370078741"/>
  <pageSetup paperSize="9" scale="74" orientation="landscape" horizontalDpi="1200"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&amp;L&amp;"Arial,מודגש"&amp;12א. חפץ ושות'
יעוץ כלכלי&amp;Cעמוד &amp;P מתוך &amp;N&amp;R&amp;A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sheetPr>
  <dimension ref="A1:BG71"/>
  <sheetViews>
    <sheetView rightToLeft="1" view="pageBreakPreview" topLeftCell="B1" zoomScaleNormal="100" zoomScaleSheetLayoutView="100" workbookViewId="0">
      <selection activeCell="B1" sqref="B1"/>
    </sheetView>
  </sheetViews>
  <sheetFormatPr defaultColWidth="9" defaultRowHeight="15.75" x14ac:dyDescent="0.25"/>
  <cols>
    <col min="1" max="1" width="2" style="466" hidden="1" customWidth="1"/>
    <col min="2" max="2" width="8.85546875" style="466" customWidth="1"/>
    <col min="3" max="3" width="36" style="466" bestFit="1" customWidth="1"/>
    <col min="4" max="4" width="13.140625" style="466" customWidth="1"/>
    <col min="5" max="5" width="13.5703125" style="466" customWidth="1"/>
    <col min="6" max="6" width="25.85546875" style="466" customWidth="1"/>
    <col min="7" max="7" width="13.42578125" style="466" customWidth="1"/>
    <col min="8" max="46" width="14.28515625" style="466" hidden="1" customWidth="1"/>
    <col min="47" max="47" width="12.5703125" style="466" customWidth="1"/>
    <col min="48" max="48" width="15.7109375" style="466" bestFit="1" customWidth="1"/>
    <col min="49" max="59" width="9" style="466" hidden="1" customWidth="1"/>
    <col min="60" max="199" width="9" style="466" customWidth="1"/>
    <col min="200" max="16384" width="9" style="466"/>
  </cols>
  <sheetData>
    <row r="1" spans="2:52" ht="15.75" customHeight="1" x14ac:dyDescent="0.25">
      <c r="B1" s="464" t="str">
        <f>'[1]פרמטרים לעקרונות חישוב התמיכה'!$B$1</f>
        <v>שנה</v>
      </c>
      <c r="C1" s="465">
        <f>פרמטרים!C1</f>
        <v>2025</v>
      </c>
      <c r="AZ1" s="466" t="s">
        <v>86</v>
      </c>
    </row>
    <row r="2" spans="2:52" ht="19.5" thickBot="1" x14ac:dyDescent="0.3">
      <c r="B2" s="467" t="str">
        <f>'[1]פרמטרים לעקרונות חישוב התמיכה'!$B$2</f>
        <v>תקציב</v>
      </c>
      <c r="C2" s="468">
        <f>פרמטרים!C2</f>
        <v>1906914</v>
      </c>
    </row>
    <row r="3" spans="2:52" ht="15.75" customHeight="1" thickTop="1" thickBot="1" x14ac:dyDescent="0.3">
      <c r="C3" s="469" t="str">
        <f ca="1">IF(SUBTOTAL(102,B$31:B$70)=SUBTOTAL(2,B$31:B$70),"","ישנן שורות מוסתרות")</f>
        <v/>
      </c>
      <c r="F3" s="591" t="str">
        <f>פרמטרים!A26</f>
        <v>מנגנון ההגנה</v>
      </c>
      <c r="G3" s="592"/>
    </row>
    <row r="4" spans="2:52" ht="17.25" thickTop="1" thickBot="1" x14ac:dyDescent="0.3">
      <c r="F4" s="46" t="str">
        <f>פרמטרים!A27</f>
        <v>סעיף</v>
      </c>
      <c r="G4" s="47" t="str">
        <f>פרמטרים!B27</f>
        <v>ערך</v>
      </c>
    </row>
    <row r="5" spans="2:52" s="470" customFormat="1" ht="15.75" customHeight="1" x14ac:dyDescent="0.25">
      <c r="F5" s="114" t="str">
        <f>פרמטרים!A28</f>
        <v>שיעור פיחות מירבי בתמיכה</v>
      </c>
      <c r="G5" s="115">
        <f>פרמטרים!B28</f>
        <v>0.19999999999999996</v>
      </c>
    </row>
    <row r="6" spans="2:52" s="470" customFormat="1" ht="16.5" customHeight="1" thickBot="1" x14ac:dyDescent="0.3">
      <c r="F6" s="116" t="str">
        <f>פרמטרים!A29</f>
        <v>שיעור תמיכה מינימלי משנה קודמת</v>
      </c>
      <c r="G6" s="555">
        <f>פרמטרים!B29</f>
        <v>0.8</v>
      </c>
    </row>
    <row r="7" spans="2:52" s="470" customFormat="1" ht="6" customHeight="1" thickTop="1" thickBot="1" x14ac:dyDescent="0.3"/>
    <row r="8" spans="2:52" s="470" customFormat="1" ht="16.5" hidden="1" thickBot="1" x14ac:dyDescent="0.3"/>
    <row r="9" spans="2:52" s="470" customFormat="1" ht="16.5" hidden="1" thickBot="1" x14ac:dyDescent="0.3"/>
    <row r="10" spans="2:52" s="470" customFormat="1" ht="16.5" hidden="1" thickBot="1" x14ac:dyDescent="0.3"/>
    <row r="11" spans="2:52" s="470" customFormat="1" ht="16.5" hidden="1" thickBot="1" x14ac:dyDescent="0.3"/>
    <row r="12" spans="2:52" s="470" customFormat="1" ht="16.5" hidden="1" thickBot="1" x14ac:dyDescent="0.3"/>
    <row r="13" spans="2:52" s="470" customFormat="1" ht="16.5" hidden="1" thickBot="1" x14ac:dyDescent="0.3"/>
    <row r="14" spans="2:52" s="470" customFormat="1" ht="16.5" hidden="1" thickBot="1" x14ac:dyDescent="0.3"/>
    <row r="15" spans="2:52" s="470" customFormat="1" ht="16.5" hidden="1" thickBot="1" x14ac:dyDescent="0.3"/>
    <row r="16" spans="2:52" s="470" customFormat="1" ht="16.5" hidden="1" thickBot="1" x14ac:dyDescent="0.3"/>
    <row r="17" spans="2:56" s="470" customFormat="1" ht="16.5" hidden="1" thickBot="1" x14ac:dyDescent="0.3"/>
    <row r="18" spans="2:56" s="470" customFormat="1" ht="16.5" hidden="1" thickBot="1" x14ac:dyDescent="0.3"/>
    <row r="19" spans="2:56" s="470" customFormat="1" ht="16.5" hidden="1" thickBot="1" x14ac:dyDescent="0.3"/>
    <row r="20" spans="2:56" s="470" customFormat="1" ht="16.5" hidden="1" thickBot="1" x14ac:dyDescent="0.3"/>
    <row r="21" spans="2:56" s="470" customFormat="1" ht="16.5" hidden="1" thickBot="1" x14ac:dyDescent="0.3"/>
    <row r="22" spans="2:56" s="470" customFormat="1" ht="16.5" hidden="1" thickBot="1" x14ac:dyDescent="0.3"/>
    <row r="23" spans="2:56" s="470" customFormat="1" ht="16.5" hidden="1" thickBot="1" x14ac:dyDescent="0.3"/>
    <row r="24" spans="2:56" s="470" customFormat="1" ht="16.5" hidden="1" thickBot="1" x14ac:dyDescent="0.3"/>
    <row r="25" spans="2:56" s="470" customFormat="1" ht="16.5" hidden="1" thickBot="1" x14ac:dyDescent="0.3"/>
    <row r="26" spans="2:56" s="470" customFormat="1" ht="16.5" hidden="1" thickBot="1" x14ac:dyDescent="0.3"/>
    <row r="27" spans="2:56" s="470" customFormat="1" ht="16.5" hidden="1" thickBot="1" x14ac:dyDescent="0.3"/>
    <row r="28" spans="2:56" s="470" customFormat="1" ht="19.5" thickBot="1" x14ac:dyDescent="0.3">
      <c r="B28" s="471" t="str">
        <f ca="1">MID(CELL("filename",B27),FIND("]",CELL("filename",C27),1)+1,99)</f>
        <v>הגנה</v>
      </c>
      <c r="C28" s="472"/>
      <c r="D28" s="472"/>
      <c r="E28" s="472"/>
      <c r="F28" s="472"/>
      <c r="G28" s="472"/>
      <c r="H28" s="472"/>
      <c r="I28" s="472"/>
      <c r="J28" s="472"/>
      <c r="K28" s="472"/>
      <c r="L28" s="472"/>
      <c r="M28" s="472"/>
      <c r="N28" s="472"/>
      <c r="O28" s="472"/>
      <c r="P28" s="472"/>
      <c r="Q28" s="472"/>
      <c r="R28" s="472"/>
      <c r="S28" s="472"/>
      <c r="T28" s="472"/>
      <c r="U28" s="472"/>
      <c r="V28" s="472"/>
      <c r="W28" s="472"/>
      <c r="X28" s="472"/>
      <c r="Y28" s="472"/>
      <c r="Z28" s="472"/>
      <c r="AA28" s="472"/>
      <c r="AB28" s="472"/>
      <c r="AC28" s="472"/>
      <c r="AD28" s="472"/>
      <c r="AE28" s="472"/>
      <c r="AF28" s="472"/>
      <c r="AG28" s="472"/>
      <c r="AH28" s="472"/>
      <c r="AI28" s="472"/>
      <c r="AJ28" s="472"/>
      <c r="AK28" s="472"/>
      <c r="AL28" s="472"/>
      <c r="AM28" s="472"/>
      <c r="AN28" s="472"/>
      <c r="AO28" s="472"/>
      <c r="AP28" s="472"/>
      <c r="AQ28" s="472"/>
      <c r="AR28" s="472"/>
      <c r="AS28" s="472"/>
      <c r="AT28" s="472"/>
      <c r="AU28" s="472"/>
      <c r="AV28" s="473"/>
    </row>
    <row r="29" spans="2:56" s="470" customFormat="1" ht="72.75" customHeight="1" x14ac:dyDescent="0.25">
      <c r="B29" s="639" t="s">
        <v>102</v>
      </c>
      <c r="C29" s="641" t="s">
        <v>154</v>
      </c>
      <c r="D29" s="643" t="s">
        <v>155</v>
      </c>
      <c r="E29" s="643" t="s">
        <v>156</v>
      </c>
      <c r="F29" s="553" t="s">
        <v>157</v>
      </c>
      <c r="G29" s="643" t="s">
        <v>158</v>
      </c>
      <c r="H29" s="643" t="s">
        <v>159</v>
      </c>
      <c r="I29" s="643" t="s">
        <v>160</v>
      </c>
      <c r="J29" s="643" t="s">
        <v>161</v>
      </c>
      <c r="K29" s="645" t="s">
        <v>162</v>
      </c>
      <c r="L29" s="645" t="s">
        <v>163</v>
      </c>
      <c r="M29" s="645" t="s">
        <v>164</v>
      </c>
      <c r="N29" s="645" t="s">
        <v>165</v>
      </c>
      <c r="O29" s="645" t="s">
        <v>166</v>
      </c>
      <c r="P29" s="645" t="s">
        <v>167</v>
      </c>
      <c r="Q29" s="645" t="s">
        <v>168</v>
      </c>
      <c r="R29" s="645" t="s">
        <v>169</v>
      </c>
      <c r="S29" s="645" t="s">
        <v>170</v>
      </c>
      <c r="T29" s="645" t="s">
        <v>171</v>
      </c>
      <c r="U29" s="645" t="s">
        <v>172</v>
      </c>
      <c r="V29" s="645" t="s">
        <v>173</v>
      </c>
      <c r="W29" s="645" t="s">
        <v>174</v>
      </c>
      <c r="X29" s="645" t="s">
        <v>175</v>
      </c>
      <c r="Y29" s="645" t="s">
        <v>176</v>
      </c>
      <c r="Z29" s="645" t="s">
        <v>177</v>
      </c>
      <c r="AA29" s="645" t="s">
        <v>178</v>
      </c>
      <c r="AB29" s="645" t="s">
        <v>179</v>
      </c>
      <c r="AC29" s="645" t="s">
        <v>180</v>
      </c>
      <c r="AD29" s="645" t="s">
        <v>181</v>
      </c>
      <c r="AE29" s="645" t="s">
        <v>182</v>
      </c>
      <c r="AF29" s="645" t="s">
        <v>183</v>
      </c>
      <c r="AG29" s="645" t="s">
        <v>184</v>
      </c>
      <c r="AH29" s="645" t="s">
        <v>185</v>
      </c>
      <c r="AI29" s="645" t="s">
        <v>186</v>
      </c>
      <c r="AJ29" s="645" t="s">
        <v>187</v>
      </c>
      <c r="AK29" s="645" t="s">
        <v>188</v>
      </c>
      <c r="AL29" s="645" t="s">
        <v>189</v>
      </c>
      <c r="AM29" s="645" t="s">
        <v>190</v>
      </c>
      <c r="AN29" s="645" t="s">
        <v>191</v>
      </c>
      <c r="AO29" s="645" t="s">
        <v>192</v>
      </c>
      <c r="AP29" s="645" t="s">
        <v>193</v>
      </c>
      <c r="AQ29" s="645" t="s">
        <v>194</v>
      </c>
      <c r="AR29" s="645" t="s">
        <v>195</v>
      </c>
      <c r="AS29" s="645" t="s">
        <v>196</v>
      </c>
      <c r="AT29" s="645" t="s">
        <v>197</v>
      </c>
      <c r="AU29" s="643" t="s">
        <v>198</v>
      </c>
      <c r="AV29" s="647" t="s">
        <v>199</v>
      </c>
    </row>
    <row r="30" spans="2:56" s="470" customFormat="1" ht="16.5" thickBot="1" x14ac:dyDescent="0.3">
      <c r="B30" s="640"/>
      <c r="C30" s="642"/>
      <c r="D30" s="644"/>
      <c r="E30" s="644"/>
      <c r="F30" s="554" t="s">
        <v>200</v>
      </c>
      <c r="G30" s="644"/>
      <c r="H30" s="644"/>
      <c r="I30" s="644"/>
      <c r="J30" s="644"/>
      <c r="K30" s="646"/>
      <c r="L30" s="646"/>
      <c r="M30" s="646"/>
      <c r="N30" s="646"/>
      <c r="O30" s="646"/>
      <c r="P30" s="646"/>
      <c r="Q30" s="646"/>
      <c r="R30" s="646"/>
      <c r="S30" s="646"/>
      <c r="T30" s="646"/>
      <c r="U30" s="646"/>
      <c r="V30" s="646"/>
      <c r="W30" s="646"/>
      <c r="X30" s="646"/>
      <c r="Y30" s="646"/>
      <c r="Z30" s="646"/>
      <c r="AA30" s="646"/>
      <c r="AB30" s="646"/>
      <c r="AC30" s="646"/>
      <c r="AD30" s="646"/>
      <c r="AE30" s="646"/>
      <c r="AF30" s="646"/>
      <c r="AG30" s="646"/>
      <c r="AH30" s="646"/>
      <c r="AI30" s="646"/>
      <c r="AJ30" s="646"/>
      <c r="AK30" s="646"/>
      <c r="AL30" s="646"/>
      <c r="AM30" s="646"/>
      <c r="AN30" s="646"/>
      <c r="AO30" s="646"/>
      <c r="AP30" s="646"/>
      <c r="AQ30" s="646"/>
      <c r="AR30" s="646"/>
      <c r="AS30" s="646"/>
      <c r="AT30" s="646"/>
      <c r="AU30" s="644"/>
      <c r="AV30" s="648"/>
      <c r="BA30" s="474">
        <v>0</v>
      </c>
      <c r="BB30" s="474">
        <v>1</v>
      </c>
      <c r="BD30" s="470" t="s">
        <v>201</v>
      </c>
    </row>
    <row r="31" spans="2:56" s="470" customFormat="1" x14ac:dyDescent="0.25">
      <c r="B31" s="475">
        <f t="shared" ref="B31:B70" ca="1" si="0">IF(C31="","",ROW()-30)</f>
        <v>1</v>
      </c>
      <c r="C31" s="489" t="str">
        <f ca="1">ייצוב!B11</f>
        <v>1280 מעלות (אמנים יוצרים)</v>
      </c>
      <c r="D31" s="477">
        <f ca="1">ייצוב!H11</f>
        <v>3.3985441070425441E-2</v>
      </c>
      <c r="E31" s="477">
        <f ca="1">ייצוב!F11</f>
        <v>3.7750522572071947E-2</v>
      </c>
      <c r="F31" s="478">
        <f ca="1">'סיכום לועדה- הזנת נתונים'!G31</f>
        <v>1</v>
      </c>
      <c r="G31" s="478">
        <f t="shared" ref="G31:G70" ca="1" si="1">IF($C31="","",IF(OR(D31="",E31="",BD31&lt;&gt;1),$AZ$1,IF($D31&lt;$E31*$G$6,1,0)))</f>
        <v>0</v>
      </c>
      <c r="H31" s="479">
        <f t="shared" ref="H31:H70" ca="1" si="2">IF($C31="","",IF(G31+$F31=2,1,0))</f>
        <v>0</v>
      </c>
      <c r="I31" s="480">
        <f t="shared" ref="I31:I70" ca="1" si="3">IF($C31="","",IF(H31=1,$E31*$G$6,$D31))</f>
        <v>3.3985441070425441E-2</v>
      </c>
      <c r="J31" s="480">
        <f t="shared" ref="J31:J70" ca="1" si="4">IF(G31="","",IF(H31=1,I31,I31/SUMIF(H$31:H$70,"&lt;&gt;1",I$31:I$70)*(1-SUMIF(H$31:H$70,"=1",I$31:I$70))))</f>
        <v>3.3985441070425441E-2</v>
      </c>
      <c r="K31" s="481">
        <f t="shared" ref="K31:K70" ca="1" si="5">IF($C31="","",IF(J31&lt;$E31*$G$6,1,0))</f>
        <v>0</v>
      </c>
      <c r="L31" s="481">
        <f t="shared" ref="L31:L70" ca="1" si="6">IF($C31="","",IF(K31+$F31=2,1,0))</f>
        <v>0</v>
      </c>
      <c r="M31" s="482">
        <f t="shared" ref="M31:M70" ca="1" si="7">IF($C31="","",IF(L31=1,$E31*$G$6,$I31))</f>
        <v>3.3985441070425441E-2</v>
      </c>
      <c r="N31" s="482">
        <f t="shared" ref="N31:N70" ca="1" si="8">IF(K31="","",IF(L31=1,M31,M31/SUMIF(L$31:L$70,"&lt;&gt;1",M$31:M$70)*(1-SUMIF(L$31:L$70,"=1",M$31:M$70))))</f>
        <v>3.3985441070425441E-2</v>
      </c>
      <c r="O31" s="481">
        <f t="shared" ref="O31:O70" ca="1" si="9">IF($C31="","",IF(N31&lt;$E31*$G$6,1,0))</f>
        <v>0</v>
      </c>
      <c r="P31" s="481">
        <f t="shared" ref="P31:P70" ca="1" si="10">IF($C31="","",IF(O31+$F31=2,1,0))</f>
        <v>0</v>
      </c>
      <c r="Q31" s="482">
        <f t="shared" ref="Q31:Q70" ca="1" si="11">IF($C31="","",IF(P31=1,$E31*$G$6,$M31))</f>
        <v>3.3985441070425441E-2</v>
      </c>
      <c r="R31" s="482">
        <f t="shared" ref="R31:R70" ca="1" si="12">IF(O31="","",IF(P31=1,Q31,Q31/SUMIF(P$31:P$70,"&lt;&gt;1",Q$31:Q$70)*(1-SUMIF(P$31:P$70,"=1",Q$31:Q$70))))</f>
        <v>3.3985441070425441E-2</v>
      </c>
      <c r="S31" s="481">
        <f t="shared" ref="S31:S70" ca="1" si="13">IF($C31="","",IF(R31&lt;$E31*$G$6,1,0))</f>
        <v>0</v>
      </c>
      <c r="T31" s="481">
        <f t="shared" ref="T31:T70" ca="1" si="14">IF($C31="","",IF(S31+$F31=2,1,0))</f>
        <v>0</v>
      </c>
      <c r="U31" s="482">
        <f t="shared" ref="U31:U70" ca="1" si="15">IF($C31="","",IF(T31=1,$E31*$G$6,R31))</f>
        <v>3.3985441070425441E-2</v>
      </c>
      <c r="V31" s="482">
        <f t="shared" ref="V31:V70" ca="1" si="16">IF(S31="","",IF(T31=1,U31,U31/SUMIF(T$31:T$70,"&lt;&gt;1",U$31:U$70)*(1-SUMIF(T$31:T$70,"=1",U$31:U$70))))</f>
        <v>3.3985441070425441E-2</v>
      </c>
      <c r="W31" s="481">
        <f t="shared" ref="W31:W70" ca="1" si="17">IF($C31="","",IF(V31&lt;$E31*$G$6,1,0))</f>
        <v>0</v>
      </c>
      <c r="X31" s="481">
        <f t="shared" ref="X31:X70" ca="1" si="18">IF($C31="","",IF(W31+$F31=2,1,0))</f>
        <v>0</v>
      </c>
      <c r="Y31" s="482">
        <f t="shared" ref="Y31:Y70" ca="1" si="19">IF($C31="","",IF(X31=1,$E31*$G$6,V31))</f>
        <v>3.3985441070425441E-2</v>
      </c>
      <c r="Z31" s="482">
        <f t="shared" ref="Z31:Z70" ca="1" si="20">IF(W31="","",IF(X31=1,Y31,Y31/SUMIF(X$31:X$70,"&lt;&gt;1",Y$31:Y$70)*(1-SUMIF(X$31:X$70,"=1",Y$31:Y$70))))</f>
        <v>3.3985441070425441E-2</v>
      </c>
      <c r="AA31" s="481">
        <f t="shared" ref="AA31:AA70" ca="1" si="21">IF($C31="","",IF(Z31&lt;$E31*$G$6,1,0))</f>
        <v>0</v>
      </c>
      <c r="AB31" s="481">
        <f t="shared" ref="AB31:AB70" ca="1" si="22">IF($C31="","",IF(AA31+$F31=2,1,0))</f>
        <v>0</v>
      </c>
      <c r="AC31" s="482">
        <f t="shared" ref="AC31:AC70" ca="1" si="23">IF($C31="","",IF(AB31=1,$E31*$G$6,Z31))</f>
        <v>3.3985441070425441E-2</v>
      </c>
      <c r="AD31" s="482">
        <f t="shared" ref="AD31:AD70" ca="1" si="24">IF(AA31="","",IF(AB31=1,AC31,AC31/SUMIF(AB$31:AB$70,"&lt;&gt;1",AC$31:AC$70)*(1-SUMIF(AB$31:AB$70,"=1",AC$31:AC$70))))</f>
        <v>3.3985441070425441E-2</v>
      </c>
      <c r="AE31" s="481">
        <f t="shared" ref="AE31:AE70" ca="1" si="25">IF($C31="","",IF(AD31&lt;$E31*$G$6,1,0))</f>
        <v>0</v>
      </c>
      <c r="AF31" s="481">
        <f t="shared" ref="AF31:AF70" ca="1" si="26">IF($C31="","",IF(AE31+$F31=2,1,0))</f>
        <v>0</v>
      </c>
      <c r="AG31" s="482">
        <f t="shared" ref="AG31:AG70" ca="1" si="27">IF($C31="","",IF(AF31=1,$E31*$G$6,AD31))</f>
        <v>3.3985441070425441E-2</v>
      </c>
      <c r="AH31" s="482">
        <f t="shared" ref="AH31:AH70" ca="1" si="28">IF(AE31="","",IF(AF31=1,AG31,AG31/SUMIF(AF$31:AF$70,"&lt;&gt;1",AG$31:AG$70)*(1-SUMIF(AF$31:AF$70,"=1",AG$31:AG$70))))</f>
        <v>3.3985441070425441E-2</v>
      </c>
      <c r="AI31" s="481">
        <f t="shared" ref="AI31:AI70" ca="1" si="29">IF($C31="","",IF(AH31&lt;$E31*$G$6,1,0))</f>
        <v>0</v>
      </c>
      <c r="AJ31" s="481">
        <f t="shared" ref="AJ31:AJ70" ca="1" si="30">IF($C31="","",IF(AI31+$F31=2,1,0))</f>
        <v>0</v>
      </c>
      <c r="AK31" s="482">
        <f t="shared" ref="AK31:AK70" ca="1" si="31">IF($C31="","",IF(AJ31=1,$E31*$G$6,AH31))</f>
        <v>3.3985441070425441E-2</v>
      </c>
      <c r="AL31" s="482">
        <f t="shared" ref="AL31:AL70" ca="1" si="32">IF(AI31="","",IF(AJ31=1,AK31,AK31/SUMIF(AJ$31:AJ$70,"&lt;&gt;1",AK$31:AK$70)*(1-SUMIF(AJ$31:AJ$70,"=1",AK$31:AK$70))))</f>
        <v>3.3985441070425441E-2</v>
      </c>
      <c r="AM31" s="481">
        <f t="shared" ref="AM31:AM70" ca="1" si="33">IF($C31="","",IF(AL31&lt;$E31*$G$6,1,0))</f>
        <v>0</v>
      </c>
      <c r="AN31" s="481">
        <f t="shared" ref="AN31:AN70" ca="1" si="34">IF($C31="","",IF(AM31+$F31=2,1,0))</f>
        <v>0</v>
      </c>
      <c r="AO31" s="482">
        <f t="shared" ref="AO31:AO70" ca="1" si="35">IF($C31="","",IF(AN31=1,$E31*$G$6,AL31))</f>
        <v>3.3985441070425441E-2</v>
      </c>
      <c r="AP31" s="482">
        <f t="shared" ref="AP31:AP70" ca="1" si="36">IF(AM31="","",IF(AN31=1,AO31,AO31/SUMIF(AN$31:AN$70,"&lt;&gt;1",AO$31:AO$70)*(1-SUMIF(AN$31:AN$70,"=1",AO$31:AO$70))))</f>
        <v>3.3985441070425441E-2</v>
      </c>
      <c r="AQ31" s="481">
        <f t="shared" ref="AQ31:AQ70" ca="1" si="37">IF($C31="","",IF(OR(AP31&lt;$E31*$G$6,AN31=1,AJ31=1,AF31=1,AB31=1,X31=1,T31=1,P31=1,L31=1,H31=1),1,0))</f>
        <v>0</v>
      </c>
      <c r="AR31" s="481">
        <f t="shared" ref="AR31:AR70" ca="1" si="38">IF($C31="","",IF(AQ31+$F31=2,1,0))</f>
        <v>0</v>
      </c>
      <c r="AS31" s="482">
        <f t="shared" ref="AS31:AS70" ca="1" si="39">IF($C31="","",IF(AR31=1,$E31*$G$6,AP31))</f>
        <v>3.3985441070425441E-2</v>
      </c>
      <c r="AT31" s="482">
        <f t="shared" ref="AT31:AT70" ca="1" si="40">IF(AQ31="","",IFERROR(IF(AR31=1,AS31,AS31/SUMIF(AR$31:AR$70,"&lt;&gt;1",AS$31:AS$70)*(1-SUMIF(AR$31:AR$70,"=1",AS$31:AS$70))),0))</f>
        <v>3.3985441070425441E-2</v>
      </c>
      <c r="AU31" s="483">
        <f ca="1">IF(C31="","",IFERROR(AT31/SUM($AT$31:$AT$70),$AZ$1))</f>
        <v>3.3985441070425441E-2</v>
      </c>
      <c r="AV31" s="484">
        <f t="shared" ref="AV31:AV70" ca="1" si="41">IF(C31="","",IFERROR(AU31*$C$2,$AZ$1))</f>
        <v>64807.313373369259</v>
      </c>
      <c r="BA31" s="474">
        <f ca="1">IF($C31="","",BA$30)</f>
        <v>0</v>
      </c>
      <c r="BB31" s="474">
        <f ca="1">IF($C31="","",BB$30)</f>
        <v>1</v>
      </c>
      <c r="BD31" s="470">
        <f ca="1">IF(F31="",0,IF(ISERROR(MATCH(F31,$BA$30:$BB$30,0)),0,1))</f>
        <v>1</v>
      </c>
    </row>
    <row r="32" spans="2:56" s="470" customFormat="1" x14ac:dyDescent="0.25">
      <c r="B32" s="475">
        <f t="shared" ca="1" si="0"/>
        <v>2</v>
      </c>
      <c r="C32" s="489" t="str">
        <f ca="1">ייצוב!B12</f>
        <v>יהי (אורי צבי גרינברג)</v>
      </c>
      <c r="D32" s="477">
        <f ca="1">ייצוב!H12</f>
        <v>2.9028690949750847E-2</v>
      </c>
      <c r="E32" s="477">
        <f ca="1">ייצוב!F12</f>
        <v>2.5555426201706002E-2</v>
      </c>
      <c r="F32" s="478">
        <f ca="1">'סיכום לועדה- הזנת נתונים'!G32</f>
        <v>1</v>
      </c>
      <c r="G32" s="478">
        <f t="shared" ca="1" si="1"/>
        <v>0</v>
      </c>
      <c r="H32" s="479">
        <f t="shared" ca="1" si="2"/>
        <v>0</v>
      </c>
      <c r="I32" s="480">
        <f t="shared" ca="1" si="3"/>
        <v>2.9028690949750847E-2</v>
      </c>
      <c r="J32" s="480">
        <f t="shared" ca="1" si="4"/>
        <v>2.9028690949750847E-2</v>
      </c>
      <c r="K32" s="481">
        <f t="shared" ca="1" si="5"/>
        <v>0</v>
      </c>
      <c r="L32" s="481">
        <f t="shared" ca="1" si="6"/>
        <v>0</v>
      </c>
      <c r="M32" s="482">
        <f t="shared" ca="1" si="7"/>
        <v>2.9028690949750847E-2</v>
      </c>
      <c r="N32" s="482">
        <f t="shared" ca="1" si="8"/>
        <v>2.9028690949750847E-2</v>
      </c>
      <c r="O32" s="481">
        <f t="shared" ca="1" si="9"/>
        <v>0</v>
      </c>
      <c r="P32" s="481">
        <f t="shared" ca="1" si="10"/>
        <v>0</v>
      </c>
      <c r="Q32" s="482">
        <f t="shared" ca="1" si="11"/>
        <v>2.9028690949750847E-2</v>
      </c>
      <c r="R32" s="482">
        <f t="shared" ca="1" si="12"/>
        <v>2.9028690949750847E-2</v>
      </c>
      <c r="S32" s="481">
        <f t="shared" ca="1" si="13"/>
        <v>0</v>
      </c>
      <c r="T32" s="481">
        <f t="shared" ca="1" si="14"/>
        <v>0</v>
      </c>
      <c r="U32" s="482">
        <f t="shared" ca="1" si="15"/>
        <v>2.9028690949750847E-2</v>
      </c>
      <c r="V32" s="482">
        <f t="shared" ca="1" si="16"/>
        <v>2.9028690949750847E-2</v>
      </c>
      <c r="W32" s="481">
        <f t="shared" ca="1" si="17"/>
        <v>0</v>
      </c>
      <c r="X32" s="481">
        <f t="shared" ca="1" si="18"/>
        <v>0</v>
      </c>
      <c r="Y32" s="482">
        <f t="shared" ca="1" si="19"/>
        <v>2.9028690949750847E-2</v>
      </c>
      <c r="Z32" s="482">
        <f t="shared" ca="1" si="20"/>
        <v>2.9028690949750847E-2</v>
      </c>
      <c r="AA32" s="481">
        <f t="shared" ca="1" si="21"/>
        <v>0</v>
      </c>
      <c r="AB32" s="481">
        <f t="shared" ca="1" si="22"/>
        <v>0</v>
      </c>
      <c r="AC32" s="482">
        <f t="shared" ca="1" si="23"/>
        <v>2.9028690949750847E-2</v>
      </c>
      <c r="AD32" s="482">
        <f t="shared" ca="1" si="24"/>
        <v>2.9028690949750847E-2</v>
      </c>
      <c r="AE32" s="481">
        <f t="shared" ca="1" si="25"/>
        <v>0</v>
      </c>
      <c r="AF32" s="481">
        <f t="shared" ca="1" si="26"/>
        <v>0</v>
      </c>
      <c r="AG32" s="482">
        <f t="shared" ca="1" si="27"/>
        <v>2.9028690949750847E-2</v>
      </c>
      <c r="AH32" s="482">
        <f t="shared" ca="1" si="28"/>
        <v>2.9028690949750847E-2</v>
      </c>
      <c r="AI32" s="481">
        <f t="shared" ca="1" si="29"/>
        <v>0</v>
      </c>
      <c r="AJ32" s="481">
        <f t="shared" ca="1" si="30"/>
        <v>0</v>
      </c>
      <c r="AK32" s="482">
        <f t="shared" ca="1" si="31"/>
        <v>2.9028690949750847E-2</v>
      </c>
      <c r="AL32" s="482">
        <f t="shared" ca="1" si="32"/>
        <v>2.9028690949750847E-2</v>
      </c>
      <c r="AM32" s="481">
        <f t="shared" ca="1" si="33"/>
        <v>0</v>
      </c>
      <c r="AN32" s="481">
        <f t="shared" ca="1" si="34"/>
        <v>0</v>
      </c>
      <c r="AO32" s="482">
        <f t="shared" ca="1" si="35"/>
        <v>2.9028690949750847E-2</v>
      </c>
      <c r="AP32" s="482">
        <f t="shared" ca="1" si="36"/>
        <v>2.9028690949750847E-2</v>
      </c>
      <c r="AQ32" s="481">
        <f t="shared" ca="1" si="37"/>
        <v>0</v>
      </c>
      <c r="AR32" s="481">
        <f t="shared" ca="1" si="38"/>
        <v>0</v>
      </c>
      <c r="AS32" s="482">
        <f t="shared" ca="1" si="39"/>
        <v>2.9028690949750847E-2</v>
      </c>
      <c r="AT32" s="482">
        <f t="shared" ca="1" si="40"/>
        <v>2.9028690949750847E-2</v>
      </c>
      <c r="AU32" s="483">
        <f t="shared" ref="AU32:AU70" ca="1" si="42">IF(C32="","",IFERROR(AT32/SUM($AT$31:$AT$70),$AZ$1))</f>
        <v>2.9028690949750847E-2</v>
      </c>
      <c r="AV32" s="484">
        <f t="shared" ca="1" si="41"/>
        <v>55355.217173753183</v>
      </c>
      <c r="BA32" s="474">
        <f t="shared" ref="BA32:BB63" ca="1" si="43">IF($C32="","",BA$30)</f>
        <v>0</v>
      </c>
      <c r="BB32" s="474">
        <f t="shared" ca="1" si="43"/>
        <v>1</v>
      </c>
      <c r="BD32" s="470">
        <f t="shared" ref="BD32:BD70" ca="1" si="44">IF(F32="",0,IF(ISERROR(MATCH(F32,$BA$30:$BB$30,0)),0,1))</f>
        <v>1</v>
      </c>
    </row>
    <row r="33" spans="2:56" s="470" customFormat="1" x14ac:dyDescent="0.25">
      <c r="B33" s="475" t="str">
        <f t="shared" ca="1" si="0"/>
        <v/>
      </c>
      <c r="C33" s="489" t="str">
        <f ca="1">ייצוב!B13</f>
        <v/>
      </c>
      <c r="D33" s="477" t="str">
        <f ca="1">ייצוב!H13</f>
        <v/>
      </c>
      <c r="E33" s="477" t="str">
        <f ca="1">ייצוב!F13</f>
        <v/>
      </c>
      <c r="F33" s="478" t="str">
        <f ca="1">'סיכום לועדה- הזנת נתונים'!G33</f>
        <v/>
      </c>
      <c r="G33" s="478" t="str">
        <f t="shared" ca="1" si="1"/>
        <v/>
      </c>
      <c r="H33" s="479" t="str">
        <f t="shared" ca="1" si="2"/>
        <v/>
      </c>
      <c r="I33" s="480" t="str">
        <f t="shared" ca="1" si="3"/>
        <v/>
      </c>
      <c r="J33" s="480" t="str">
        <f t="shared" ca="1" si="4"/>
        <v/>
      </c>
      <c r="K33" s="481" t="str">
        <f t="shared" ca="1" si="5"/>
        <v/>
      </c>
      <c r="L33" s="481" t="str">
        <f t="shared" ca="1" si="6"/>
        <v/>
      </c>
      <c r="M33" s="482" t="str">
        <f t="shared" ca="1" si="7"/>
        <v/>
      </c>
      <c r="N33" s="482" t="str">
        <f t="shared" ca="1" si="8"/>
        <v/>
      </c>
      <c r="O33" s="481" t="str">
        <f t="shared" ca="1" si="9"/>
        <v/>
      </c>
      <c r="P33" s="481" t="str">
        <f t="shared" ca="1" si="10"/>
        <v/>
      </c>
      <c r="Q33" s="482" t="str">
        <f t="shared" ca="1" si="11"/>
        <v/>
      </c>
      <c r="R33" s="482" t="str">
        <f t="shared" ca="1" si="12"/>
        <v/>
      </c>
      <c r="S33" s="481" t="str">
        <f t="shared" ca="1" si="13"/>
        <v/>
      </c>
      <c r="T33" s="481" t="str">
        <f t="shared" ca="1" si="14"/>
        <v/>
      </c>
      <c r="U33" s="482" t="str">
        <f t="shared" ca="1" si="15"/>
        <v/>
      </c>
      <c r="V33" s="482" t="str">
        <f t="shared" ca="1" si="16"/>
        <v/>
      </c>
      <c r="W33" s="481" t="str">
        <f t="shared" ca="1" si="17"/>
        <v/>
      </c>
      <c r="X33" s="481" t="str">
        <f t="shared" ca="1" si="18"/>
        <v/>
      </c>
      <c r="Y33" s="482" t="str">
        <f t="shared" ca="1" si="19"/>
        <v/>
      </c>
      <c r="Z33" s="482" t="str">
        <f t="shared" ca="1" si="20"/>
        <v/>
      </c>
      <c r="AA33" s="481" t="str">
        <f t="shared" ca="1" si="21"/>
        <v/>
      </c>
      <c r="AB33" s="481" t="str">
        <f t="shared" ca="1" si="22"/>
        <v/>
      </c>
      <c r="AC33" s="482" t="str">
        <f t="shared" ca="1" si="23"/>
        <v/>
      </c>
      <c r="AD33" s="482" t="str">
        <f t="shared" ca="1" si="24"/>
        <v/>
      </c>
      <c r="AE33" s="481" t="str">
        <f t="shared" ca="1" si="25"/>
        <v/>
      </c>
      <c r="AF33" s="481" t="str">
        <f t="shared" ca="1" si="26"/>
        <v/>
      </c>
      <c r="AG33" s="482" t="str">
        <f t="shared" ca="1" si="27"/>
        <v/>
      </c>
      <c r="AH33" s="482" t="str">
        <f t="shared" ca="1" si="28"/>
        <v/>
      </c>
      <c r="AI33" s="481" t="str">
        <f t="shared" ca="1" si="29"/>
        <v/>
      </c>
      <c r="AJ33" s="481" t="str">
        <f t="shared" ca="1" si="30"/>
        <v/>
      </c>
      <c r="AK33" s="482" t="str">
        <f t="shared" ca="1" si="31"/>
        <v/>
      </c>
      <c r="AL33" s="482" t="str">
        <f t="shared" ca="1" si="32"/>
        <v/>
      </c>
      <c r="AM33" s="481" t="str">
        <f t="shared" ca="1" si="33"/>
        <v/>
      </c>
      <c r="AN33" s="481" t="str">
        <f t="shared" ca="1" si="34"/>
        <v/>
      </c>
      <c r="AO33" s="482" t="str">
        <f t="shared" ca="1" si="35"/>
        <v/>
      </c>
      <c r="AP33" s="482" t="str">
        <f t="shared" ca="1" si="36"/>
        <v/>
      </c>
      <c r="AQ33" s="481" t="str">
        <f t="shared" ca="1" si="37"/>
        <v/>
      </c>
      <c r="AR33" s="481" t="str">
        <f t="shared" ca="1" si="38"/>
        <v/>
      </c>
      <c r="AS33" s="482" t="str">
        <f t="shared" ca="1" si="39"/>
        <v/>
      </c>
      <c r="AT33" s="482" t="str">
        <f t="shared" ca="1" si="40"/>
        <v/>
      </c>
      <c r="AU33" s="483" t="str">
        <f t="shared" ca="1" si="42"/>
        <v/>
      </c>
      <c r="AV33" s="484" t="str">
        <f t="shared" ca="1" si="41"/>
        <v/>
      </c>
      <c r="BA33" s="474" t="str">
        <f t="shared" ca="1" si="43"/>
        <v/>
      </c>
      <c r="BB33" s="474" t="str">
        <f t="shared" ca="1" si="43"/>
        <v/>
      </c>
      <c r="BD33" s="470">
        <f t="shared" ca="1" si="44"/>
        <v>0</v>
      </c>
    </row>
    <row r="34" spans="2:56" s="470" customFormat="1" x14ac:dyDescent="0.25">
      <c r="B34" s="475">
        <f t="shared" ca="1" si="0"/>
        <v>4</v>
      </c>
      <c r="C34" s="489" t="str">
        <f ca="1">ייצוב!B14</f>
        <v>דעות (ברית נאמני תורה ועבודה)</v>
      </c>
      <c r="D34" s="477">
        <f ca="1">ייצוב!H14</f>
        <v>4.7982832401599534E-2</v>
      </c>
      <c r="E34" s="477">
        <f ca="1">ייצוב!F14</f>
        <v>5.9844859285736011E-2</v>
      </c>
      <c r="F34" s="478">
        <f ca="1">'סיכום לועדה- הזנת נתונים'!G34</f>
        <v>1</v>
      </c>
      <c r="G34" s="478">
        <f t="shared" ca="1" si="1"/>
        <v>0</v>
      </c>
      <c r="H34" s="479">
        <f t="shared" ca="1" si="2"/>
        <v>0</v>
      </c>
      <c r="I34" s="480">
        <f t="shared" ca="1" si="3"/>
        <v>4.7982832401599534E-2</v>
      </c>
      <c r="J34" s="480">
        <f t="shared" ca="1" si="4"/>
        <v>4.7982832401599534E-2</v>
      </c>
      <c r="K34" s="481">
        <f t="shared" ca="1" si="5"/>
        <v>0</v>
      </c>
      <c r="L34" s="481">
        <f t="shared" ca="1" si="6"/>
        <v>0</v>
      </c>
      <c r="M34" s="482">
        <f t="shared" ca="1" si="7"/>
        <v>4.7982832401599534E-2</v>
      </c>
      <c r="N34" s="482">
        <f t="shared" ca="1" si="8"/>
        <v>4.7982832401599534E-2</v>
      </c>
      <c r="O34" s="481">
        <f t="shared" ca="1" si="9"/>
        <v>0</v>
      </c>
      <c r="P34" s="481">
        <f t="shared" ca="1" si="10"/>
        <v>0</v>
      </c>
      <c r="Q34" s="482">
        <f t="shared" ca="1" si="11"/>
        <v>4.7982832401599534E-2</v>
      </c>
      <c r="R34" s="482">
        <f t="shared" ca="1" si="12"/>
        <v>4.7982832401599534E-2</v>
      </c>
      <c r="S34" s="481">
        <f t="shared" ca="1" si="13"/>
        <v>0</v>
      </c>
      <c r="T34" s="481">
        <f t="shared" ca="1" si="14"/>
        <v>0</v>
      </c>
      <c r="U34" s="482">
        <f t="shared" ca="1" si="15"/>
        <v>4.7982832401599534E-2</v>
      </c>
      <c r="V34" s="482">
        <f t="shared" ca="1" si="16"/>
        <v>4.7982832401599534E-2</v>
      </c>
      <c r="W34" s="481">
        <f t="shared" ca="1" si="17"/>
        <v>0</v>
      </c>
      <c r="X34" s="481">
        <f t="shared" ca="1" si="18"/>
        <v>0</v>
      </c>
      <c r="Y34" s="482">
        <f t="shared" ca="1" si="19"/>
        <v>4.7982832401599534E-2</v>
      </c>
      <c r="Z34" s="482">
        <f t="shared" ca="1" si="20"/>
        <v>4.7982832401599534E-2</v>
      </c>
      <c r="AA34" s="481">
        <f t="shared" ca="1" si="21"/>
        <v>0</v>
      </c>
      <c r="AB34" s="481">
        <f t="shared" ca="1" si="22"/>
        <v>0</v>
      </c>
      <c r="AC34" s="482">
        <f t="shared" ca="1" si="23"/>
        <v>4.7982832401599534E-2</v>
      </c>
      <c r="AD34" s="482">
        <f t="shared" ca="1" si="24"/>
        <v>4.7982832401599534E-2</v>
      </c>
      <c r="AE34" s="481">
        <f t="shared" ca="1" si="25"/>
        <v>0</v>
      </c>
      <c r="AF34" s="481">
        <f t="shared" ca="1" si="26"/>
        <v>0</v>
      </c>
      <c r="AG34" s="482">
        <f t="shared" ca="1" si="27"/>
        <v>4.7982832401599534E-2</v>
      </c>
      <c r="AH34" s="482">
        <f t="shared" ca="1" si="28"/>
        <v>4.7982832401599534E-2</v>
      </c>
      <c r="AI34" s="481">
        <f t="shared" ca="1" si="29"/>
        <v>0</v>
      </c>
      <c r="AJ34" s="481">
        <f t="shared" ca="1" si="30"/>
        <v>0</v>
      </c>
      <c r="AK34" s="482">
        <f t="shared" ca="1" si="31"/>
        <v>4.7982832401599534E-2</v>
      </c>
      <c r="AL34" s="482">
        <f t="shared" ca="1" si="32"/>
        <v>4.7982832401599534E-2</v>
      </c>
      <c r="AM34" s="481">
        <f t="shared" ca="1" si="33"/>
        <v>0</v>
      </c>
      <c r="AN34" s="481">
        <f t="shared" ca="1" si="34"/>
        <v>0</v>
      </c>
      <c r="AO34" s="482">
        <f t="shared" ca="1" si="35"/>
        <v>4.7982832401599534E-2</v>
      </c>
      <c r="AP34" s="482">
        <f t="shared" ca="1" si="36"/>
        <v>4.7982832401599534E-2</v>
      </c>
      <c r="AQ34" s="481">
        <f t="shared" ca="1" si="37"/>
        <v>0</v>
      </c>
      <c r="AR34" s="481">
        <f t="shared" ca="1" si="38"/>
        <v>0</v>
      </c>
      <c r="AS34" s="482">
        <f t="shared" ca="1" si="39"/>
        <v>4.7982832401599534E-2</v>
      </c>
      <c r="AT34" s="482">
        <f t="shared" ca="1" si="40"/>
        <v>4.7982832401599534E-2</v>
      </c>
      <c r="AU34" s="483">
        <f t="shared" ca="1" si="42"/>
        <v>4.7982832401599534E-2</v>
      </c>
      <c r="AV34" s="484">
        <f t="shared" ca="1" si="41"/>
        <v>91499.134866263776</v>
      </c>
      <c r="BA34" s="474">
        <f t="shared" ca="1" si="43"/>
        <v>0</v>
      </c>
      <c r="BB34" s="474">
        <f t="shared" ca="1" si="43"/>
        <v>1</v>
      </c>
      <c r="BD34" s="470">
        <f t="shared" ca="1" si="44"/>
        <v>1</v>
      </c>
    </row>
    <row r="35" spans="2:56" s="470" customFormat="1" x14ac:dyDescent="0.25">
      <c r="B35" s="475">
        <f t="shared" ca="1" si="0"/>
        <v>5</v>
      </c>
      <c r="C35" s="489" t="str">
        <f ca="1">ייצוב!B15</f>
        <v>הליקון</v>
      </c>
      <c r="D35" s="477">
        <f ca="1">ייצוב!H15</f>
        <v>5.9350111713416524E-2</v>
      </c>
      <c r="E35" s="477">
        <f ca="1">ייצוב!F15</f>
        <v>7.4911611116180388E-2</v>
      </c>
      <c r="F35" s="478">
        <f ca="1">'סיכום לועדה- הזנת נתונים'!G35</f>
        <v>0</v>
      </c>
      <c r="G35" s="478">
        <f t="shared" ca="1" si="1"/>
        <v>1</v>
      </c>
      <c r="H35" s="479">
        <f t="shared" ca="1" si="2"/>
        <v>0</v>
      </c>
      <c r="I35" s="480">
        <f t="shared" ca="1" si="3"/>
        <v>5.9350111713416524E-2</v>
      </c>
      <c r="J35" s="480">
        <f t="shared" ca="1" si="4"/>
        <v>5.9350111713416524E-2</v>
      </c>
      <c r="K35" s="481">
        <f t="shared" ca="1" si="5"/>
        <v>1</v>
      </c>
      <c r="L35" s="481">
        <f t="shared" ca="1" si="6"/>
        <v>0</v>
      </c>
      <c r="M35" s="482">
        <f t="shared" ca="1" si="7"/>
        <v>5.9350111713416524E-2</v>
      </c>
      <c r="N35" s="482">
        <f t="shared" ca="1" si="8"/>
        <v>5.9350111713416524E-2</v>
      </c>
      <c r="O35" s="481">
        <f t="shared" ca="1" si="9"/>
        <v>1</v>
      </c>
      <c r="P35" s="481">
        <f t="shared" ca="1" si="10"/>
        <v>0</v>
      </c>
      <c r="Q35" s="482">
        <f t="shared" ca="1" si="11"/>
        <v>5.9350111713416524E-2</v>
      </c>
      <c r="R35" s="482">
        <f t="shared" ca="1" si="12"/>
        <v>5.9350111713416524E-2</v>
      </c>
      <c r="S35" s="481">
        <f t="shared" ca="1" si="13"/>
        <v>1</v>
      </c>
      <c r="T35" s="481">
        <f t="shared" ca="1" si="14"/>
        <v>0</v>
      </c>
      <c r="U35" s="482">
        <f t="shared" ca="1" si="15"/>
        <v>5.9350111713416524E-2</v>
      </c>
      <c r="V35" s="482">
        <f t="shared" ca="1" si="16"/>
        <v>5.9350111713416524E-2</v>
      </c>
      <c r="W35" s="481">
        <f t="shared" ca="1" si="17"/>
        <v>1</v>
      </c>
      <c r="X35" s="481">
        <f t="shared" ca="1" si="18"/>
        <v>0</v>
      </c>
      <c r="Y35" s="482">
        <f t="shared" ca="1" si="19"/>
        <v>5.9350111713416524E-2</v>
      </c>
      <c r="Z35" s="482">
        <f t="shared" ca="1" si="20"/>
        <v>5.9350111713416524E-2</v>
      </c>
      <c r="AA35" s="481">
        <f t="shared" ca="1" si="21"/>
        <v>1</v>
      </c>
      <c r="AB35" s="481">
        <f t="shared" ca="1" si="22"/>
        <v>0</v>
      </c>
      <c r="AC35" s="482">
        <f t="shared" ca="1" si="23"/>
        <v>5.9350111713416524E-2</v>
      </c>
      <c r="AD35" s="482">
        <f t="shared" ca="1" si="24"/>
        <v>5.9350111713416524E-2</v>
      </c>
      <c r="AE35" s="481">
        <f t="shared" ca="1" si="25"/>
        <v>1</v>
      </c>
      <c r="AF35" s="481">
        <f t="shared" ca="1" si="26"/>
        <v>0</v>
      </c>
      <c r="AG35" s="482">
        <f t="shared" ca="1" si="27"/>
        <v>5.9350111713416524E-2</v>
      </c>
      <c r="AH35" s="482">
        <f t="shared" ca="1" si="28"/>
        <v>5.9350111713416524E-2</v>
      </c>
      <c r="AI35" s="481">
        <f t="shared" ca="1" si="29"/>
        <v>1</v>
      </c>
      <c r="AJ35" s="481">
        <f t="shared" ca="1" si="30"/>
        <v>0</v>
      </c>
      <c r="AK35" s="482">
        <f t="shared" ca="1" si="31"/>
        <v>5.9350111713416524E-2</v>
      </c>
      <c r="AL35" s="482">
        <f t="shared" ca="1" si="32"/>
        <v>5.9350111713416524E-2</v>
      </c>
      <c r="AM35" s="481">
        <f t="shared" ca="1" si="33"/>
        <v>1</v>
      </c>
      <c r="AN35" s="481">
        <f t="shared" ca="1" si="34"/>
        <v>0</v>
      </c>
      <c r="AO35" s="482">
        <f t="shared" ca="1" si="35"/>
        <v>5.9350111713416524E-2</v>
      </c>
      <c r="AP35" s="482">
        <f t="shared" ca="1" si="36"/>
        <v>5.9350111713416524E-2</v>
      </c>
      <c r="AQ35" s="481">
        <f t="shared" ca="1" si="37"/>
        <v>1</v>
      </c>
      <c r="AR35" s="481">
        <f t="shared" ca="1" si="38"/>
        <v>0</v>
      </c>
      <c r="AS35" s="482">
        <f t="shared" ca="1" si="39"/>
        <v>5.9350111713416524E-2</v>
      </c>
      <c r="AT35" s="482">
        <f t="shared" ca="1" si="40"/>
        <v>5.9350111713416524E-2</v>
      </c>
      <c r="AU35" s="483">
        <f t="shared" ca="1" si="42"/>
        <v>5.9350111713416524E-2</v>
      </c>
      <c r="AV35" s="484">
        <f t="shared" ca="1" si="41"/>
        <v>113175.55892787795</v>
      </c>
      <c r="BA35" s="474">
        <f t="shared" ca="1" si="43"/>
        <v>0</v>
      </c>
      <c r="BB35" s="474">
        <f t="shared" ca="1" si="43"/>
        <v>1</v>
      </c>
      <c r="BD35" s="470">
        <f t="shared" ca="1" si="44"/>
        <v>1</v>
      </c>
    </row>
    <row r="36" spans="2:56" x14ac:dyDescent="0.25">
      <c r="B36" s="475" t="str">
        <f t="shared" ca="1" si="0"/>
        <v/>
      </c>
      <c r="C36" s="489" t="str">
        <f ca="1">ייצוב!B16</f>
        <v/>
      </c>
      <c r="D36" s="477" t="str">
        <f ca="1">ייצוב!H16</f>
        <v/>
      </c>
      <c r="E36" s="477" t="str">
        <f ca="1">ייצוב!F16</f>
        <v/>
      </c>
      <c r="F36" s="478" t="str">
        <f ca="1">'סיכום לועדה- הזנת נתונים'!G36</f>
        <v/>
      </c>
      <c r="G36" s="478" t="str">
        <f t="shared" ca="1" si="1"/>
        <v/>
      </c>
      <c r="H36" s="479" t="str">
        <f t="shared" ca="1" si="2"/>
        <v/>
      </c>
      <c r="I36" s="480" t="str">
        <f t="shared" ca="1" si="3"/>
        <v/>
      </c>
      <c r="J36" s="480" t="str">
        <f t="shared" ca="1" si="4"/>
        <v/>
      </c>
      <c r="K36" s="481" t="str">
        <f t="shared" ca="1" si="5"/>
        <v/>
      </c>
      <c r="L36" s="481" t="str">
        <f t="shared" ca="1" si="6"/>
        <v/>
      </c>
      <c r="M36" s="482" t="str">
        <f t="shared" ca="1" si="7"/>
        <v/>
      </c>
      <c r="N36" s="482" t="str">
        <f t="shared" ca="1" si="8"/>
        <v/>
      </c>
      <c r="O36" s="481" t="str">
        <f t="shared" ca="1" si="9"/>
        <v/>
      </c>
      <c r="P36" s="481" t="str">
        <f t="shared" ca="1" si="10"/>
        <v/>
      </c>
      <c r="Q36" s="482" t="str">
        <f t="shared" ca="1" si="11"/>
        <v/>
      </c>
      <c r="R36" s="482" t="str">
        <f t="shared" ca="1" si="12"/>
        <v/>
      </c>
      <c r="S36" s="481" t="str">
        <f t="shared" ca="1" si="13"/>
        <v/>
      </c>
      <c r="T36" s="481" t="str">
        <f t="shared" ca="1" si="14"/>
        <v/>
      </c>
      <c r="U36" s="482" t="str">
        <f t="shared" ca="1" si="15"/>
        <v/>
      </c>
      <c r="V36" s="482" t="str">
        <f t="shared" ca="1" si="16"/>
        <v/>
      </c>
      <c r="W36" s="481" t="str">
        <f t="shared" ca="1" si="17"/>
        <v/>
      </c>
      <c r="X36" s="481" t="str">
        <f t="shared" ca="1" si="18"/>
        <v/>
      </c>
      <c r="Y36" s="482" t="str">
        <f t="shared" ca="1" si="19"/>
        <v/>
      </c>
      <c r="Z36" s="482" t="str">
        <f t="shared" ca="1" si="20"/>
        <v/>
      </c>
      <c r="AA36" s="481" t="str">
        <f t="shared" ca="1" si="21"/>
        <v/>
      </c>
      <c r="AB36" s="481" t="str">
        <f t="shared" ca="1" si="22"/>
        <v/>
      </c>
      <c r="AC36" s="482" t="str">
        <f t="shared" ca="1" si="23"/>
        <v/>
      </c>
      <c r="AD36" s="482" t="str">
        <f t="shared" ca="1" si="24"/>
        <v/>
      </c>
      <c r="AE36" s="481" t="str">
        <f t="shared" ca="1" si="25"/>
        <v/>
      </c>
      <c r="AF36" s="481" t="str">
        <f t="shared" ca="1" si="26"/>
        <v/>
      </c>
      <c r="AG36" s="482" t="str">
        <f t="shared" ca="1" si="27"/>
        <v/>
      </c>
      <c r="AH36" s="482" t="str">
        <f t="shared" ca="1" si="28"/>
        <v/>
      </c>
      <c r="AI36" s="481" t="str">
        <f t="shared" ca="1" si="29"/>
        <v/>
      </c>
      <c r="AJ36" s="481" t="str">
        <f t="shared" ca="1" si="30"/>
        <v/>
      </c>
      <c r="AK36" s="482" t="str">
        <f t="shared" ca="1" si="31"/>
        <v/>
      </c>
      <c r="AL36" s="482" t="str">
        <f t="shared" ca="1" si="32"/>
        <v/>
      </c>
      <c r="AM36" s="481" t="str">
        <f t="shared" ca="1" si="33"/>
        <v/>
      </c>
      <c r="AN36" s="481" t="str">
        <f t="shared" ca="1" si="34"/>
        <v/>
      </c>
      <c r="AO36" s="482" t="str">
        <f t="shared" ca="1" si="35"/>
        <v/>
      </c>
      <c r="AP36" s="482" t="str">
        <f ca="1">IF(AM36="","",IF(AN36=1,AO36,AO36/SUMIF(AN$31:AN$70,"&lt;&gt;1",AO$31:AO$70)*(1-SUMIF(AN$31:AN$70,"=1",AO$31:AO$70))))</f>
        <v/>
      </c>
      <c r="AQ36" s="481" t="str">
        <f t="shared" ca="1" si="37"/>
        <v/>
      </c>
      <c r="AR36" s="481" t="str">
        <f t="shared" ca="1" si="38"/>
        <v/>
      </c>
      <c r="AS36" s="482" t="str">
        <f t="shared" ca="1" si="39"/>
        <v/>
      </c>
      <c r="AT36" s="482" t="str">
        <f t="shared" ca="1" si="40"/>
        <v/>
      </c>
      <c r="AU36" s="483" t="str">
        <f t="shared" ca="1" si="42"/>
        <v/>
      </c>
      <c r="AV36" s="484" t="str">
        <f t="shared" ca="1" si="41"/>
        <v/>
      </c>
      <c r="BA36" s="474" t="str">
        <f t="shared" ca="1" si="43"/>
        <v/>
      </c>
      <c r="BB36" s="474" t="str">
        <f t="shared" ca="1" si="43"/>
        <v/>
      </c>
      <c r="BD36" s="470">
        <f t="shared" ca="1" si="44"/>
        <v>0</v>
      </c>
    </row>
    <row r="37" spans="2:56" x14ac:dyDescent="0.25">
      <c r="B37" s="475" t="str">
        <f t="shared" ca="1" si="0"/>
        <v/>
      </c>
      <c r="C37" s="489" t="str">
        <f ca="1">ייצוב!B17</f>
        <v/>
      </c>
      <c r="D37" s="477" t="str">
        <f ca="1">ייצוב!H17</f>
        <v/>
      </c>
      <c r="E37" s="477" t="str">
        <f ca="1">ייצוב!F17</f>
        <v/>
      </c>
      <c r="F37" s="478" t="str">
        <f ca="1">'סיכום לועדה- הזנת נתונים'!G37</f>
        <v/>
      </c>
      <c r="G37" s="478" t="str">
        <f t="shared" ca="1" si="1"/>
        <v/>
      </c>
      <c r="H37" s="479" t="str">
        <f t="shared" ca="1" si="2"/>
        <v/>
      </c>
      <c r="I37" s="480" t="str">
        <f t="shared" ca="1" si="3"/>
        <v/>
      </c>
      <c r="J37" s="480" t="str">
        <f t="shared" ca="1" si="4"/>
        <v/>
      </c>
      <c r="K37" s="481" t="str">
        <f t="shared" ca="1" si="5"/>
        <v/>
      </c>
      <c r="L37" s="481" t="str">
        <f t="shared" ca="1" si="6"/>
        <v/>
      </c>
      <c r="M37" s="482" t="str">
        <f t="shared" ca="1" si="7"/>
        <v/>
      </c>
      <c r="N37" s="482" t="str">
        <f t="shared" ca="1" si="8"/>
        <v/>
      </c>
      <c r="O37" s="481" t="str">
        <f t="shared" ca="1" si="9"/>
        <v/>
      </c>
      <c r="P37" s="481" t="str">
        <f t="shared" ca="1" si="10"/>
        <v/>
      </c>
      <c r="Q37" s="482" t="str">
        <f t="shared" ca="1" si="11"/>
        <v/>
      </c>
      <c r="R37" s="482" t="str">
        <f t="shared" ca="1" si="12"/>
        <v/>
      </c>
      <c r="S37" s="481" t="str">
        <f t="shared" ca="1" si="13"/>
        <v/>
      </c>
      <c r="T37" s="481" t="str">
        <f t="shared" ca="1" si="14"/>
        <v/>
      </c>
      <c r="U37" s="482" t="str">
        <f t="shared" ca="1" si="15"/>
        <v/>
      </c>
      <c r="V37" s="482" t="str">
        <f t="shared" ca="1" si="16"/>
        <v/>
      </c>
      <c r="W37" s="481" t="str">
        <f t="shared" ca="1" si="17"/>
        <v/>
      </c>
      <c r="X37" s="481" t="str">
        <f t="shared" ca="1" si="18"/>
        <v/>
      </c>
      <c r="Y37" s="482" t="str">
        <f t="shared" ca="1" si="19"/>
        <v/>
      </c>
      <c r="Z37" s="482" t="str">
        <f t="shared" ca="1" si="20"/>
        <v/>
      </c>
      <c r="AA37" s="481" t="str">
        <f t="shared" ca="1" si="21"/>
        <v/>
      </c>
      <c r="AB37" s="481" t="str">
        <f t="shared" ca="1" si="22"/>
        <v/>
      </c>
      <c r="AC37" s="482" t="str">
        <f t="shared" ca="1" si="23"/>
        <v/>
      </c>
      <c r="AD37" s="482" t="str">
        <f t="shared" ca="1" si="24"/>
        <v/>
      </c>
      <c r="AE37" s="481" t="str">
        <f t="shared" ca="1" si="25"/>
        <v/>
      </c>
      <c r="AF37" s="481" t="str">
        <f t="shared" ca="1" si="26"/>
        <v/>
      </c>
      <c r="AG37" s="482" t="str">
        <f t="shared" ca="1" si="27"/>
        <v/>
      </c>
      <c r="AH37" s="482" t="str">
        <f t="shared" ca="1" si="28"/>
        <v/>
      </c>
      <c r="AI37" s="481" t="str">
        <f t="shared" ca="1" si="29"/>
        <v/>
      </c>
      <c r="AJ37" s="481" t="str">
        <f t="shared" ca="1" si="30"/>
        <v/>
      </c>
      <c r="AK37" s="482" t="str">
        <f t="shared" ca="1" si="31"/>
        <v/>
      </c>
      <c r="AL37" s="482" t="str">
        <f t="shared" ca="1" si="32"/>
        <v/>
      </c>
      <c r="AM37" s="481" t="str">
        <f t="shared" ca="1" si="33"/>
        <v/>
      </c>
      <c r="AN37" s="481" t="str">
        <f t="shared" ca="1" si="34"/>
        <v/>
      </c>
      <c r="AO37" s="482" t="str">
        <f t="shared" ca="1" si="35"/>
        <v/>
      </c>
      <c r="AP37" s="482" t="str">
        <f t="shared" ca="1" si="36"/>
        <v/>
      </c>
      <c r="AQ37" s="481" t="str">
        <f t="shared" ca="1" si="37"/>
        <v/>
      </c>
      <c r="AR37" s="481" t="str">
        <f t="shared" ca="1" si="38"/>
        <v/>
      </c>
      <c r="AS37" s="482" t="str">
        <f t="shared" ca="1" si="39"/>
        <v/>
      </c>
      <c r="AT37" s="482" t="str">
        <f t="shared" ca="1" si="40"/>
        <v/>
      </c>
      <c r="AU37" s="483" t="str">
        <f t="shared" ca="1" si="42"/>
        <v/>
      </c>
      <c r="AV37" s="484" t="str">
        <f t="shared" ca="1" si="41"/>
        <v/>
      </c>
      <c r="BA37" s="474" t="str">
        <f t="shared" ca="1" si="43"/>
        <v/>
      </c>
      <c r="BB37" s="474" t="str">
        <f t="shared" ca="1" si="43"/>
        <v/>
      </c>
      <c r="BD37" s="470">
        <f t="shared" ca="1" si="44"/>
        <v>0</v>
      </c>
    </row>
    <row r="38" spans="2:56" x14ac:dyDescent="0.25">
      <c r="B38" s="475">
        <f t="shared" ca="1" si="0"/>
        <v>8</v>
      </c>
      <c r="C38" s="489" t="str">
        <f ca="1">ייצוב!B18</f>
        <v>ננפואטיקה (עמותת מקום לשירה)</v>
      </c>
      <c r="D38" s="477">
        <f ca="1">ייצוב!H18</f>
        <v>7.2944434929907681E-2</v>
      </c>
      <c r="E38" s="477">
        <f ca="1">ייצוב!F18</f>
        <v>6.5287160301932864E-2</v>
      </c>
      <c r="F38" s="478">
        <f ca="1">'סיכום לועדה- הזנת נתונים'!G38</f>
        <v>1</v>
      </c>
      <c r="G38" s="478">
        <f t="shared" ca="1" si="1"/>
        <v>0</v>
      </c>
      <c r="H38" s="479">
        <f t="shared" ca="1" si="2"/>
        <v>0</v>
      </c>
      <c r="I38" s="480">
        <f t="shared" ca="1" si="3"/>
        <v>7.2944434929907681E-2</v>
      </c>
      <c r="J38" s="480">
        <f t="shared" ca="1" si="4"/>
        <v>7.2944434929907681E-2</v>
      </c>
      <c r="K38" s="481">
        <f t="shared" ca="1" si="5"/>
        <v>0</v>
      </c>
      <c r="L38" s="481">
        <f t="shared" ca="1" si="6"/>
        <v>0</v>
      </c>
      <c r="M38" s="482">
        <f t="shared" ca="1" si="7"/>
        <v>7.2944434929907681E-2</v>
      </c>
      <c r="N38" s="482">
        <f t="shared" ca="1" si="8"/>
        <v>7.2944434929907681E-2</v>
      </c>
      <c r="O38" s="481">
        <f t="shared" ca="1" si="9"/>
        <v>0</v>
      </c>
      <c r="P38" s="481">
        <f t="shared" ca="1" si="10"/>
        <v>0</v>
      </c>
      <c r="Q38" s="482">
        <f t="shared" ca="1" si="11"/>
        <v>7.2944434929907681E-2</v>
      </c>
      <c r="R38" s="482">
        <f t="shared" ca="1" si="12"/>
        <v>7.2944434929907681E-2</v>
      </c>
      <c r="S38" s="481">
        <f t="shared" ca="1" si="13"/>
        <v>0</v>
      </c>
      <c r="T38" s="481">
        <f t="shared" ca="1" si="14"/>
        <v>0</v>
      </c>
      <c r="U38" s="482">
        <f t="shared" ca="1" si="15"/>
        <v>7.2944434929907681E-2</v>
      </c>
      <c r="V38" s="482">
        <f t="shared" ca="1" si="16"/>
        <v>7.2944434929907681E-2</v>
      </c>
      <c r="W38" s="481">
        <f t="shared" ca="1" si="17"/>
        <v>0</v>
      </c>
      <c r="X38" s="481">
        <f t="shared" ca="1" si="18"/>
        <v>0</v>
      </c>
      <c r="Y38" s="482">
        <f t="shared" ca="1" si="19"/>
        <v>7.2944434929907681E-2</v>
      </c>
      <c r="Z38" s="482">
        <f t="shared" ca="1" si="20"/>
        <v>7.2944434929907681E-2</v>
      </c>
      <c r="AA38" s="481">
        <f t="shared" ca="1" si="21"/>
        <v>0</v>
      </c>
      <c r="AB38" s="481">
        <f t="shared" ca="1" si="22"/>
        <v>0</v>
      </c>
      <c r="AC38" s="482">
        <f t="shared" ca="1" si="23"/>
        <v>7.2944434929907681E-2</v>
      </c>
      <c r="AD38" s="482">
        <f t="shared" ca="1" si="24"/>
        <v>7.2944434929907681E-2</v>
      </c>
      <c r="AE38" s="481">
        <f t="shared" ca="1" si="25"/>
        <v>0</v>
      </c>
      <c r="AF38" s="481">
        <f t="shared" ca="1" si="26"/>
        <v>0</v>
      </c>
      <c r="AG38" s="482">
        <f t="shared" ca="1" si="27"/>
        <v>7.2944434929907681E-2</v>
      </c>
      <c r="AH38" s="482">
        <f t="shared" ca="1" si="28"/>
        <v>7.2944434929907681E-2</v>
      </c>
      <c r="AI38" s="481">
        <f t="shared" ca="1" si="29"/>
        <v>0</v>
      </c>
      <c r="AJ38" s="481">
        <f t="shared" ca="1" si="30"/>
        <v>0</v>
      </c>
      <c r="AK38" s="482">
        <f t="shared" ca="1" si="31"/>
        <v>7.2944434929907681E-2</v>
      </c>
      <c r="AL38" s="482">
        <f t="shared" ca="1" si="32"/>
        <v>7.2944434929907681E-2</v>
      </c>
      <c r="AM38" s="481">
        <f t="shared" ca="1" si="33"/>
        <v>0</v>
      </c>
      <c r="AN38" s="481">
        <f t="shared" ca="1" si="34"/>
        <v>0</v>
      </c>
      <c r="AO38" s="482">
        <f t="shared" ca="1" si="35"/>
        <v>7.2944434929907681E-2</v>
      </c>
      <c r="AP38" s="482">
        <f t="shared" ca="1" si="36"/>
        <v>7.2944434929907681E-2</v>
      </c>
      <c r="AQ38" s="481">
        <f ca="1">IF($C38="","",IF(OR(AP38&lt;$E38*$G$6,AN38=1,AJ38=1,AF38=1,AB38=1,X38=1,T38=1,P38=1,L38=1,H38=1),1,0))</f>
        <v>0</v>
      </c>
      <c r="AR38" s="481">
        <f ca="1">IF($C38="","",IF(AQ38+$F38=2,1,0))</f>
        <v>0</v>
      </c>
      <c r="AS38" s="482">
        <f t="shared" ca="1" si="39"/>
        <v>7.2944434929907681E-2</v>
      </c>
      <c r="AT38" s="482">
        <f t="shared" ca="1" si="40"/>
        <v>7.2944434929907681E-2</v>
      </c>
      <c r="AU38" s="483">
        <f t="shared" ca="1" si="42"/>
        <v>7.2944434929907681E-2</v>
      </c>
      <c r="AV38" s="484">
        <f t="shared" ca="1" si="41"/>
        <v>139098.76418992996</v>
      </c>
      <c r="BA38" s="474">
        <f t="shared" ca="1" si="43"/>
        <v>0</v>
      </c>
      <c r="BB38" s="474">
        <f t="shared" ca="1" si="43"/>
        <v>1</v>
      </c>
      <c r="BD38" s="470">
        <f t="shared" ca="1" si="44"/>
        <v>1</v>
      </c>
    </row>
    <row r="39" spans="2:56" x14ac:dyDescent="0.25">
      <c r="B39" s="475">
        <f t="shared" ca="1" si="0"/>
        <v>9</v>
      </c>
      <c r="C39" s="489" t="str">
        <f ca="1">ייצוב!B19</f>
        <v>מאזניים (אגודת הסופרים העבריים)</v>
      </c>
      <c r="D39" s="477">
        <f ca="1">ייצוב!H19</f>
        <v>8.1662297794135238E-2</v>
      </c>
      <c r="E39" s="477">
        <f ca="1">ייצוב!F19</f>
        <v>8.6240386299539465E-2</v>
      </c>
      <c r="F39" s="478">
        <f ca="1">'סיכום לועדה- הזנת נתונים'!G39</f>
        <v>0</v>
      </c>
      <c r="G39" s="478">
        <f t="shared" ca="1" si="1"/>
        <v>0</v>
      </c>
      <c r="H39" s="479">
        <f t="shared" ca="1" si="2"/>
        <v>0</v>
      </c>
      <c r="I39" s="480">
        <f t="shared" ca="1" si="3"/>
        <v>8.1662297794135238E-2</v>
      </c>
      <c r="J39" s="480">
        <f t="shared" ca="1" si="4"/>
        <v>8.1662297794135238E-2</v>
      </c>
      <c r="K39" s="481">
        <f t="shared" ca="1" si="5"/>
        <v>0</v>
      </c>
      <c r="L39" s="481">
        <f t="shared" ca="1" si="6"/>
        <v>0</v>
      </c>
      <c r="M39" s="482">
        <f t="shared" ca="1" si="7"/>
        <v>8.1662297794135238E-2</v>
      </c>
      <c r="N39" s="482">
        <f t="shared" ca="1" si="8"/>
        <v>8.1662297794135238E-2</v>
      </c>
      <c r="O39" s="481">
        <f t="shared" ca="1" si="9"/>
        <v>0</v>
      </c>
      <c r="P39" s="481">
        <f t="shared" ca="1" si="10"/>
        <v>0</v>
      </c>
      <c r="Q39" s="482">
        <f t="shared" ca="1" si="11"/>
        <v>8.1662297794135238E-2</v>
      </c>
      <c r="R39" s="482">
        <f t="shared" ca="1" si="12"/>
        <v>8.1662297794135238E-2</v>
      </c>
      <c r="S39" s="481">
        <f t="shared" ca="1" si="13"/>
        <v>0</v>
      </c>
      <c r="T39" s="481">
        <f t="shared" ca="1" si="14"/>
        <v>0</v>
      </c>
      <c r="U39" s="482">
        <f t="shared" ca="1" si="15"/>
        <v>8.1662297794135238E-2</v>
      </c>
      <c r="V39" s="482">
        <f t="shared" ca="1" si="16"/>
        <v>8.1662297794135238E-2</v>
      </c>
      <c r="W39" s="481">
        <f t="shared" ca="1" si="17"/>
        <v>0</v>
      </c>
      <c r="X39" s="481">
        <f t="shared" ca="1" si="18"/>
        <v>0</v>
      </c>
      <c r="Y39" s="482">
        <f t="shared" ca="1" si="19"/>
        <v>8.1662297794135238E-2</v>
      </c>
      <c r="Z39" s="482">
        <f t="shared" ca="1" si="20"/>
        <v>8.1662297794135238E-2</v>
      </c>
      <c r="AA39" s="481">
        <f t="shared" ca="1" si="21"/>
        <v>0</v>
      </c>
      <c r="AB39" s="481">
        <f t="shared" ca="1" si="22"/>
        <v>0</v>
      </c>
      <c r="AC39" s="482">
        <f t="shared" ca="1" si="23"/>
        <v>8.1662297794135238E-2</v>
      </c>
      <c r="AD39" s="482">
        <f t="shared" ca="1" si="24"/>
        <v>8.1662297794135238E-2</v>
      </c>
      <c r="AE39" s="481">
        <f t="shared" ca="1" si="25"/>
        <v>0</v>
      </c>
      <c r="AF39" s="481">
        <f t="shared" ca="1" si="26"/>
        <v>0</v>
      </c>
      <c r="AG39" s="482">
        <f t="shared" ca="1" si="27"/>
        <v>8.1662297794135238E-2</v>
      </c>
      <c r="AH39" s="482">
        <f t="shared" ca="1" si="28"/>
        <v>8.1662297794135238E-2</v>
      </c>
      <c r="AI39" s="481">
        <f t="shared" ca="1" si="29"/>
        <v>0</v>
      </c>
      <c r="AJ39" s="481">
        <f t="shared" ca="1" si="30"/>
        <v>0</v>
      </c>
      <c r="AK39" s="482">
        <f t="shared" ca="1" si="31"/>
        <v>8.1662297794135238E-2</v>
      </c>
      <c r="AL39" s="482">
        <f t="shared" ca="1" si="32"/>
        <v>8.1662297794135238E-2</v>
      </c>
      <c r="AM39" s="481">
        <f t="shared" ca="1" si="33"/>
        <v>0</v>
      </c>
      <c r="AN39" s="481">
        <f t="shared" ca="1" si="34"/>
        <v>0</v>
      </c>
      <c r="AO39" s="482">
        <f t="shared" ca="1" si="35"/>
        <v>8.1662297794135238E-2</v>
      </c>
      <c r="AP39" s="482">
        <f t="shared" ca="1" si="36"/>
        <v>8.1662297794135238E-2</v>
      </c>
      <c r="AQ39" s="481">
        <f t="shared" ca="1" si="37"/>
        <v>0</v>
      </c>
      <c r="AR39" s="481">
        <f t="shared" ca="1" si="38"/>
        <v>0</v>
      </c>
      <c r="AS39" s="482">
        <f t="shared" ca="1" si="39"/>
        <v>8.1662297794135238E-2</v>
      </c>
      <c r="AT39" s="482">
        <f t="shared" ca="1" si="40"/>
        <v>8.1662297794135238E-2</v>
      </c>
      <c r="AU39" s="483">
        <f t="shared" ca="1" si="42"/>
        <v>8.1662297794135238E-2</v>
      </c>
      <c r="AV39" s="484">
        <f t="shared" ca="1" si="41"/>
        <v>155722.97893580562</v>
      </c>
      <c r="BA39" s="474">
        <f t="shared" ca="1" si="43"/>
        <v>0</v>
      </c>
      <c r="BB39" s="474">
        <f t="shared" ca="1" si="43"/>
        <v>1</v>
      </c>
      <c r="BD39" s="470">
        <f t="shared" ca="1" si="44"/>
        <v>1</v>
      </c>
    </row>
    <row r="40" spans="2:56" x14ac:dyDescent="0.25">
      <c r="B40" s="475">
        <f t="shared" ca="1" si="0"/>
        <v>10</v>
      </c>
      <c r="C40" s="489" t="str">
        <f ca="1">ייצוב!B20</f>
        <v>משיב הרוח</v>
      </c>
      <c r="D40" s="477">
        <f ca="1">ייצוב!H20</f>
        <v>7.6422233853087163E-2</v>
      </c>
      <c r="E40" s="477">
        <f ca="1">ייצוב!F20</f>
        <v>8.4407582093371805E-2</v>
      </c>
      <c r="F40" s="478">
        <f ca="1">'סיכום לועדה- הזנת נתונים'!G40</f>
        <v>1</v>
      </c>
      <c r="G40" s="478">
        <f t="shared" ca="1" si="1"/>
        <v>0</v>
      </c>
      <c r="H40" s="479">
        <f t="shared" ca="1" si="2"/>
        <v>0</v>
      </c>
      <c r="I40" s="480">
        <f t="shared" ca="1" si="3"/>
        <v>7.6422233853087163E-2</v>
      </c>
      <c r="J40" s="480">
        <f t="shared" ca="1" si="4"/>
        <v>7.6422233853087163E-2</v>
      </c>
      <c r="K40" s="481">
        <f t="shared" ca="1" si="5"/>
        <v>0</v>
      </c>
      <c r="L40" s="481">
        <f t="shared" ca="1" si="6"/>
        <v>0</v>
      </c>
      <c r="M40" s="482">
        <f t="shared" ca="1" si="7"/>
        <v>7.6422233853087163E-2</v>
      </c>
      <c r="N40" s="482">
        <f t="shared" ca="1" si="8"/>
        <v>7.6422233853087163E-2</v>
      </c>
      <c r="O40" s="481">
        <f t="shared" ca="1" si="9"/>
        <v>0</v>
      </c>
      <c r="P40" s="481">
        <f t="shared" ca="1" si="10"/>
        <v>0</v>
      </c>
      <c r="Q40" s="482">
        <f t="shared" ca="1" si="11"/>
        <v>7.6422233853087163E-2</v>
      </c>
      <c r="R40" s="482">
        <f t="shared" ca="1" si="12"/>
        <v>7.6422233853087163E-2</v>
      </c>
      <c r="S40" s="481">
        <f t="shared" ca="1" si="13"/>
        <v>0</v>
      </c>
      <c r="T40" s="481">
        <f t="shared" ca="1" si="14"/>
        <v>0</v>
      </c>
      <c r="U40" s="482">
        <f t="shared" ca="1" si="15"/>
        <v>7.6422233853087163E-2</v>
      </c>
      <c r="V40" s="482">
        <f t="shared" ca="1" si="16"/>
        <v>7.6422233853087163E-2</v>
      </c>
      <c r="W40" s="481">
        <f t="shared" ca="1" si="17"/>
        <v>0</v>
      </c>
      <c r="X40" s="481">
        <f t="shared" ca="1" si="18"/>
        <v>0</v>
      </c>
      <c r="Y40" s="482">
        <f t="shared" ca="1" si="19"/>
        <v>7.6422233853087163E-2</v>
      </c>
      <c r="Z40" s="482">
        <f t="shared" ca="1" si="20"/>
        <v>7.6422233853087163E-2</v>
      </c>
      <c r="AA40" s="481">
        <f t="shared" ca="1" si="21"/>
        <v>0</v>
      </c>
      <c r="AB40" s="481">
        <f t="shared" ca="1" si="22"/>
        <v>0</v>
      </c>
      <c r="AC40" s="482">
        <f t="shared" ca="1" si="23"/>
        <v>7.6422233853087163E-2</v>
      </c>
      <c r="AD40" s="482">
        <f t="shared" ca="1" si="24"/>
        <v>7.6422233853087163E-2</v>
      </c>
      <c r="AE40" s="481">
        <f t="shared" ca="1" si="25"/>
        <v>0</v>
      </c>
      <c r="AF40" s="481">
        <f t="shared" ca="1" si="26"/>
        <v>0</v>
      </c>
      <c r="AG40" s="482">
        <f t="shared" ca="1" si="27"/>
        <v>7.6422233853087163E-2</v>
      </c>
      <c r="AH40" s="482">
        <f t="shared" ca="1" si="28"/>
        <v>7.6422233853087163E-2</v>
      </c>
      <c r="AI40" s="481">
        <f t="shared" ca="1" si="29"/>
        <v>0</v>
      </c>
      <c r="AJ40" s="481">
        <f t="shared" ca="1" si="30"/>
        <v>0</v>
      </c>
      <c r="AK40" s="482">
        <f t="shared" ca="1" si="31"/>
        <v>7.6422233853087163E-2</v>
      </c>
      <c r="AL40" s="482">
        <f t="shared" ca="1" si="32"/>
        <v>7.6422233853087163E-2</v>
      </c>
      <c r="AM40" s="481">
        <f t="shared" ca="1" si="33"/>
        <v>0</v>
      </c>
      <c r="AN40" s="481">
        <f t="shared" ca="1" si="34"/>
        <v>0</v>
      </c>
      <c r="AO40" s="482">
        <f t="shared" ca="1" si="35"/>
        <v>7.6422233853087163E-2</v>
      </c>
      <c r="AP40" s="482">
        <f t="shared" ca="1" si="36"/>
        <v>7.6422233853087163E-2</v>
      </c>
      <c r="AQ40" s="481">
        <f t="shared" ca="1" si="37"/>
        <v>0</v>
      </c>
      <c r="AR40" s="481">
        <f t="shared" ca="1" si="38"/>
        <v>0</v>
      </c>
      <c r="AS40" s="482">
        <f t="shared" ca="1" si="39"/>
        <v>7.6422233853087163E-2</v>
      </c>
      <c r="AT40" s="482">
        <f t="shared" ca="1" si="40"/>
        <v>7.6422233853087163E-2</v>
      </c>
      <c r="AU40" s="483">
        <f t="shared" ca="1" si="42"/>
        <v>7.6422233853087163E-2</v>
      </c>
      <c r="AV40" s="484">
        <f t="shared" ca="1" si="41"/>
        <v>145730.62764572585</v>
      </c>
      <c r="BA40" s="474">
        <f t="shared" ca="1" si="43"/>
        <v>0</v>
      </c>
      <c r="BB40" s="474">
        <f t="shared" ca="1" si="43"/>
        <v>1</v>
      </c>
      <c r="BD40" s="470">
        <f t="shared" ca="1" si="44"/>
        <v>1</v>
      </c>
    </row>
    <row r="41" spans="2:56" x14ac:dyDescent="0.25">
      <c r="B41" s="475">
        <f t="shared" ca="1" si="0"/>
        <v>11</v>
      </c>
      <c r="C41" s="489" t="str">
        <f ca="1">ייצוב!B21</f>
        <v>עמדה (עמותת מונטן)</v>
      </c>
      <c r="D41" s="477">
        <f ca="1">ייצוב!H21</f>
        <v>2.2392799941743518E-2</v>
      </c>
      <c r="E41" s="477">
        <f ca="1">ייצוב!F21</f>
        <v>1.6256632443833335E-2</v>
      </c>
      <c r="F41" s="478">
        <f ca="1">'סיכום לועדה- הזנת נתונים'!G41</f>
        <v>1</v>
      </c>
      <c r="G41" s="478">
        <f t="shared" ca="1" si="1"/>
        <v>0</v>
      </c>
      <c r="H41" s="479">
        <f t="shared" ca="1" si="2"/>
        <v>0</v>
      </c>
      <c r="I41" s="480">
        <f t="shared" ca="1" si="3"/>
        <v>2.2392799941743518E-2</v>
      </c>
      <c r="J41" s="480">
        <f t="shared" ca="1" si="4"/>
        <v>2.2392799941743518E-2</v>
      </c>
      <c r="K41" s="481">
        <f t="shared" ca="1" si="5"/>
        <v>0</v>
      </c>
      <c r="L41" s="481">
        <f t="shared" ca="1" si="6"/>
        <v>0</v>
      </c>
      <c r="M41" s="482">
        <f t="shared" ca="1" si="7"/>
        <v>2.2392799941743518E-2</v>
      </c>
      <c r="N41" s="482">
        <f t="shared" ca="1" si="8"/>
        <v>2.2392799941743518E-2</v>
      </c>
      <c r="O41" s="481">
        <f t="shared" ca="1" si="9"/>
        <v>0</v>
      </c>
      <c r="P41" s="481">
        <f t="shared" ca="1" si="10"/>
        <v>0</v>
      </c>
      <c r="Q41" s="482">
        <f t="shared" ca="1" si="11"/>
        <v>2.2392799941743518E-2</v>
      </c>
      <c r="R41" s="482">
        <f t="shared" ca="1" si="12"/>
        <v>2.2392799941743518E-2</v>
      </c>
      <c r="S41" s="481">
        <f t="shared" ca="1" si="13"/>
        <v>0</v>
      </c>
      <c r="T41" s="481">
        <f t="shared" ca="1" si="14"/>
        <v>0</v>
      </c>
      <c r="U41" s="482">
        <f t="shared" ca="1" si="15"/>
        <v>2.2392799941743518E-2</v>
      </c>
      <c r="V41" s="482">
        <f t="shared" ca="1" si="16"/>
        <v>2.2392799941743518E-2</v>
      </c>
      <c r="W41" s="481">
        <f t="shared" ca="1" si="17"/>
        <v>0</v>
      </c>
      <c r="X41" s="481">
        <f t="shared" ca="1" si="18"/>
        <v>0</v>
      </c>
      <c r="Y41" s="482">
        <f t="shared" ca="1" si="19"/>
        <v>2.2392799941743518E-2</v>
      </c>
      <c r="Z41" s="482">
        <f t="shared" ca="1" si="20"/>
        <v>2.2392799941743518E-2</v>
      </c>
      <c r="AA41" s="481">
        <f t="shared" ca="1" si="21"/>
        <v>0</v>
      </c>
      <c r="AB41" s="481">
        <f t="shared" ca="1" si="22"/>
        <v>0</v>
      </c>
      <c r="AC41" s="482">
        <f t="shared" ca="1" si="23"/>
        <v>2.2392799941743518E-2</v>
      </c>
      <c r="AD41" s="482">
        <f t="shared" ca="1" si="24"/>
        <v>2.2392799941743518E-2</v>
      </c>
      <c r="AE41" s="481">
        <f t="shared" ca="1" si="25"/>
        <v>0</v>
      </c>
      <c r="AF41" s="481">
        <f t="shared" ca="1" si="26"/>
        <v>0</v>
      </c>
      <c r="AG41" s="482">
        <f t="shared" ca="1" si="27"/>
        <v>2.2392799941743518E-2</v>
      </c>
      <c r="AH41" s="482">
        <f t="shared" ca="1" si="28"/>
        <v>2.2392799941743518E-2</v>
      </c>
      <c r="AI41" s="481">
        <f t="shared" ca="1" si="29"/>
        <v>0</v>
      </c>
      <c r="AJ41" s="481">
        <f t="shared" ca="1" si="30"/>
        <v>0</v>
      </c>
      <c r="AK41" s="482">
        <f t="shared" ca="1" si="31"/>
        <v>2.2392799941743518E-2</v>
      </c>
      <c r="AL41" s="482">
        <f t="shared" ca="1" si="32"/>
        <v>2.2392799941743518E-2</v>
      </c>
      <c r="AM41" s="481">
        <f t="shared" ca="1" si="33"/>
        <v>0</v>
      </c>
      <c r="AN41" s="481">
        <f t="shared" ca="1" si="34"/>
        <v>0</v>
      </c>
      <c r="AO41" s="482">
        <f t="shared" ca="1" si="35"/>
        <v>2.2392799941743518E-2</v>
      </c>
      <c r="AP41" s="482">
        <f t="shared" ca="1" si="36"/>
        <v>2.2392799941743518E-2</v>
      </c>
      <c r="AQ41" s="481">
        <f t="shared" ca="1" si="37"/>
        <v>0</v>
      </c>
      <c r="AR41" s="481">
        <f t="shared" ca="1" si="38"/>
        <v>0</v>
      </c>
      <c r="AS41" s="482">
        <f t="shared" ca="1" si="39"/>
        <v>2.2392799941743518E-2</v>
      </c>
      <c r="AT41" s="482">
        <f t="shared" ca="1" si="40"/>
        <v>2.2392799941743518E-2</v>
      </c>
      <c r="AU41" s="483">
        <f t="shared" ca="1" si="42"/>
        <v>2.2392799941743518E-2</v>
      </c>
      <c r="AV41" s="484">
        <f t="shared" ca="1" si="41"/>
        <v>42701.143708109899</v>
      </c>
      <c r="BA41" s="474">
        <f t="shared" ca="1" si="43"/>
        <v>0</v>
      </c>
      <c r="BB41" s="474">
        <f t="shared" ca="1" si="43"/>
        <v>1</v>
      </c>
      <c r="BD41" s="470">
        <f t="shared" ca="1" si="44"/>
        <v>1</v>
      </c>
    </row>
    <row r="42" spans="2:56" x14ac:dyDescent="0.25">
      <c r="B42" s="475">
        <f t="shared" ca="1" si="0"/>
        <v>12</v>
      </c>
      <c r="C42" s="489" t="str">
        <f ca="1">ייצוב!B22</f>
        <v>עתון 77 (אגודת סופרים ואמנים)</v>
      </c>
      <c r="D42" s="477">
        <f ca="1">ייצוב!H22</f>
        <v>7.0368067766060069E-2</v>
      </c>
      <c r="E42" s="477">
        <f ca="1">ייצוב!F22</f>
        <v>7.6842479524509233E-2</v>
      </c>
      <c r="F42" s="478">
        <f ca="1">'סיכום לועדה- הזנת נתונים'!G42</f>
        <v>1</v>
      </c>
      <c r="G42" s="478">
        <f t="shared" ca="1" si="1"/>
        <v>0</v>
      </c>
      <c r="H42" s="479">
        <f t="shared" ca="1" si="2"/>
        <v>0</v>
      </c>
      <c r="I42" s="480">
        <f t="shared" ca="1" si="3"/>
        <v>7.0368067766060069E-2</v>
      </c>
      <c r="J42" s="480">
        <f t="shared" ca="1" si="4"/>
        <v>7.0368067766060069E-2</v>
      </c>
      <c r="K42" s="481">
        <f t="shared" ca="1" si="5"/>
        <v>0</v>
      </c>
      <c r="L42" s="481">
        <f t="shared" ca="1" si="6"/>
        <v>0</v>
      </c>
      <c r="M42" s="482">
        <f t="shared" ca="1" si="7"/>
        <v>7.0368067766060069E-2</v>
      </c>
      <c r="N42" s="482">
        <f t="shared" ca="1" si="8"/>
        <v>7.0368067766060069E-2</v>
      </c>
      <c r="O42" s="481">
        <f t="shared" ca="1" si="9"/>
        <v>0</v>
      </c>
      <c r="P42" s="481">
        <f t="shared" ca="1" si="10"/>
        <v>0</v>
      </c>
      <c r="Q42" s="482">
        <f t="shared" ca="1" si="11"/>
        <v>7.0368067766060069E-2</v>
      </c>
      <c r="R42" s="482">
        <f t="shared" ca="1" si="12"/>
        <v>7.0368067766060069E-2</v>
      </c>
      <c r="S42" s="481">
        <f t="shared" ca="1" si="13"/>
        <v>0</v>
      </c>
      <c r="T42" s="481">
        <f t="shared" ca="1" si="14"/>
        <v>0</v>
      </c>
      <c r="U42" s="482">
        <f t="shared" ca="1" si="15"/>
        <v>7.0368067766060069E-2</v>
      </c>
      <c r="V42" s="482">
        <f t="shared" ca="1" si="16"/>
        <v>7.0368067766060069E-2</v>
      </c>
      <c r="W42" s="481">
        <f t="shared" ca="1" si="17"/>
        <v>0</v>
      </c>
      <c r="X42" s="481">
        <f t="shared" ca="1" si="18"/>
        <v>0</v>
      </c>
      <c r="Y42" s="482">
        <f t="shared" ca="1" si="19"/>
        <v>7.0368067766060069E-2</v>
      </c>
      <c r="Z42" s="482">
        <f t="shared" ca="1" si="20"/>
        <v>7.0368067766060069E-2</v>
      </c>
      <c r="AA42" s="481">
        <f t="shared" ca="1" si="21"/>
        <v>0</v>
      </c>
      <c r="AB42" s="481">
        <f t="shared" ca="1" si="22"/>
        <v>0</v>
      </c>
      <c r="AC42" s="482">
        <f t="shared" ca="1" si="23"/>
        <v>7.0368067766060069E-2</v>
      </c>
      <c r="AD42" s="482">
        <f t="shared" ca="1" si="24"/>
        <v>7.0368067766060069E-2</v>
      </c>
      <c r="AE42" s="481">
        <f t="shared" ca="1" si="25"/>
        <v>0</v>
      </c>
      <c r="AF42" s="481">
        <f t="shared" ca="1" si="26"/>
        <v>0</v>
      </c>
      <c r="AG42" s="482">
        <f t="shared" ca="1" si="27"/>
        <v>7.0368067766060069E-2</v>
      </c>
      <c r="AH42" s="482">
        <f t="shared" ca="1" si="28"/>
        <v>7.0368067766060069E-2</v>
      </c>
      <c r="AI42" s="481">
        <f t="shared" ca="1" si="29"/>
        <v>0</v>
      </c>
      <c r="AJ42" s="481">
        <f t="shared" ca="1" si="30"/>
        <v>0</v>
      </c>
      <c r="AK42" s="482">
        <f t="shared" ca="1" si="31"/>
        <v>7.0368067766060069E-2</v>
      </c>
      <c r="AL42" s="482">
        <f t="shared" ca="1" si="32"/>
        <v>7.0368067766060069E-2</v>
      </c>
      <c r="AM42" s="481">
        <f t="shared" ca="1" si="33"/>
        <v>0</v>
      </c>
      <c r="AN42" s="481">
        <f t="shared" ca="1" si="34"/>
        <v>0</v>
      </c>
      <c r="AO42" s="482">
        <f t="shared" ca="1" si="35"/>
        <v>7.0368067766060069E-2</v>
      </c>
      <c r="AP42" s="482">
        <f t="shared" ca="1" si="36"/>
        <v>7.0368067766060069E-2</v>
      </c>
      <c r="AQ42" s="481">
        <f t="shared" ca="1" si="37"/>
        <v>0</v>
      </c>
      <c r="AR42" s="481">
        <f t="shared" ca="1" si="38"/>
        <v>0</v>
      </c>
      <c r="AS42" s="482">
        <f t="shared" ca="1" si="39"/>
        <v>7.0368067766060069E-2</v>
      </c>
      <c r="AT42" s="482">
        <f t="shared" ca="1" si="40"/>
        <v>7.0368067766060069E-2</v>
      </c>
      <c r="AU42" s="483">
        <f t="shared" ca="1" si="42"/>
        <v>7.0368067766060069E-2</v>
      </c>
      <c r="AV42" s="484">
        <f t="shared" ca="1" si="41"/>
        <v>134185.85357604868</v>
      </c>
      <c r="BA42" s="474">
        <f t="shared" ca="1" si="43"/>
        <v>0</v>
      </c>
      <c r="BB42" s="474">
        <f t="shared" ca="1" si="43"/>
        <v>1</v>
      </c>
      <c r="BD42" s="470">
        <f t="shared" ca="1" si="44"/>
        <v>1</v>
      </c>
    </row>
    <row r="43" spans="2:56" x14ac:dyDescent="0.25">
      <c r="B43" s="475" t="str">
        <f t="shared" ca="1" si="0"/>
        <v/>
      </c>
      <c r="C43" s="489" t="str">
        <f ca="1">ייצוב!B23</f>
        <v/>
      </c>
      <c r="D43" s="477" t="str">
        <f ca="1">ייצוב!H23</f>
        <v/>
      </c>
      <c r="E43" s="477" t="str">
        <f ca="1">ייצוב!F23</f>
        <v/>
      </c>
      <c r="F43" s="478" t="str">
        <f ca="1">'סיכום לועדה- הזנת נתונים'!G43</f>
        <v/>
      </c>
      <c r="G43" s="478" t="str">
        <f t="shared" ca="1" si="1"/>
        <v/>
      </c>
      <c r="H43" s="479" t="str">
        <f t="shared" ca="1" si="2"/>
        <v/>
      </c>
      <c r="I43" s="480" t="str">
        <f t="shared" ca="1" si="3"/>
        <v/>
      </c>
      <c r="J43" s="480" t="str">
        <f t="shared" ca="1" si="4"/>
        <v/>
      </c>
      <c r="K43" s="481" t="str">
        <f t="shared" ca="1" si="5"/>
        <v/>
      </c>
      <c r="L43" s="481" t="str">
        <f t="shared" ca="1" si="6"/>
        <v/>
      </c>
      <c r="M43" s="482" t="str">
        <f t="shared" ca="1" si="7"/>
        <v/>
      </c>
      <c r="N43" s="482" t="str">
        <f t="shared" ca="1" si="8"/>
        <v/>
      </c>
      <c r="O43" s="481" t="str">
        <f t="shared" ca="1" si="9"/>
        <v/>
      </c>
      <c r="P43" s="481" t="str">
        <f t="shared" ca="1" si="10"/>
        <v/>
      </c>
      <c r="Q43" s="482" t="str">
        <f t="shared" ca="1" si="11"/>
        <v/>
      </c>
      <c r="R43" s="482" t="str">
        <f t="shared" ca="1" si="12"/>
        <v/>
      </c>
      <c r="S43" s="481" t="str">
        <f t="shared" ca="1" si="13"/>
        <v/>
      </c>
      <c r="T43" s="481" t="str">
        <f t="shared" ca="1" si="14"/>
        <v/>
      </c>
      <c r="U43" s="482" t="str">
        <f t="shared" ca="1" si="15"/>
        <v/>
      </c>
      <c r="V43" s="482" t="str">
        <f t="shared" ca="1" si="16"/>
        <v/>
      </c>
      <c r="W43" s="481" t="str">
        <f t="shared" ca="1" si="17"/>
        <v/>
      </c>
      <c r="X43" s="481" t="str">
        <f t="shared" ca="1" si="18"/>
        <v/>
      </c>
      <c r="Y43" s="482" t="str">
        <f t="shared" ca="1" si="19"/>
        <v/>
      </c>
      <c r="Z43" s="482" t="str">
        <f t="shared" ca="1" si="20"/>
        <v/>
      </c>
      <c r="AA43" s="481" t="str">
        <f t="shared" ca="1" si="21"/>
        <v/>
      </c>
      <c r="AB43" s="481" t="str">
        <f t="shared" ca="1" si="22"/>
        <v/>
      </c>
      <c r="AC43" s="482" t="str">
        <f t="shared" ca="1" si="23"/>
        <v/>
      </c>
      <c r="AD43" s="482" t="str">
        <f t="shared" ca="1" si="24"/>
        <v/>
      </c>
      <c r="AE43" s="481" t="str">
        <f t="shared" ca="1" si="25"/>
        <v/>
      </c>
      <c r="AF43" s="481" t="str">
        <f t="shared" ca="1" si="26"/>
        <v/>
      </c>
      <c r="AG43" s="482" t="str">
        <f t="shared" ca="1" si="27"/>
        <v/>
      </c>
      <c r="AH43" s="482" t="str">
        <f t="shared" ca="1" si="28"/>
        <v/>
      </c>
      <c r="AI43" s="481" t="str">
        <f t="shared" ca="1" si="29"/>
        <v/>
      </c>
      <c r="AJ43" s="481" t="str">
        <f t="shared" ca="1" si="30"/>
        <v/>
      </c>
      <c r="AK43" s="482" t="str">
        <f t="shared" ca="1" si="31"/>
        <v/>
      </c>
      <c r="AL43" s="482" t="str">
        <f t="shared" ca="1" si="32"/>
        <v/>
      </c>
      <c r="AM43" s="481" t="str">
        <f t="shared" ca="1" si="33"/>
        <v/>
      </c>
      <c r="AN43" s="481" t="str">
        <f t="shared" ca="1" si="34"/>
        <v/>
      </c>
      <c r="AO43" s="482" t="str">
        <f t="shared" ca="1" si="35"/>
        <v/>
      </c>
      <c r="AP43" s="482" t="str">
        <f t="shared" ca="1" si="36"/>
        <v/>
      </c>
      <c r="AQ43" s="481" t="str">
        <f t="shared" ca="1" si="37"/>
        <v/>
      </c>
      <c r="AR43" s="481" t="str">
        <f t="shared" ca="1" si="38"/>
        <v/>
      </c>
      <c r="AS43" s="482" t="str">
        <f t="shared" ca="1" si="39"/>
        <v/>
      </c>
      <c r="AT43" s="482" t="str">
        <f t="shared" ca="1" si="40"/>
        <v/>
      </c>
      <c r="AU43" s="483" t="str">
        <f t="shared" ca="1" si="42"/>
        <v/>
      </c>
      <c r="AV43" s="484" t="str">
        <f t="shared" ca="1" si="41"/>
        <v/>
      </c>
      <c r="BA43" s="474" t="str">
        <f t="shared" ca="1" si="43"/>
        <v/>
      </c>
      <c r="BB43" s="474" t="str">
        <f t="shared" ca="1" si="43"/>
        <v/>
      </c>
      <c r="BD43" s="470">
        <f t="shared" ca="1" si="44"/>
        <v>0</v>
      </c>
    </row>
    <row r="44" spans="2:56" x14ac:dyDescent="0.25">
      <c r="B44" s="475">
        <f t="shared" ca="1" si="0"/>
        <v>14</v>
      </c>
      <c r="C44" s="489" t="str">
        <f ca="1">ייצוב!B24</f>
        <v>פסיפס</v>
      </c>
      <c r="D44" s="477">
        <f ca="1">ייצוב!H24</f>
        <v>1.9810264815710049E-2</v>
      </c>
      <c r="E44" s="477">
        <f ca="1">ייצוב!F24</f>
        <v>2.2591999429444641E-2</v>
      </c>
      <c r="F44" s="478">
        <f ca="1">'סיכום לועדה- הזנת נתונים'!G44</f>
        <v>1</v>
      </c>
      <c r="G44" s="478">
        <f t="shared" ca="1" si="1"/>
        <v>0</v>
      </c>
      <c r="H44" s="479">
        <f t="shared" ca="1" si="2"/>
        <v>0</v>
      </c>
      <c r="I44" s="480">
        <f t="shared" ca="1" si="3"/>
        <v>1.9810264815710049E-2</v>
      </c>
      <c r="J44" s="480">
        <f t="shared" ca="1" si="4"/>
        <v>1.9810264815710049E-2</v>
      </c>
      <c r="K44" s="481">
        <f t="shared" ca="1" si="5"/>
        <v>0</v>
      </c>
      <c r="L44" s="481">
        <f t="shared" ca="1" si="6"/>
        <v>0</v>
      </c>
      <c r="M44" s="482">
        <f t="shared" ca="1" si="7"/>
        <v>1.9810264815710049E-2</v>
      </c>
      <c r="N44" s="482">
        <f t="shared" ca="1" si="8"/>
        <v>1.9810264815710049E-2</v>
      </c>
      <c r="O44" s="481">
        <f t="shared" ca="1" si="9"/>
        <v>0</v>
      </c>
      <c r="P44" s="481">
        <f t="shared" ca="1" si="10"/>
        <v>0</v>
      </c>
      <c r="Q44" s="482">
        <f t="shared" ca="1" si="11"/>
        <v>1.9810264815710049E-2</v>
      </c>
      <c r="R44" s="482">
        <f t="shared" ca="1" si="12"/>
        <v>1.9810264815710049E-2</v>
      </c>
      <c r="S44" s="481">
        <f t="shared" ca="1" si="13"/>
        <v>0</v>
      </c>
      <c r="T44" s="481">
        <f t="shared" ca="1" si="14"/>
        <v>0</v>
      </c>
      <c r="U44" s="482">
        <f t="shared" ca="1" si="15"/>
        <v>1.9810264815710049E-2</v>
      </c>
      <c r="V44" s="482">
        <f t="shared" ca="1" si="16"/>
        <v>1.9810264815710049E-2</v>
      </c>
      <c r="W44" s="481">
        <f t="shared" ca="1" si="17"/>
        <v>0</v>
      </c>
      <c r="X44" s="481">
        <f t="shared" ca="1" si="18"/>
        <v>0</v>
      </c>
      <c r="Y44" s="482">
        <f t="shared" ca="1" si="19"/>
        <v>1.9810264815710049E-2</v>
      </c>
      <c r="Z44" s="482">
        <f t="shared" ca="1" si="20"/>
        <v>1.9810264815710049E-2</v>
      </c>
      <c r="AA44" s="481">
        <f t="shared" ca="1" si="21"/>
        <v>0</v>
      </c>
      <c r="AB44" s="481">
        <f t="shared" ca="1" si="22"/>
        <v>0</v>
      </c>
      <c r="AC44" s="482">
        <f t="shared" ca="1" si="23"/>
        <v>1.9810264815710049E-2</v>
      </c>
      <c r="AD44" s="482">
        <f t="shared" ca="1" si="24"/>
        <v>1.9810264815710049E-2</v>
      </c>
      <c r="AE44" s="481">
        <f t="shared" ca="1" si="25"/>
        <v>0</v>
      </c>
      <c r="AF44" s="481">
        <f t="shared" ca="1" si="26"/>
        <v>0</v>
      </c>
      <c r="AG44" s="482">
        <f t="shared" ca="1" si="27"/>
        <v>1.9810264815710049E-2</v>
      </c>
      <c r="AH44" s="482">
        <f t="shared" ca="1" si="28"/>
        <v>1.9810264815710049E-2</v>
      </c>
      <c r="AI44" s="481">
        <f t="shared" ca="1" si="29"/>
        <v>0</v>
      </c>
      <c r="AJ44" s="481">
        <f t="shared" ca="1" si="30"/>
        <v>0</v>
      </c>
      <c r="AK44" s="482">
        <f t="shared" ca="1" si="31"/>
        <v>1.9810264815710049E-2</v>
      </c>
      <c r="AL44" s="482">
        <f t="shared" ca="1" si="32"/>
        <v>1.9810264815710049E-2</v>
      </c>
      <c r="AM44" s="481">
        <f t="shared" ca="1" si="33"/>
        <v>0</v>
      </c>
      <c r="AN44" s="481">
        <f t="shared" ca="1" si="34"/>
        <v>0</v>
      </c>
      <c r="AO44" s="482">
        <f t="shared" ca="1" si="35"/>
        <v>1.9810264815710049E-2</v>
      </c>
      <c r="AP44" s="482">
        <f t="shared" ca="1" si="36"/>
        <v>1.9810264815710049E-2</v>
      </c>
      <c r="AQ44" s="481">
        <f t="shared" ca="1" si="37"/>
        <v>0</v>
      </c>
      <c r="AR44" s="481">
        <f t="shared" ca="1" si="38"/>
        <v>0</v>
      </c>
      <c r="AS44" s="482">
        <f t="shared" ca="1" si="39"/>
        <v>1.9810264815710049E-2</v>
      </c>
      <c r="AT44" s="482">
        <f t="shared" ca="1" si="40"/>
        <v>1.9810264815710049E-2</v>
      </c>
      <c r="AU44" s="483">
        <f t="shared" ca="1" si="42"/>
        <v>1.9810264815710049E-2</v>
      </c>
      <c r="AV44" s="484">
        <f t="shared" ca="1" si="41"/>
        <v>37776.471320784913</v>
      </c>
      <c r="BA44" s="474">
        <f t="shared" ca="1" si="43"/>
        <v>0</v>
      </c>
      <c r="BB44" s="474">
        <f t="shared" ca="1" si="43"/>
        <v>1</v>
      </c>
      <c r="BD44" s="470">
        <f t="shared" ca="1" si="44"/>
        <v>1</v>
      </c>
    </row>
    <row r="45" spans="2:56" x14ac:dyDescent="0.25">
      <c r="B45" s="475">
        <f t="shared" ca="1" si="0"/>
        <v>15</v>
      </c>
      <c r="C45" s="489" t="str">
        <f ca="1">ייצוב!B25</f>
        <v>קתרזיס ( עמותת מצרף)</v>
      </c>
      <c r="D45" s="477">
        <f ca="1">ייצוב!H25</f>
        <v>1.8281414232702509E-2</v>
      </c>
      <c r="E45" s="477">
        <f ca="1">ייצוב!F25</f>
        <v>1.520781744745699E-2</v>
      </c>
      <c r="F45" s="478">
        <f ca="1">'סיכום לועדה- הזנת נתונים'!G45</f>
        <v>1</v>
      </c>
      <c r="G45" s="478">
        <f t="shared" ca="1" si="1"/>
        <v>0</v>
      </c>
      <c r="H45" s="479">
        <f t="shared" ca="1" si="2"/>
        <v>0</v>
      </c>
      <c r="I45" s="480">
        <f t="shared" ca="1" si="3"/>
        <v>1.8281414232702509E-2</v>
      </c>
      <c r="J45" s="480">
        <f t="shared" ca="1" si="4"/>
        <v>1.8281414232702509E-2</v>
      </c>
      <c r="K45" s="481">
        <f t="shared" ca="1" si="5"/>
        <v>0</v>
      </c>
      <c r="L45" s="481">
        <f t="shared" ca="1" si="6"/>
        <v>0</v>
      </c>
      <c r="M45" s="482">
        <f t="shared" ca="1" si="7"/>
        <v>1.8281414232702509E-2</v>
      </c>
      <c r="N45" s="482">
        <f t="shared" ca="1" si="8"/>
        <v>1.8281414232702509E-2</v>
      </c>
      <c r="O45" s="481">
        <f t="shared" ca="1" si="9"/>
        <v>0</v>
      </c>
      <c r="P45" s="481">
        <f t="shared" ca="1" si="10"/>
        <v>0</v>
      </c>
      <c r="Q45" s="482">
        <f t="shared" ca="1" si="11"/>
        <v>1.8281414232702509E-2</v>
      </c>
      <c r="R45" s="482">
        <f t="shared" ca="1" si="12"/>
        <v>1.8281414232702509E-2</v>
      </c>
      <c r="S45" s="481">
        <f t="shared" ca="1" si="13"/>
        <v>0</v>
      </c>
      <c r="T45" s="481">
        <f t="shared" ca="1" si="14"/>
        <v>0</v>
      </c>
      <c r="U45" s="482">
        <f t="shared" ca="1" si="15"/>
        <v>1.8281414232702509E-2</v>
      </c>
      <c r="V45" s="482">
        <f t="shared" ca="1" si="16"/>
        <v>1.8281414232702509E-2</v>
      </c>
      <c r="W45" s="481">
        <f t="shared" ca="1" si="17"/>
        <v>0</v>
      </c>
      <c r="X45" s="481">
        <f t="shared" ca="1" si="18"/>
        <v>0</v>
      </c>
      <c r="Y45" s="482">
        <f t="shared" ca="1" si="19"/>
        <v>1.8281414232702509E-2</v>
      </c>
      <c r="Z45" s="482">
        <f t="shared" ca="1" si="20"/>
        <v>1.8281414232702509E-2</v>
      </c>
      <c r="AA45" s="481">
        <f t="shared" ca="1" si="21"/>
        <v>0</v>
      </c>
      <c r="AB45" s="481">
        <f t="shared" ca="1" si="22"/>
        <v>0</v>
      </c>
      <c r="AC45" s="482">
        <f t="shared" ca="1" si="23"/>
        <v>1.8281414232702509E-2</v>
      </c>
      <c r="AD45" s="482">
        <f t="shared" ca="1" si="24"/>
        <v>1.8281414232702509E-2</v>
      </c>
      <c r="AE45" s="481">
        <f t="shared" ca="1" si="25"/>
        <v>0</v>
      </c>
      <c r="AF45" s="481">
        <f t="shared" ca="1" si="26"/>
        <v>0</v>
      </c>
      <c r="AG45" s="482">
        <f t="shared" ca="1" si="27"/>
        <v>1.8281414232702509E-2</v>
      </c>
      <c r="AH45" s="482">
        <f t="shared" ca="1" si="28"/>
        <v>1.8281414232702509E-2</v>
      </c>
      <c r="AI45" s="481">
        <f t="shared" ca="1" si="29"/>
        <v>0</v>
      </c>
      <c r="AJ45" s="481">
        <f t="shared" ca="1" si="30"/>
        <v>0</v>
      </c>
      <c r="AK45" s="482">
        <f t="shared" ca="1" si="31"/>
        <v>1.8281414232702509E-2</v>
      </c>
      <c r="AL45" s="482">
        <f t="shared" ca="1" si="32"/>
        <v>1.8281414232702509E-2</v>
      </c>
      <c r="AM45" s="481">
        <f t="shared" ca="1" si="33"/>
        <v>0</v>
      </c>
      <c r="AN45" s="481">
        <f t="shared" ca="1" si="34"/>
        <v>0</v>
      </c>
      <c r="AO45" s="482">
        <f t="shared" ca="1" si="35"/>
        <v>1.8281414232702509E-2</v>
      </c>
      <c r="AP45" s="482">
        <f t="shared" ca="1" si="36"/>
        <v>1.8281414232702509E-2</v>
      </c>
      <c r="AQ45" s="481">
        <f t="shared" ca="1" si="37"/>
        <v>0</v>
      </c>
      <c r="AR45" s="481">
        <f t="shared" ca="1" si="38"/>
        <v>0</v>
      </c>
      <c r="AS45" s="482">
        <f t="shared" ca="1" si="39"/>
        <v>1.8281414232702509E-2</v>
      </c>
      <c r="AT45" s="482">
        <f t="shared" ca="1" si="40"/>
        <v>1.8281414232702509E-2</v>
      </c>
      <c r="AU45" s="483">
        <f t="shared" ca="1" si="42"/>
        <v>1.8281414232702509E-2</v>
      </c>
      <c r="AV45" s="484">
        <f t="shared" ca="1" si="41"/>
        <v>34861.084740139675</v>
      </c>
      <c r="BA45" s="474">
        <f t="shared" ca="1" si="43"/>
        <v>0</v>
      </c>
      <c r="BB45" s="474">
        <f t="shared" ca="1" si="43"/>
        <v>1</v>
      </c>
      <c r="BD45" s="470">
        <f t="shared" ca="1" si="44"/>
        <v>1</v>
      </c>
    </row>
    <row r="46" spans="2:56" x14ac:dyDescent="0.25">
      <c r="B46" s="475" t="str">
        <f t="shared" ca="1" si="0"/>
        <v/>
      </c>
      <c r="C46" s="489" t="str">
        <f ca="1">ייצוב!B26</f>
        <v/>
      </c>
      <c r="D46" s="477" t="str">
        <f ca="1">ייצוב!H26</f>
        <v/>
      </c>
      <c r="E46" s="477" t="str">
        <f ca="1">ייצוב!F26</f>
        <v/>
      </c>
      <c r="F46" s="478" t="str">
        <f ca="1">'סיכום לועדה- הזנת נתונים'!G46</f>
        <v/>
      </c>
      <c r="G46" s="478" t="str">
        <f t="shared" ca="1" si="1"/>
        <v/>
      </c>
      <c r="H46" s="479" t="str">
        <f t="shared" ca="1" si="2"/>
        <v/>
      </c>
      <c r="I46" s="480" t="str">
        <f t="shared" ca="1" si="3"/>
        <v/>
      </c>
      <c r="J46" s="480" t="str">
        <f t="shared" ca="1" si="4"/>
        <v/>
      </c>
      <c r="K46" s="481" t="str">
        <f t="shared" ca="1" si="5"/>
        <v/>
      </c>
      <c r="L46" s="481" t="str">
        <f t="shared" ca="1" si="6"/>
        <v/>
      </c>
      <c r="M46" s="482" t="str">
        <f t="shared" ca="1" si="7"/>
        <v/>
      </c>
      <c r="N46" s="482" t="str">
        <f t="shared" ca="1" si="8"/>
        <v/>
      </c>
      <c r="O46" s="481" t="str">
        <f t="shared" ca="1" si="9"/>
        <v/>
      </c>
      <c r="P46" s="481" t="str">
        <f t="shared" ca="1" si="10"/>
        <v/>
      </c>
      <c r="Q46" s="482" t="str">
        <f t="shared" ca="1" si="11"/>
        <v/>
      </c>
      <c r="R46" s="482" t="str">
        <f t="shared" ca="1" si="12"/>
        <v/>
      </c>
      <c r="S46" s="481" t="str">
        <f t="shared" ca="1" si="13"/>
        <v/>
      </c>
      <c r="T46" s="481" t="str">
        <f t="shared" ca="1" si="14"/>
        <v/>
      </c>
      <c r="U46" s="482" t="str">
        <f t="shared" ca="1" si="15"/>
        <v/>
      </c>
      <c r="V46" s="482" t="str">
        <f t="shared" ca="1" si="16"/>
        <v/>
      </c>
      <c r="W46" s="481" t="str">
        <f t="shared" ca="1" si="17"/>
        <v/>
      </c>
      <c r="X46" s="481" t="str">
        <f t="shared" ca="1" si="18"/>
        <v/>
      </c>
      <c r="Y46" s="482" t="str">
        <f t="shared" ca="1" si="19"/>
        <v/>
      </c>
      <c r="Z46" s="482" t="str">
        <f t="shared" ca="1" si="20"/>
        <v/>
      </c>
      <c r="AA46" s="481" t="str">
        <f t="shared" ca="1" si="21"/>
        <v/>
      </c>
      <c r="AB46" s="481" t="str">
        <f t="shared" ca="1" si="22"/>
        <v/>
      </c>
      <c r="AC46" s="482" t="str">
        <f t="shared" ca="1" si="23"/>
        <v/>
      </c>
      <c r="AD46" s="482" t="str">
        <f t="shared" ca="1" si="24"/>
        <v/>
      </c>
      <c r="AE46" s="481" t="str">
        <f t="shared" ca="1" si="25"/>
        <v/>
      </c>
      <c r="AF46" s="481" t="str">
        <f t="shared" ca="1" si="26"/>
        <v/>
      </c>
      <c r="AG46" s="482" t="str">
        <f t="shared" ca="1" si="27"/>
        <v/>
      </c>
      <c r="AH46" s="482" t="str">
        <f t="shared" ca="1" si="28"/>
        <v/>
      </c>
      <c r="AI46" s="481" t="str">
        <f t="shared" ca="1" si="29"/>
        <v/>
      </c>
      <c r="AJ46" s="481" t="str">
        <f t="shared" ca="1" si="30"/>
        <v/>
      </c>
      <c r="AK46" s="482" t="str">
        <f t="shared" ca="1" si="31"/>
        <v/>
      </c>
      <c r="AL46" s="482" t="str">
        <f t="shared" ca="1" si="32"/>
        <v/>
      </c>
      <c r="AM46" s="481" t="str">
        <f t="shared" ca="1" si="33"/>
        <v/>
      </c>
      <c r="AN46" s="481" t="str">
        <f t="shared" ca="1" si="34"/>
        <v/>
      </c>
      <c r="AO46" s="482" t="str">
        <f t="shared" ca="1" si="35"/>
        <v/>
      </c>
      <c r="AP46" s="482" t="str">
        <f t="shared" ca="1" si="36"/>
        <v/>
      </c>
      <c r="AQ46" s="481" t="str">
        <f t="shared" ca="1" si="37"/>
        <v/>
      </c>
      <c r="AR46" s="481" t="str">
        <f t="shared" ca="1" si="38"/>
        <v/>
      </c>
      <c r="AS46" s="482" t="str">
        <f t="shared" ca="1" si="39"/>
        <v/>
      </c>
      <c r="AT46" s="482" t="str">
        <f t="shared" ca="1" si="40"/>
        <v/>
      </c>
      <c r="AU46" s="483" t="str">
        <f t="shared" ca="1" si="42"/>
        <v/>
      </c>
      <c r="AV46" s="484" t="str">
        <f t="shared" ca="1" si="41"/>
        <v/>
      </c>
      <c r="BA46" s="474" t="str">
        <f t="shared" ca="1" si="43"/>
        <v/>
      </c>
      <c r="BB46" s="474" t="str">
        <f t="shared" ca="1" si="43"/>
        <v/>
      </c>
      <c r="BD46" s="470">
        <f t="shared" ca="1" si="44"/>
        <v>0</v>
      </c>
    </row>
    <row r="47" spans="2:56" x14ac:dyDescent="0.25">
      <c r="B47" s="475">
        <f t="shared" ca="1" si="0"/>
        <v>17</v>
      </c>
      <c r="C47" s="489" t="str">
        <f ca="1">ייצוב!B27</f>
        <v>הכיוון מזרח (עמותת אחותי)</v>
      </c>
      <c r="D47" s="477">
        <f ca="1">ייצוב!H27</f>
        <v>5.0488110505417988E-2</v>
      </c>
      <c r="E47" s="477">
        <f ca="1">ייצוב!F27</f>
        <v>7.0498197611428726E-2</v>
      </c>
      <c r="F47" s="478">
        <f ca="1">'סיכום לועדה- הזנת נתונים'!G47</f>
        <v>0</v>
      </c>
      <c r="G47" s="478">
        <f t="shared" ca="1" si="1"/>
        <v>1</v>
      </c>
      <c r="H47" s="479">
        <f t="shared" ca="1" si="2"/>
        <v>0</v>
      </c>
      <c r="I47" s="480">
        <f t="shared" ca="1" si="3"/>
        <v>5.0488110505417988E-2</v>
      </c>
      <c r="J47" s="480">
        <f t="shared" ca="1" si="4"/>
        <v>5.0488110505417988E-2</v>
      </c>
      <c r="K47" s="481">
        <f t="shared" ca="1" si="5"/>
        <v>1</v>
      </c>
      <c r="L47" s="481">
        <f t="shared" ca="1" si="6"/>
        <v>0</v>
      </c>
      <c r="M47" s="482">
        <f t="shared" ca="1" si="7"/>
        <v>5.0488110505417988E-2</v>
      </c>
      <c r="N47" s="482">
        <f t="shared" ca="1" si="8"/>
        <v>5.0488110505417988E-2</v>
      </c>
      <c r="O47" s="481">
        <f t="shared" ca="1" si="9"/>
        <v>1</v>
      </c>
      <c r="P47" s="481">
        <f t="shared" ca="1" si="10"/>
        <v>0</v>
      </c>
      <c r="Q47" s="482">
        <f t="shared" ca="1" si="11"/>
        <v>5.0488110505417988E-2</v>
      </c>
      <c r="R47" s="482">
        <f t="shared" ca="1" si="12"/>
        <v>5.0488110505417988E-2</v>
      </c>
      <c r="S47" s="481">
        <f t="shared" ca="1" si="13"/>
        <v>1</v>
      </c>
      <c r="T47" s="481">
        <f t="shared" ca="1" si="14"/>
        <v>0</v>
      </c>
      <c r="U47" s="482">
        <f t="shared" ca="1" si="15"/>
        <v>5.0488110505417988E-2</v>
      </c>
      <c r="V47" s="482">
        <f t="shared" ca="1" si="16"/>
        <v>5.0488110505417988E-2</v>
      </c>
      <c r="W47" s="481">
        <f t="shared" ca="1" si="17"/>
        <v>1</v>
      </c>
      <c r="X47" s="481">
        <f t="shared" ca="1" si="18"/>
        <v>0</v>
      </c>
      <c r="Y47" s="482">
        <f t="shared" ca="1" si="19"/>
        <v>5.0488110505417988E-2</v>
      </c>
      <c r="Z47" s="482">
        <f t="shared" ca="1" si="20"/>
        <v>5.0488110505417988E-2</v>
      </c>
      <c r="AA47" s="481">
        <f t="shared" ca="1" si="21"/>
        <v>1</v>
      </c>
      <c r="AB47" s="481">
        <f t="shared" ca="1" si="22"/>
        <v>0</v>
      </c>
      <c r="AC47" s="482">
        <f t="shared" ca="1" si="23"/>
        <v>5.0488110505417988E-2</v>
      </c>
      <c r="AD47" s="482">
        <f t="shared" ca="1" si="24"/>
        <v>5.0488110505417988E-2</v>
      </c>
      <c r="AE47" s="481">
        <f t="shared" ca="1" si="25"/>
        <v>1</v>
      </c>
      <c r="AF47" s="481">
        <f t="shared" ca="1" si="26"/>
        <v>0</v>
      </c>
      <c r="AG47" s="482">
        <f t="shared" ca="1" si="27"/>
        <v>5.0488110505417988E-2</v>
      </c>
      <c r="AH47" s="482">
        <f t="shared" ca="1" si="28"/>
        <v>5.0488110505417988E-2</v>
      </c>
      <c r="AI47" s="481">
        <f t="shared" ca="1" si="29"/>
        <v>1</v>
      </c>
      <c r="AJ47" s="481">
        <f t="shared" ca="1" si="30"/>
        <v>0</v>
      </c>
      <c r="AK47" s="482">
        <f t="shared" ca="1" si="31"/>
        <v>5.0488110505417988E-2</v>
      </c>
      <c r="AL47" s="482">
        <f t="shared" ca="1" si="32"/>
        <v>5.0488110505417988E-2</v>
      </c>
      <c r="AM47" s="481">
        <f t="shared" ca="1" si="33"/>
        <v>1</v>
      </c>
      <c r="AN47" s="481">
        <f t="shared" ca="1" si="34"/>
        <v>0</v>
      </c>
      <c r="AO47" s="482">
        <f t="shared" ca="1" si="35"/>
        <v>5.0488110505417988E-2</v>
      </c>
      <c r="AP47" s="482">
        <f t="shared" ca="1" si="36"/>
        <v>5.0488110505417988E-2</v>
      </c>
      <c r="AQ47" s="481">
        <f t="shared" ca="1" si="37"/>
        <v>1</v>
      </c>
      <c r="AR47" s="481">
        <f t="shared" ca="1" si="38"/>
        <v>0</v>
      </c>
      <c r="AS47" s="482">
        <f t="shared" ca="1" si="39"/>
        <v>5.0488110505417988E-2</v>
      </c>
      <c r="AT47" s="482">
        <f t="shared" ca="1" si="40"/>
        <v>5.0488110505417988E-2</v>
      </c>
      <c r="AU47" s="483">
        <f t="shared" ca="1" si="42"/>
        <v>5.0488110505417988E-2</v>
      </c>
      <c r="AV47" s="484">
        <f t="shared" ca="1" si="41"/>
        <v>96276.484756328631</v>
      </c>
      <c r="BA47" s="474">
        <f t="shared" ca="1" si="43"/>
        <v>0</v>
      </c>
      <c r="BB47" s="474">
        <f t="shared" ca="1" si="43"/>
        <v>1</v>
      </c>
      <c r="BD47" s="470">
        <f t="shared" ca="1" si="44"/>
        <v>1</v>
      </c>
    </row>
    <row r="48" spans="2:56" x14ac:dyDescent="0.25">
      <c r="B48" s="475" t="str">
        <f t="shared" ca="1" si="0"/>
        <v/>
      </c>
      <c r="C48" s="489" t="str">
        <f ca="1">ייצוב!B28</f>
        <v/>
      </c>
      <c r="D48" s="477" t="str">
        <f ca="1">ייצוב!H28</f>
        <v/>
      </c>
      <c r="E48" s="477" t="str">
        <f ca="1">ייצוב!F28</f>
        <v/>
      </c>
      <c r="F48" s="478" t="str">
        <f ca="1">'סיכום לועדה- הזנת נתונים'!G48</f>
        <v/>
      </c>
      <c r="G48" s="478" t="str">
        <f t="shared" ca="1" si="1"/>
        <v/>
      </c>
      <c r="H48" s="479" t="str">
        <f t="shared" ca="1" si="2"/>
        <v/>
      </c>
      <c r="I48" s="480" t="str">
        <f t="shared" ca="1" si="3"/>
        <v/>
      </c>
      <c r="J48" s="480" t="str">
        <f t="shared" ca="1" si="4"/>
        <v/>
      </c>
      <c r="K48" s="481" t="str">
        <f t="shared" ca="1" si="5"/>
        <v/>
      </c>
      <c r="L48" s="481" t="str">
        <f t="shared" ca="1" si="6"/>
        <v/>
      </c>
      <c r="M48" s="482" t="str">
        <f t="shared" ca="1" si="7"/>
        <v/>
      </c>
      <c r="N48" s="482" t="str">
        <f t="shared" ca="1" si="8"/>
        <v/>
      </c>
      <c r="O48" s="481" t="str">
        <f t="shared" ca="1" si="9"/>
        <v/>
      </c>
      <c r="P48" s="481" t="str">
        <f t="shared" ca="1" si="10"/>
        <v/>
      </c>
      <c r="Q48" s="482" t="str">
        <f t="shared" ca="1" si="11"/>
        <v/>
      </c>
      <c r="R48" s="482" t="str">
        <f t="shared" ca="1" si="12"/>
        <v/>
      </c>
      <c r="S48" s="481" t="str">
        <f t="shared" ca="1" si="13"/>
        <v/>
      </c>
      <c r="T48" s="481" t="str">
        <f t="shared" ca="1" si="14"/>
        <v/>
      </c>
      <c r="U48" s="482" t="str">
        <f t="shared" ca="1" si="15"/>
        <v/>
      </c>
      <c r="V48" s="482" t="str">
        <f t="shared" ca="1" si="16"/>
        <v/>
      </c>
      <c r="W48" s="481" t="str">
        <f t="shared" ca="1" si="17"/>
        <v/>
      </c>
      <c r="X48" s="481" t="str">
        <f t="shared" ca="1" si="18"/>
        <v/>
      </c>
      <c r="Y48" s="482" t="str">
        <f t="shared" ca="1" si="19"/>
        <v/>
      </c>
      <c r="Z48" s="482" t="str">
        <f t="shared" ca="1" si="20"/>
        <v/>
      </c>
      <c r="AA48" s="481" t="str">
        <f t="shared" ca="1" si="21"/>
        <v/>
      </c>
      <c r="AB48" s="481" t="str">
        <f t="shared" ca="1" si="22"/>
        <v/>
      </c>
      <c r="AC48" s="482" t="str">
        <f t="shared" ca="1" si="23"/>
        <v/>
      </c>
      <c r="AD48" s="482" t="str">
        <f t="shared" ca="1" si="24"/>
        <v/>
      </c>
      <c r="AE48" s="481" t="str">
        <f t="shared" ca="1" si="25"/>
        <v/>
      </c>
      <c r="AF48" s="481" t="str">
        <f t="shared" ca="1" si="26"/>
        <v/>
      </c>
      <c r="AG48" s="482" t="str">
        <f t="shared" ca="1" si="27"/>
        <v/>
      </c>
      <c r="AH48" s="482" t="str">
        <f t="shared" ca="1" si="28"/>
        <v/>
      </c>
      <c r="AI48" s="481" t="str">
        <f t="shared" ca="1" si="29"/>
        <v/>
      </c>
      <c r="AJ48" s="481" t="str">
        <f t="shared" ca="1" si="30"/>
        <v/>
      </c>
      <c r="AK48" s="482" t="str">
        <f t="shared" ca="1" si="31"/>
        <v/>
      </c>
      <c r="AL48" s="482" t="str">
        <f t="shared" ca="1" si="32"/>
        <v/>
      </c>
      <c r="AM48" s="481" t="str">
        <f t="shared" ca="1" si="33"/>
        <v/>
      </c>
      <c r="AN48" s="481" t="str">
        <f t="shared" ca="1" si="34"/>
        <v/>
      </c>
      <c r="AO48" s="482" t="str">
        <f t="shared" ca="1" si="35"/>
        <v/>
      </c>
      <c r="AP48" s="482" t="str">
        <f t="shared" ca="1" si="36"/>
        <v/>
      </c>
      <c r="AQ48" s="481" t="str">
        <f t="shared" ca="1" si="37"/>
        <v/>
      </c>
      <c r="AR48" s="481" t="str">
        <f t="shared" ca="1" si="38"/>
        <v/>
      </c>
      <c r="AS48" s="482" t="str">
        <f t="shared" ca="1" si="39"/>
        <v/>
      </c>
      <c r="AT48" s="482" t="str">
        <f t="shared" ca="1" si="40"/>
        <v/>
      </c>
      <c r="AU48" s="483" t="str">
        <f t="shared" ca="1" si="42"/>
        <v/>
      </c>
      <c r="AV48" s="484" t="str">
        <f t="shared" ca="1" si="41"/>
        <v/>
      </c>
      <c r="BA48" s="474" t="str">
        <f t="shared" ca="1" si="43"/>
        <v/>
      </c>
      <c r="BB48" s="474" t="str">
        <f t="shared" ca="1" si="43"/>
        <v/>
      </c>
      <c r="BD48" s="470">
        <f t="shared" ca="1" si="44"/>
        <v>0</v>
      </c>
    </row>
    <row r="49" spans="2:56" x14ac:dyDescent="0.25">
      <c r="B49" s="475">
        <f t="shared" ca="1" si="0"/>
        <v>19</v>
      </c>
      <c r="C49" s="489" t="str">
        <f ca="1">ייצוב!B29</f>
        <v>הו</v>
      </c>
      <c r="D49" s="477">
        <f ca="1">ייצוב!H29</f>
        <v>5.1452882567054381E-2</v>
      </c>
      <c r="E49" s="477">
        <f ca="1">ייצוב!F29</f>
        <v>6.2204693027582789E-2</v>
      </c>
      <c r="F49" s="478">
        <f ca="1">'סיכום לועדה- הזנת נתונים'!G49</f>
        <v>0</v>
      </c>
      <c r="G49" s="478">
        <f t="shared" ca="1" si="1"/>
        <v>0</v>
      </c>
      <c r="H49" s="479">
        <f t="shared" ca="1" si="2"/>
        <v>0</v>
      </c>
      <c r="I49" s="480">
        <f t="shared" ca="1" si="3"/>
        <v>5.1452882567054381E-2</v>
      </c>
      <c r="J49" s="480">
        <f t="shared" ca="1" si="4"/>
        <v>5.1452882567054381E-2</v>
      </c>
      <c r="K49" s="481">
        <f t="shared" ca="1" si="5"/>
        <v>0</v>
      </c>
      <c r="L49" s="481">
        <f t="shared" ca="1" si="6"/>
        <v>0</v>
      </c>
      <c r="M49" s="482">
        <f t="shared" ca="1" si="7"/>
        <v>5.1452882567054381E-2</v>
      </c>
      <c r="N49" s="482">
        <f t="shared" ca="1" si="8"/>
        <v>5.1452882567054381E-2</v>
      </c>
      <c r="O49" s="481">
        <f t="shared" ca="1" si="9"/>
        <v>0</v>
      </c>
      <c r="P49" s="481">
        <f t="shared" ca="1" si="10"/>
        <v>0</v>
      </c>
      <c r="Q49" s="482">
        <f t="shared" ca="1" si="11"/>
        <v>5.1452882567054381E-2</v>
      </c>
      <c r="R49" s="482">
        <f t="shared" ca="1" si="12"/>
        <v>5.1452882567054381E-2</v>
      </c>
      <c r="S49" s="481">
        <f t="shared" ca="1" si="13"/>
        <v>0</v>
      </c>
      <c r="T49" s="481">
        <f t="shared" ca="1" si="14"/>
        <v>0</v>
      </c>
      <c r="U49" s="482">
        <f t="shared" ca="1" si="15"/>
        <v>5.1452882567054381E-2</v>
      </c>
      <c r="V49" s="482">
        <f t="shared" ca="1" si="16"/>
        <v>5.1452882567054381E-2</v>
      </c>
      <c r="W49" s="481">
        <f t="shared" ca="1" si="17"/>
        <v>0</v>
      </c>
      <c r="X49" s="481">
        <f t="shared" ca="1" si="18"/>
        <v>0</v>
      </c>
      <c r="Y49" s="482">
        <f t="shared" ca="1" si="19"/>
        <v>5.1452882567054381E-2</v>
      </c>
      <c r="Z49" s="482">
        <f t="shared" ca="1" si="20"/>
        <v>5.1452882567054381E-2</v>
      </c>
      <c r="AA49" s="481">
        <f t="shared" ca="1" si="21"/>
        <v>0</v>
      </c>
      <c r="AB49" s="481">
        <f t="shared" ca="1" si="22"/>
        <v>0</v>
      </c>
      <c r="AC49" s="482">
        <f t="shared" ca="1" si="23"/>
        <v>5.1452882567054381E-2</v>
      </c>
      <c r="AD49" s="482">
        <f t="shared" ca="1" si="24"/>
        <v>5.1452882567054381E-2</v>
      </c>
      <c r="AE49" s="481">
        <f t="shared" ca="1" si="25"/>
        <v>0</v>
      </c>
      <c r="AF49" s="481">
        <f t="shared" ca="1" si="26"/>
        <v>0</v>
      </c>
      <c r="AG49" s="482">
        <f t="shared" ca="1" si="27"/>
        <v>5.1452882567054381E-2</v>
      </c>
      <c r="AH49" s="482">
        <f t="shared" ca="1" si="28"/>
        <v>5.1452882567054381E-2</v>
      </c>
      <c r="AI49" s="481">
        <f t="shared" ca="1" si="29"/>
        <v>0</v>
      </c>
      <c r="AJ49" s="481">
        <f t="shared" ca="1" si="30"/>
        <v>0</v>
      </c>
      <c r="AK49" s="482">
        <f t="shared" ca="1" si="31"/>
        <v>5.1452882567054381E-2</v>
      </c>
      <c r="AL49" s="482">
        <f t="shared" ca="1" si="32"/>
        <v>5.1452882567054381E-2</v>
      </c>
      <c r="AM49" s="481">
        <f t="shared" ca="1" si="33"/>
        <v>0</v>
      </c>
      <c r="AN49" s="481">
        <f t="shared" ca="1" si="34"/>
        <v>0</v>
      </c>
      <c r="AO49" s="482">
        <f t="shared" ca="1" si="35"/>
        <v>5.1452882567054381E-2</v>
      </c>
      <c r="AP49" s="482">
        <f t="shared" ca="1" si="36"/>
        <v>5.1452882567054381E-2</v>
      </c>
      <c r="AQ49" s="481">
        <f t="shared" ca="1" si="37"/>
        <v>0</v>
      </c>
      <c r="AR49" s="481">
        <f t="shared" ca="1" si="38"/>
        <v>0</v>
      </c>
      <c r="AS49" s="482">
        <f t="shared" ca="1" si="39"/>
        <v>5.1452882567054381E-2</v>
      </c>
      <c r="AT49" s="482">
        <f t="shared" ca="1" si="40"/>
        <v>5.1452882567054381E-2</v>
      </c>
      <c r="AU49" s="483">
        <f t="shared" ca="1" si="42"/>
        <v>5.1452882567054381E-2</v>
      </c>
      <c r="AV49" s="484">
        <f t="shared" ca="1" si="41"/>
        <v>98116.222107471942</v>
      </c>
      <c r="BA49" s="474">
        <f t="shared" ca="1" si="43"/>
        <v>0</v>
      </c>
      <c r="BB49" s="474">
        <f t="shared" ca="1" si="43"/>
        <v>1</v>
      </c>
      <c r="BD49" s="470">
        <f t="shared" ca="1" si="44"/>
        <v>1</v>
      </c>
    </row>
    <row r="50" spans="2:56" x14ac:dyDescent="0.25">
      <c r="B50" s="475">
        <f t="shared" ca="1" si="0"/>
        <v>20</v>
      </c>
      <c r="C50" s="489" t="str">
        <f ca="1">ייצוב!B30</f>
        <v>הבא להבא (עמותת מקום לשירה)</v>
      </c>
      <c r="D50" s="477">
        <f ca="1">ייצוב!H30</f>
        <v>3.8999121618170506E-2</v>
      </c>
      <c r="E50" s="477">
        <f ca="1">ייצוב!F30</f>
        <v>3.1443473591362799E-2</v>
      </c>
      <c r="F50" s="478">
        <f ca="1">'סיכום לועדה- הזנת נתונים'!G50</f>
        <v>1</v>
      </c>
      <c r="G50" s="478">
        <f t="shared" ca="1" si="1"/>
        <v>0</v>
      </c>
      <c r="H50" s="479">
        <f t="shared" ca="1" si="2"/>
        <v>0</v>
      </c>
      <c r="I50" s="480">
        <f t="shared" ca="1" si="3"/>
        <v>3.8999121618170506E-2</v>
      </c>
      <c r="J50" s="480">
        <f t="shared" ca="1" si="4"/>
        <v>3.8999121618170506E-2</v>
      </c>
      <c r="K50" s="481">
        <f t="shared" ca="1" si="5"/>
        <v>0</v>
      </c>
      <c r="L50" s="481">
        <f t="shared" ca="1" si="6"/>
        <v>0</v>
      </c>
      <c r="M50" s="482">
        <f t="shared" ca="1" si="7"/>
        <v>3.8999121618170506E-2</v>
      </c>
      <c r="N50" s="482">
        <f t="shared" ca="1" si="8"/>
        <v>3.8999121618170506E-2</v>
      </c>
      <c r="O50" s="481">
        <f t="shared" ca="1" si="9"/>
        <v>0</v>
      </c>
      <c r="P50" s="481">
        <f t="shared" ca="1" si="10"/>
        <v>0</v>
      </c>
      <c r="Q50" s="482">
        <f t="shared" ca="1" si="11"/>
        <v>3.8999121618170506E-2</v>
      </c>
      <c r="R50" s="482">
        <f t="shared" ca="1" si="12"/>
        <v>3.8999121618170506E-2</v>
      </c>
      <c r="S50" s="481">
        <f t="shared" ca="1" si="13"/>
        <v>0</v>
      </c>
      <c r="T50" s="481">
        <f t="shared" ca="1" si="14"/>
        <v>0</v>
      </c>
      <c r="U50" s="482">
        <f t="shared" ca="1" si="15"/>
        <v>3.8999121618170506E-2</v>
      </c>
      <c r="V50" s="482">
        <f t="shared" ca="1" si="16"/>
        <v>3.8999121618170506E-2</v>
      </c>
      <c r="W50" s="481">
        <f t="shared" ca="1" si="17"/>
        <v>0</v>
      </c>
      <c r="X50" s="481">
        <f t="shared" ca="1" si="18"/>
        <v>0</v>
      </c>
      <c r="Y50" s="482">
        <f t="shared" ca="1" si="19"/>
        <v>3.8999121618170506E-2</v>
      </c>
      <c r="Z50" s="482">
        <f t="shared" ca="1" si="20"/>
        <v>3.8999121618170506E-2</v>
      </c>
      <c r="AA50" s="481">
        <f t="shared" ca="1" si="21"/>
        <v>0</v>
      </c>
      <c r="AB50" s="481">
        <f t="shared" ca="1" si="22"/>
        <v>0</v>
      </c>
      <c r="AC50" s="482">
        <f t="shared" ca="1" si="23"/>
        <v>3.8999121618170506E-2</v>
      </c>
      <c r="AD50" s="482">
        <f t="shared" ca="1" si="24"/>
        <v>3.8999121618170506E-2</v>
      </c>
      <c r="AE50" s="481">
        <f t="shared" ca="1" si="25"/>
        <v>0</v>
      </c>
      <c r="AF50" s="481">
        <f t="shared" ca="1" si="26"/>
        <v>0</v>
      </c>
      <c r="AG50" s="482">
        <f t="shared" ca="1" si="27"/>
        <v>3.8999121618170506E-2</v>
      </c>
      <c r="AH50" s="482">
        <f t="shared" ca="1" si="28"/>
        <v>3.8999121618170506E-2</v>
      </c>
      <c r="AI50" s="481">
        <f t="shared" ca="1" si="29"/>
        <v>0</v>
      </c>
      <c r="AJ50" s="481">
        <f t="shared" ca="1" si="30"/>
        <v>0</v>
      </c>
      <c r="AK50" s="482">
        <f t="shared" ca="1" si="31"/>
        <v>3.8999121618170506E-2</v>
      </c>
      <c r="AL50" s="482">
        <f t="shared" ca="1" si="32"/>
        <v>3.8999121618170506E-2</v>
      </c>
      <c r="AM50" s="481">
        <f t="shared" ca="1" si="33"/>
        <v>0</v>
      </c>
      <c r="AN50" s="481">
        <f t="shared" ca="1" si="34"/>
        <v>0</v>
      </c>
      <c r="AO50" s="482">
        <f t="shared" ca="1" si="35"/>
        <v>3.8999121618170506E-2</v>
      </c>
      <c r="AP50" s="482">
        <f t="shared" ca="1" si="36"/>
        <v>3.8999121618170506E-2</v>
      </c>
      <c r="AQ50" s="481">
        <f t="shared" ca="1" si="37"/>
        <v>0</v>
      </c>
      <c r="AR50" s="481">
        <f t="shared" ca="1" si="38"/>
        <v>0</v>
      </c>
      <c r="AS50" s="482">
        <f t="shared" ca="1" si="39"/>
        <v>3.8999121618170506E-2</v>
      </c>
      <c r="AT50" s="482">
        <f t="shared" ca="1" si="40"/>
        <v>3.8999121618170506E-2</v>
      </c>
      <c r="AU50" s="483">
        <f t="shared" ca="1" si="42"/>
        <v>3.8999121618170506E-2</v>
      </c>
      <c r="AV50" s="484">
        <f t="shared" ca="1" si="41"/>
        <v>74367.971001391998</v>
      </c>
      <c r="BA50" s="474">
        <f t="shared" ca="1" si="43"/>
        <v>0</v>
      </c>
      <c r="BB50" s="474">
        <f t="shared" ca="1" si="43"/>
        <v>1</v>
      </c>
      <c r="BD50" s="470">
        <f t="shared" ca="1" si="44"/>
        <v>1</v>
      </c>
    </row>
    <row r="51" spans="2:56" x14ac:dyDescent="0.25">
      <c r="B51" s="475">
        <f t="shared" ca="1" si="0"/>
        <v>21</v>
      </c>
      <c r="C51" s="489" t="str">
        <f ca="1">ייצוב!B31</f>
        <v>היסטוריה (החברה ההיסטורית הישרא</v>
      </c>
      <c r="D51" s="477">
        <f ca="1">ייצוב!H31</f>
        <v>2.6363878930589172E-2</v>
      </c>
      <c r="E51" s="477">
        <f ca="1">ייצוב!F31</f>
        <v>2.6132274449712993E-2</v>
      </c>
      <c r="F51" s="478">
        <f ca="1">'סיכום לועדה- הזנת נתונים'!G51</f>
        <v>1</v>
      </c>
      <c r="G51" s="478">
        <f t="shared" ca="1" si="1"/>
        <v>0</v>
      </c>
      <c r="H51" s="479">
        <f t="shared" ca="1" si="2"/>
        <v>0</v>
      </c>
      <c r="I51" s="480">
        <f t="shared" ca="1" si="3"/>
        <v>2.6363878930589172E-2</v>
      </c>
      <c r="J51" s="480">
        <f t="shared" ca="1" si="4"/>
        <v>2.6363878930589172E-2</v>
      </c>
      <c r="K51" s="481">
        <f t="shared" ca="1" si="5"/>
        <v>0</v>
      </c>
      <c r="L51" s="481">
        <f t="shared" ca="1" si="6"/>
        <v>0</v>
      </c>
      <c r="M51" s="482">
        <f t="shared" ca="1" si="7"/>
        <v>2.6363878930589172E-2</v>
      </c>
      <c r="N51" s="482">
        <f t="shared" ca="1" si="8"/>
        <v>2.6363878930589172E-2</v>
      </c>
      <c r="O51" s="481">
        <f t="shared" ca="1" si="9"/>
        <v>0</v>
      </c>
      <c r="P51" s="481">
        <f t="shared" ca="1" si="10"/>
        <v>0</v>
      </c>
      <c r="Q51" s="482">
        <f t="shared" ca="1" si="11"/>
        <v>2.6363878930589172E-2</v>
      </c>
      <c r="R51" s="482">
        <f t="shared" ca="1" si="12"/>
        <v>2.6363878930589172E-2</v>
      </c>
      <c r="S51" s="481">
        <f t="shared" ca="1" si="13"/>
        <v>0</v>
      </c>
      <c r="T51" s="481">
        <f t="shared" ca="1" si="14"/>
        <v>0</v>
      </c>
      <c r="U51" s="482">
        <f t="shared" ca="1" si="15"/>
        <v>2.6363878930589172E-2</v>
      </c>
      <c r="V51" s="482">
        <f t="shared" ca="1" si="16"/>
        <v>2.6363878930589172E-2</v>
      </c>
      <c r="W51" s="481">
        <f t="shared" ca="1" si="17"/>
        <v>0</v>
      </c>
      <c r="X51" s="481">
        <f t="shared" ca="1" si="18"/>
        <v>0</v>
      </c>
      <c r="Y51" s="482">
        <f t="shared" ca="1" si="19"/>
        <v>2.6363878930589172E-2</v>
      </c>
      <c r="Z51" s="482">
        <f t="shared" ca="1" si="20"/>
        <v>2.6363878930589172E-2</v>
      </c>
      <c r="AA51" s="481">
        <f t="shared" ca="1" si="21"/>
        <v>0</v>
      </c>
      <c r="AB51" s="481">
        <f t="shared" ca="1" si="22"/>
        <v>0</v>
      </c>
      <c r="AC51" s="482">
        <f t="shared" ca="1" si="23"/>
        <v>2.6363878930589172E-2</v>
      </c>
      <c r="AD51" s="482">
        <f t="shared" ca="1" si="24"/>
        <v>2.6363878930589172E-2</v>
      </c>
      <c r="AE51" s="481">
        <f t="shared" ca="1" si="25"/>
        <v>0</v>
      </c>
      <c r="AF51" s="481">
        <f t="shared" ca="1" si="26"/>
        <v>0</v>
      </c>
      <c r="AG51" s="482">
        <f t="shared" ca="1" si="27"/>
        <v>2.6363878930589172E-2</v>
      </c>
      <c r="AH51" s="482">
        <f t="shared" ca="1" si="28"/>
        <v>2.6363878930589172E-2</v>
      </c>
      <c r="AI51" s="481">
        <f t="shared" ca="1" si="29"/>
        <v>0</v>
      </c>
      <c r="AJ51" s="481">
        <f t="shared" ca="1" si="30"/>
        <v>0</v>
      </c>
      <c r="AK51" s="482">
        <f t="shared" ca="1" si="31"/>
        <v>2.6363878930589172E-2</v>
      </c>
      <c r="AL51" s="482">
        <f t="shared" ca="1" si="32"/>
        <v>2.6363878930589172E-2</v>
      </c>
      <c r="AM51" s="481">
        <f t="shared" ca="1" si="33"/>
        <v>0</v>
      </c>
      <c r="AN51" s="481">
        <f t="shared" ca="1" si="34"/>
        <v>0</v>
      </c>
      <c r="AO51" s="482">
        <f t="shared" ca="1" si="35"/>
        <v>2.6363878930589172E-2</v>
      </c>
      <c r="AP51" s="482">
        <f t="shared" ca="1" si="36"/>
        <v>2.6363878930589172E-2</v>
      </c>
      <c r="AQ51" s="481">
        <f t="shared" ca="1" si="37"/>
        <v>0</v>
      </c>
      <c r="AR51" s="481">
        <f t="shared" ca="1" si="38"/>
        <v>0</v>
      </c>
      <c r="AS51" s="482">
        <f t="shared" ca="1" si="39"/>
        <v>2.6363878930589172E-2</v>
      </c>
      <c r="AT51" s="482">
        <f t="shared" ca="1" si="40"/>
        <v>2.6363878930589172E-2</v>
      </c>
      <c r="AU51" s="483">
        <f t="shared" ca="1" si="42"/>
        <v>2.6363878930589172E-2</v>
      </c>
      <c r="AV51" s="484">
        <f t="shared" ca="1" si="41"/>
        <v>50273.649827045519</v>
      </c>
      <c r="BA51" s="474">
        <f t="shared" ca="1" si="43"/>
        <v>0</v>
      </c>
      <c r="BB51" s="474">
        <f t="shared" ca="1" si="43"/>
        <v>1</v>
      </c>
      <c r="BD51" s="470">
        <f t="shared" ca="1" si="44"/>
        <v>1</v>
      </c>
    </row>
    <row r="52" spans="2:56" x14ac:dyDescent="0.25">
      <c r="B52" s="475">
        <f t="shared" ca="1" si="0"/>
        <v>22</v>
      </c>
      <c r="C52" s="489" t="str">
        <f ca="1">ייצוב!B32</f>
        <v>מחול עכשיו (תמונע)</v>
      </c>
      <c r="D52" s="477">
        <f ca="1">ייצוב!H32</f>
        <v>3.2753936841008684E-2</v>
      </c>
      <c r="E52" s="477">
        <f ca="1">ייצוב!F32</f>
        <v>2.7427560970237776E-2</v>
      </c>
      <c r="F52" s="478">
        <f ca="1">'סיכום לועדה- הזנת נתונים'!G52</f>
        <v>1</v>
      </c>
      <c r="G52" s="478">
        <f t="shared" ca="1" si="1"/>
        <v>0</v>
      </c>
      <c r="H52" s="479">
        <f t="shared" ca="1" si="2"/>
        <v>0</v>
      </c>
      <c r="I52" s="480">
        <f t="shared" ca="1" si="3"/>
        <v>3.2753936841008684E-2</v>
      </c>
      <c r="J52" s="480">
        <f t="shared" ca="1" si="4"/>
        <v>3.2753936841008684E-2</v>
      </c>
      <c r="K52" s="481">
        <f t="shared" ca="1" si="5"/>
        <v>0</v>
      </c>
      <c r="L52" s="481">
        <f t="shared" ca="1" si="6"/>
        <v>0</v>
      </c>
      <c r="M52" s="482">
        <f t="shared" ca="1" si="7"/>
        <v>3.2753936841008684E-2</v>
      </c>
      <c r="N52" s="482">
        <f t="shared" ca="1" si="8"/>
        <v>3.2753936841008684E-2</v>
      </c>
      <c r="O52" s="481">
        <f t="shared" ca="1" si="9"/>
        <v>0</v>
      </c>
      <c r="P52" s="481">
        <f t="shared" ca="1" si="10"/>
        <v>0</v>
      </c>
      <c r="Q52" s="482">
        <f t="shared" ca="1" si="11"/>
        <v>3.2753936841008684E-2</v>
      </c>
      <c r="R52" s="482">
        <f t="shared" ca="1" si="12"/>
        <v>3.2753936841008684E-2</v>
      </c>
      <c r="S52" s="481">
        <f t="shared" ca="1" si="13"/>
        <v>0</v>
      </c>
      <c r="T52" s="481">
        <f t="shared" ca="1" si="14"/>
        <v>0</v>
      </c>
      <c r="U52" s="482">
        <f t="shared" ca="1" si="15"/>
        <v>3.2753936841008684E-2</v>
      </c>
      <c r="V52" s="482">
        <f t="shared" ca="1" si="16"/>
        <v>3.2753936841008684E-2</v>
      </c>
      <c r="W52" s="481">
        <f t="shared" ca="1" si="17"/>
        <v>0</v>
      </c>
      <c r="X52" s="481">
        <f t="shared" ca="1" si="18"/>
        <v>0</v>
      </c>
      <c r="Y52" s="482">
        <f t="shared" ca="1" si="19"/>
        <v>3.2753936841008684E-2</v>
      </c>
      <c r="Z52" s="482">
        <f t="shared" ca="1" si="20"/>
        <v>3.2753936841008684E-2</v>
      </c>
      <c r="AA52" s="481">
        <f t="shared" ca="1" si="21"/>
        <v>0</v>
      </c>
      <c r="AB52" s="481">
        <f t="shared" ca="1" si="22"/>
        <v>0</v>
      </c>
      <c r="AC52" s="482">
        <f t="shared" ca="1" si="23"/>
        <v>3.2753936841008684E-2</v>
      </c>
      <c r="AD52" s="482">
        <f t="shared" ca="1" si="24"/>
        <v>3.2753936841008684E-2</v>
      </c>
      <c r="AE52" s="481">
        <f t="shared" ca="1" si="25"/>
        <v>0</v>
      </c>
      <c r="AF52" s="481">
        <f t="shared" ca="1" si="26"/>
        <v>0</v>
      </c>
      <c r="AG52" s="482">
        <f t="shared" ca="1" si="27"/>
        <v>3.2753936841008684E-2</v>
      </c>
      <c r="AH52" s="482">
        <f t="shared" ca="1" si="28"/>
        <v>3.2753936841008684E-2</v>
      </c>
      <c r="AI52" s="481">
        <f t="shared" ca="1" si="29"/>
        <v>0</v>
      </c>
      <c r="AJ52" s="481">
        <f t="shared" ca="1" si="30"/>
        <v>0</v>
      </c>
      <c r="AK52" s="482">
        <f t="shared" ca="1" si="31"/>
        <v>3.2753936841008684E-2</v>
      </c>
      <c r="AL52" s="482">
        <f t="shared" ca="1" si="32"/>
        <v>3.2753936841008684E-2</v>
      </c>
      <c r="AM52" s="481">
        <f t="shared" ca="1" si="33"/>
        <v>0</v>
      </c>
      <c r="AN52" s="481">
        <f t="shared" ca="1" si="34"/>
        <v>0</v>
      </c>
      <c r="AO52" s="482">
        <f t="shared" ca="1" si="35"/>
        <v>3.2753936841008684E-2</v>
      </c>
      <c r="AP52" s="482">
        <f t="shared" ca="1" si="36"/>
        <v>3.2753936841008684E-2</v>
      </c>
      <c r="AQ52" s="481">
        <f t="shared" ca="1" si="37"/>
        <v>0</v>
      </c>
      <c r="AR52" s="481">
        <f t="shared" ca="1" si="38"/>
        <v>0</v>
      </c>
      <c r="AS52" s="482">
        <f t="shared" ca="1" si="39"/>
        <v>3.2753936841008684E-2</v>
      </c>
      <c r="AT52" s="482">
        <f t="shared" ca="1" si="40"/>
        <v>3.2753936841008684E-2</v>
      </c>
      <c r="AU52" s="483">
        <f t="shared" ca="1" si="42"/>
        <v>3.2753936841008684E-2</v>
      </c>
      <c r="AV52" s="484">
        <f t="shared" ca="1" si="41"/>
        <v>62458.940717235237</v>
      </c>
      <c r="BA52" s="474">
        <f t="shared" ca="1" si="43"/>
        <v>0</v>
      </c>
      <c r="BB52" s="474">
        <f t="shared" ca="1" si="43"/>
        <v>1</v>
      </c>
      <c r="BD52" s="470">
        <f t="shared" ca="1" si="44"/>
        <v>1</v>
      </c>
    </row>
    <row r="53" spans="2:56" x14ac:dyDescent="0.25">
      <c r="B53" s="475">
        <f t="shared" ca="1" si="0"/>
        <v>23</v>
      </c>
      <c r="C53" s="489" t="str">
        <f ca="1">ייצוב!B33</f>
        <v>קול אישה שירה (תואר)</v>
      </c>
      <c r="D53" s="477">
        <f ca="1">ייצוב!H33</f>
        <v>4.4520928664377887E-2</v>
      </c>
      <c r="E53" s="477">
        <f ca="1">ייצוב!F33</f>
        <v>3.1464449891290325E-2</v>
      </c>
      <c r="F53" s="478">
        <f ca="1">'סיכום לועדה- הזנת נתונים'!G53</f>
        <v>1</v>
      </c>
      <c r="G53" s="478">
        <f t="shared" ca="1" si="1"/>
        <v>0</v>
      </c>
      <c r="H53" s="479">
        <f t="shared" ca="1" si="2"/>
        <v>0</v>
      </c>
      <c r="I53" s="480">
        <f t="shared" ca="1" si="3"/>
        <v>4.4520928664377887E-2</v>
      </c>
      <c r="J53" s="480">
        <f t="shared" ca="1" si="4"/>
        <v>4.4520928664377887E-2</v>
      </c>
      <c r="K53" s="481">
        <f t="shared" ca="1" si="5"/>
        <v>0</v>
      </c>
      <c r="L53" s="481">
        <f t="shared" ca="1" si="6"/>
        <v>0</v>
      </c>
      <c r="M53" s="482">
        <f t="shared" ca="1" si="7"/>
        <v>4.4520928664377887E-2</v>
      </c>
      <c r="N53" s="482">
        <f t="shared" ca="1" si="8"/>
        <v>4.4520928664377887E-2</v>
      </c>
      <c r="O53" s="481">
        <f t="shared" ca="1" si="9"/>
        <v>0</v>
      </c>
      <c r="P53" s="481">
        <f t="shared" ca="1" si="10"/>
        <v>0</v>
      </c>
      <c r="Q53" s="482">
        <f t="shared" ca="1" si="11"/>
        <v>4.4520928664377887E-2</v>
      </c>
      <c r="R53" s="482">
        <f t="shared" ca="1" si="12"/>
        <v>4.4520928664377887E-2</v>
      </c>
      <c r="S53" s="481">
        <f t="shared" ca="1" si="13"/>
        <v>0</v>
      </c>
      <c r="T53" s="481">
        <f t="shared" ca="1" si="14"/>
        <v>0</v>
      </c>
      <c r="U53" s="482">
        <f t="shared" ca="1" si="15"/>
        <v>4.4520928664377887E-2</v>
      </c>
      <c r="V53" s="482">
        <f t="shared" ca="1" si="16"/>
        <v>4.4520928664377887E-2</v>
      </c>
      <c r="W53" s="481">
        <f t="shared" ca="1" si="17"/>
        <v>0</v>
      </c>
      <c r="X53" s="481">
        <f t="shared" ca="1" si="18"/>
        <v>0</v>
      </c>
      <c r="Y53" s="482">
        <f t="shared" ca="1" si="19"/>
        <v>4.4520928664377887E-2</v>
      </c>
      <c r="Z53" s="482">
        <f t="shared" ca="1" si="20"/>
        <v>4.4520928664377887E-2</v>
      </c>
      <c r="AA53" s="481">
        <f t="shared" ca="1" si="21"/>
        <v>0</v>
      </c>
      <c r="AB53" s="481">
        <f t="shared" ca="1" si="22"/>
        <v>0</v>
      </c>
      <c r="AC53" s="482">
        <f t="shared" ca="1" si="23"/>
        <v>4.4520928664377887E-2</v>
      </c>
      <c r="AD53" s="482">
        <f t="shared" ca="1" si="24"/>
        <v>4.4520928664377887E-2</v>
      </c>
      <c r="AE53" s="481">
        <f t="shared" ca="1" si="25"/>
        <v>0</v>
      </c>
      <c r="AF53" s="481">
        <f t="shared" ca="1" si="26"/>
        <v>0</v>
      </c>
      <c r="AG53" s="482">
        <f t="shared" ca="1" si="27"/>
        <v>4.4520928664377887E-2</v>
      </c>
      <c r="AH53" s="482">
        <f t="shared" ca="1" si="28"/>
        <v>4.4520928664377887E-2</v>
      </c>
      <c r="AI53" s="481">
        <f t="shared" ca="1" si="29"/>
        <v>0</v>
      </c>
      <c r="AJ53" s="481">
        <f t="shared" ca="1" si="30"/>
        <v>0</v>
      </c>
      <c r="AK53" s="482">
        <f t="shared" ca="1" si="31"/>
        <v>4.4520928664377887E-2</v>
      </c>
      <c r="AL53" s="482">
        <f t="shared" ca="1" si="32"/>
        <v>4.4520928664377887E-2</v>
      </c>
      <c r="AM53" s="481">
        <f t="shared" ca="1" si="33"/>
        <v>0</v>
      </c>
      <c r="AN53" s="481">
        <f t="shared" ca="1" si="34"/>
        <v>0</v>
      </c>
      <c r="AO53" s="482">
        <f t="shared" ca="1" si="35"/>
        <v>4.4520928664377887E-2</v>
      </c>
      <c r="AP53" s="482">
        <f t="shared" ca="1" si="36"/>
        <v>4.4520928664377887E-2</v>
      </c>
      <c r="AQ53" s="481">
        <f t="shared" ca="1" si="37"/>
        <v>0</v>
      </c>
      <c r="AR53" s="481">
        <f t="shared" ca="1" si="38"/>
        <v>0</v>
      </c>
      <c r="AS53" s="482">
        <f t="shared" ca="1" si="39"/>
        <v>4.4520928664377887E-2</v>
      </c>
      <c r="AT53" s="482">
        <f t="shared" ca="1" si="40"/>
        <v>4.4520928664377887E-2</v>
      </c>
      <c r="AU53" s="483">
        <f t="shared" ca="1" si="42"/>
        <v>4.4520928664377887E-2</v>
      </c>
      <c r="AV53" s="484">
        <f t="shared" ca="1" si="41"/>
        <v>84897.582163103492</v>
      </c>
      <c r="BA53" s="474">
        <f t="shared" ca="1" si="43"/>
        <v>0</v>
      </c>
      <c r="BB53" s="474">
        <f t="shared" ca="1" si="43"/>
        <v>1</v>
      </c>
      <c r="BD53" s="470">
        <f t="shared" ca="1" si="44"/>
        <v>1</v>
      </c>
    </row>
    <row r="54" spans="2:56" x14ac:dyDescent="0.25">
      <c r="B54" s="475">
        <f t="shared" ca="1" si="0"/>
        <v>24</v>
      </c>
      <c r="C54" s="489" t="str">
        <f ca="1">ייצוב!B34</f>
        <v>האיגוד העולמי למדעי היהדות</v>
      </c>
      <c r="D54" s="477">
        <f ca="1">ייצוב!H34</f>
        <v>3.384222554199004E-2</v>
      </c>
      <c r="E54" s="477">
        <f ca="1">ייצוב!F34</f>
        <v>3.297421907857407E-2</v>
      </c>
      <c r="F54" s="478">
        <f ca="1">'סיכום לועדה- הזנת נתונים'!G54</f>
        <v>1</v>
      </c>
      <c r="G54" s="478">
        <f t="shared" ca="1" si="1"/>
        <v>0</v>
      </c>
      <c r="H54" s="479">
        <f t="shared" ca="1" si="2"/>
        <v>0</v>
      </c>
      <c r="I54" s="480">
        <f t="shared" ca="1" si="3"/>
        <v>3.384222554199004E-2</v>
      </c>
      <c r="J54" s="480">
        <f t="shared" ca="1" si="4"/>
        <v>3.384222554199004E-2</v>
      </c>
      <c r="K54" s="481">
        <f t="shared" ca="1" si="5"/>
        <v>0</v>
      </c>
      <c r="L54" s="481">
        <f t="shared" ca="1" si="6"/>
        <v>0</v>
      </c>
      <c r="M54" s="482">
        <f t="shared" ca="1" si="7"/>
        <v>3.384222554199004E-2</v>
      </c>
      <c r="N54" s="482">
        <f t="shared" ca="1" si="8"/>
        <v>3.384222554199004E-2</v>
      </c>
      <c r="O54" s="481">
        <f t="shared" ca="1" si="9"/>
        <v>0</v>
      </c>
      <c r="P54" s="481">
        <f t="shared" ca="1" si="10"/>
        <v>0</v>
      </c>
      <c r="Q54" s="482">
        <f t="shared" ca="1" si="11"/>
        <v>3.384222554199004E-2</v>
      </c>
      <c r="R54" s="482">
        <f t="shared" ca="1" si="12"/>
        <v>3.384222554199004E-2</v>
      </c>
      <c r="S54" s="481">
        <f t="shared" ca="1" si="13"/>
        <v>0</v>
      </c>
      <c r="T54" s="481">
        <f t="shared" ca="1" si="14"/>
        <v>0</v>
      </c>
      <c r="U54" s="482">
        <f t="shared" ca="1" si="15"/>
        <v>3.384222554199004E-2</v>
      </c>
      <c r="V54" s="482">
        <f t="shared" ca="1" si="16"/>
        <v>3.384222554199004E-2</v>
      </c>
      <c r="W54" s="481">
        <f t="shared" ca="1" si="17"/>
        <v>0</v>
      </c>
      <c r="X54" s="481">
        <f t="shared" ca="1" si="18"/>
        <v>0</v>
      </c>
      <c r="Y54" s="482">
        <f t="shared" ca="1" si="19"/>
        <v>3.384222554199004E-2</v>
      </c>
      <c r="Z54" s="482">
        <f t="shared" ca="1" si="20"/>
        <v>3.384222554199004E-2</v>
      </c>
      <c r="AA54" s="481">
        <f t="shared" ca="1" si="21"/>
        <v>0</v>
      </c>
      <c r="AB54" s="481">
        <f t="shared" ca="1" si="22"/>
        <v>0</v>
      </c>
      <c r="AC54" s="482">
        <f t="shared" ca="1" si="23"/>
        <v>3.384222554199004E-2</v>
      </c>
      <c r="AD54" s="482">
        <f t="shared" ca="1" si="24"/>
        <v>3.384222554199004E-2</v>
      </c>
      <c r="AE54" s="481">
        <f t="shared" ca="1" si="25"/>
        <v>0</v>
      </c>
      <c r="AF54" s="481">
        <f t="shared" ca="1" si="26"/>
        <v>0</v>
      </c>
      <c r="AG54" s="482">
        <f t="shared" ca="1" si="27"/>
        <v>3.384222554199004E-2</v>
      </c>
      <c r="AH54" s="482">
        <f t="shared" ca="1" si="28"/>
        <v>3.384222554199004E-2</v>
      </c>
      <c r="AI54" s="481">
        <f t="shared" ca="1" si="29"/>
        <v>0</v>
      </c>
      <c r="AJ54" s="481">
        <f t="shared" ca="1" si="30"/>
        <v>0</v>
      </c>
      <c r="AK54" s="482">
        <f t="shared" ca="1" si="31"/>
        <v>3.384222554199004E-2</v>
      </c>
      <c r="AL54" s="482">
        <f t="shared" ca="1" si="32"/>
        <v>3.384222554199004E-2</v>
      </c>
      <c r="AM54" s="481">
        <f t="shared" ca="1" si="33"/>
        <v>0</v>
      </c>
      <c r="AN54" s="481">
        <f t="shared" ca="1" si="34"/>
        <v>0</v>
      </c>
      <c r="AO54" s="482">
        <f t="shared" ca="1" si="35"/>
        <v>3.384222554199004E-2</v>
      </c>
      <c r="AP54" s="482">
        <f t="shared" ca="1" si="36"/>
        <v>3.384222554199004E-2</v>
      </c>
      <c r="AQ54" s="481">
        <f t="shared" ca="1" si="37"/>
        <v>0</v>
      </c>
      <c r="AR54" s="481">
        <f t="shared" ca="1" si="38"/>
        <v>0</v>
      </c>
      <c r="AS54" s="482">
        <f t="shared" ca="1" si="39"/>
        <v>3.384222554199004E-2</v>
      </c>
      <c r="AT54" s="482">
        <f t="shared" ca="1" si="40"/>
        <v>3.384222554199004E-2</v>
      </c>
      <c r="AU54" s="483">
        <f t="shared" ca="1" si="42"/>
        <v>3.384222554199004E-2</v>
      </c>
      <c r="AV54" s="484">
        <f t="shared" ca="1" si="41"/>
        <v>64534.213677178392</v>
      </c>
      <c r="BA54" s="474">
        <f t="shared" ca="1" si="43"/>
        <v>0</v>
      </c>
      <c r="BB54" s="474">
        <f t="shared" ca="1" si="43"/>
        <v>1</v>
      </c>
      <c r="BD54" s="470">
        <f t="shared" ca="1" si="44"/>
        <v>1</v>
      </c>
    </row>
    <row r="55" spans="2:56" x14ac:dyDescent="0.25">
      <c r="B55" s="475" t="str">
        <f t="shared" ca="1" si="0"/>
        <v/>
      </c>
      <c r="C55" s="489" t="str">
        <f ca="1">ייצוב!B35</f>
        <v/>
      </c>
      <c r="D55" s="477" t="str">
        <f ca="1">ייצוב!H35</f>
        <v/>
      </c>
      <c r="E55" s="477" t="str">
        <f ca="1">ייצוב!F35</f>
        <v/>
      </c>
      <c r="F55" s="478" t="str">
        <f ca="1">'סיכום לועדה- הזנת נתונים'!G55</f>
        <v/>
      </c>
      <c r="G55" s="478" t="str">
        <f t="shared" ca="1" si="1"/>
        <v/>
      </c>
      <c r="H55" s="479" t="str">
        <f t="shared" ca="1" si="2"/>
        <v/>
      </c>
      <c r="I55" s="480" t="str">
        <f t="shared" ca="1" si="3"/>
        <v/>
      </c>
      <c r="J55" s="480" t="str">
        <f t="shared" ca="1" si="4"/>
        <v/>
      </c>
      <c r="K55" s="481" t="str">
        <f t="shared" ca="1" si="5"/>
        <v/>
      </c>
      <c r="L55" s="481" t="str">
        <f t="shared" ca="1" si="6"/>
        <v/>
      </c>
      <c r="M55" s="482" t="str">
        <f t="shared" ca="1" si="7"/>
        <v/>
      </c>
      <c r="N55" s="482" t="str">
        <f t="shared" ca="1" si="8"/>
        <v/>
      </c>
      <c r="O55" s="481" t="str">
        <f t="shared" ca="1" si="9"/>
        <v/>
      </c>
      <c r="P55" s="481" t="str">
        <f t="shared" ca="1" si="10"/>
        <v/>
      </c>
      <c r="Q55" s="482" t="str">
        <f t="shared" ca="1" si="11"/>
        <v/>
      </c>
      <c r="R55" s="482" t="str">
        <f t="shared" ca="1" si="12"/>
        <v/>
      </c>
      <c r="S55" s="481" t="str">
        <f t="shared" ca="1" si="13"/>
        <v/>
      </c>
      <c r="T55" s="481" t="str">
        <f t="shared" ca="1" si="14"/>
        <v/>
      </c>
      <c r="U55" s="482" t="str">
        <f t="shared" ca="1" si="15"/>
        <v/>
      </c>
      <c r="V55" s="482" t="str">
        <f t="shared" ca="1" si="16"/>
        <v/>
      </c>
      <c r="W55" s="481" t="str">
        <f t="shared" ca="1" si="17"/>
        <v/>
      </c>
      <c r="X55" s="481" t="str">
        <f t="shared" ca="1" si="18"/>
        <v/>
      </c>
      <c r="Y55" s="482" t="str">
        <f t="shared" ca="1" si="19"/>
        <v/>
      </c>
      <c r="Z55" s="482" t="str">
        <f t="shared" ca="1" si="20"/>
        <v/>
      </c>
      <c r="AA55" s="481" t="str">
        <f t="shared" ca="1" si="21"/>
        <v/>
      </c>
      <c r="AB55" s="481" t="str">
        <f t="shared" ca="1" si="22"/>
        <v/>
      </c>
      <c r="AC55" s="482" t="str">
        <f t="shared" ca="1" si="23"/>
        <v/>
      </c>
      <c r="AD55" s="482" t="str">
        <f t="shared" ca="1" si="24"/>
        <v/>
      </c>
      <c r="AE55" s="481" t="str">
        <f t="shared" ca="1" si="25"/>
        <v/>
      </c>
      <c r="AF55" s="481" t="str">
        <f t="shared" ca="1" si="26"/>
        <v/>
      </c>
      <c r="AG55" s="482" t="str">
        <f t="shared" ca="1" si="27"/>
        <v/>
      </c>
      <c r="AH55" s="482" t="str">
        <f t="shared" ca="1" si="28"/>
        <v/>
      </c>
      <c r="AI55" s="481" t="str">
        <f t="shared" ca="1" si="29"/>
        <v/>
      </c>
      <c r="AJ55" s="481" t="str">
        <f t="shared" ca="1" si="30"/>
        <v/>
      </c>
      <c r="AK55" s="482" t="str">
        <f t="shared" ca="1" si="31"/>
        <v/>
      </c>
      <c r="AL55" s="482" t="str">
        <f t="shared" ca="1" si="32"/>
        <v/>
      </c>
      <c r="AM55" s="481" t="str">
        <f t="shared" ca="1" si="33"/>
        <v/>
      </c>
      <c r="AN55" s="481" t="str">
        <f t="shared" ca="1" si="34"/>
        <v/>
      </c>
      <c r="AO55" s="482" t="str">
        <f t="shared" ca="1" si="35"/>
        <v/>
      </c>
      <c r="AP55" s="482" t="str">
        <f t="shared" ca="1" si="36"/>
        <v/>
      </c>
      <c r="AQ55" s="481" t="str">
        <f t="shared" ca="1" si="37"/>
        <v/>
      </c>
      <c r="AR55" s="481" t="str">
        <f t="shared" ca="1" si="38"/>
        <v/>
      </c>
      <c r="AS55" s="482" t="str">
        <f t="shared" ca="1" si="39"/>
        <v/>
      </c>
      <c r="AT55" s="482" t="str">
        <f t="shared" ca="1" si="40"/>
        <v/>
      </c>
      <c r="AU55" s="483" t="str">
        <f t="shared" ca="1" si="42"/>
        <v/>
      </c>
      <c r="AV55" s="484" t="str">
        <f t="shared" ca="1" si="41"/>
        <v/>
      </c>
      <c r="BA55" s="474" t="str">
        <f t="shared" ca="1" si="43"/>
        <v/>
      </c>
      <c r="BB55" s="474" t="str">
        <f t="shared" ca="1" si="43"/>
        <v/>
      </c>
      <c r="BD55" s="470">
        <f t="shared" ca="1" si="44"/>
        <v>0</v>
      </c>
    </row>
    <row r="56" spans="2:56" x14ac:dyDescent="0.25">
      <c r="B56" s="475" t="str">
        <f t="shared" ca="1" si="0"/>
        <v/>
      </c>
      <c r="C56" s="489" t="str">
        <f ca="1">ייצוב!B36</f>
        <v/>
      </c>
      <c r="D56" s="477" t="str">
        <f ca="1">ייצוב!H36</f>
        <v/>
      </c>
      <c r="E56" s="477" t="str">
        <f ca="1">ייצוב!F36</f>
        <v/>
      </c>
      <c r="F56" s="478" t="str">
        <f ca="1">'סיכום לועדה- הזנת נתונים'!G56</f>
        <v/>
      </c>
      <c r="G56" s="478" t="str">
        <f t="shared" ca="1" si="1"/>
        <v/>
      </c>
      <c r="H56" s="479" t="str">
        <f t="shared" ca="1" si="2"/>
        <v/>
      </c>
      <c r="I56" s="480" t="str">
        <f t="shared" ca="1" si="3"/>
        <v/>
      </c>
      <c r="J56" s="480" t="str">
        <f t="shared" ca="1" si="4"/>
        <v/>
      </c>
      <c r="K56" s="481" t="str">
        <f t="shared" ca="1" si="5"/>
        <v/>
      </c>
      <c r="L56" s="481" t="str">
        <f t="shared" ca="1" si="6"/>
        <v/>
      </c>
      <c r="M56" s="482" t="str">
        <f t="shared" ca="1" si="7"/>
        <v/>
      </c>
      <c r="N56" s="482" t="str">
        <f t="shared" ca="1" si="8"/>
        <v/>
      </c>
      <c r="O56" s="481" t="str">
        <f t="shared" ca="1" si="9"/>
        <v/>
      </c>
      <c r="P56" s="481" t="str">
        <f t="shared" ca="1" si="10"/>
        <v/>
      </c>
      <c r="Q56" s="482" t="str">
        <f t="shared" ca="1" si="11"/>
        <v/>
      </c>
      <c r="R56" s="482" t="str">
        <f t="shared" ca="1" si="12"/>
        <v/>
      </c>
      <c r="S56" s="481" t="str">
        <f t="shared" ca="1" si="13"/>
        <v/>
      </c>
      <c r="T56" s="481" t="str">
        <f t="shared" ca="1" si="14"/>
        <v/>
      </c>
      <c r="U56" s="482" t="str">
        <f t="shared" ca="1" si="15"/>
        <v/>
      </c>
      <c r="V56" s="482" t="str">
        <f t="shared" ca="1" si="16"/>
        <v/>
      </c>
      <c r="W56" s="481" t="str">
        <f t="shared" ca="1" si="17"/>
        <v/>
      </c>
      <c r="X56" s="481" t="str">
        <f t="shared" ca="1" si="18"/>
        <v/>
      </c>
      <c r="Y56" s="482" t="str">
        <f t="shared" ca="1" si="19"/>
        <v/>
      </c>
      <c r="Z56" s="482" t="str">
        <f t="shared" ca="1" si="20"/>
        <v/>
      </c>
      <c r="AA56" s="481" t="str">
        <f t="shared" ca="1" si="21"/>
        <v/>
      </c>
      <c r="AB56" s="481" t="str">
        <f t="shared" ca="1" si="22"/>
        <v/>
      </c>
      <c r="AC56" s="482" t="str">
        <f t="shared" ca="1" si="23"/>
        <v/>
      </c>
      <c r="AD56" s="482" t="str">
        <f t="shared" ca="1" si="24"/>
        <v/>
      </c>
      <c r="AE56" s="481" t="str">
        <f t="shared" ca="1" si="25"/>
        <v/>
      </c>
      <c r="AF56" s="481" t="str">
        <f t="shared" ca="1" si="26"/>
        <v/>
      </c>
      <c r="AG56" s="482" t="str">
        <f t="shared" ca="1" si="27"/>
        <v/>
      </c>
      <c r="AH56" s="482" t="str">
        <f t="shared" ca="1" si="28"/>
        <v/>
      </c>
      <c r="AI56" s="481" t="str">
        <f t="shared" ca="1" si="29"/>
        <v/>
      </c>
      <c r="AJ56" s="481" t="str">
        <f t="shared" ca="1" si="30"/>
        <v/>
      </c>
      <c r="AK56" s="482" t="str">
        <f t="shared" ca="1" si="31"/>
        <v/>
      </c>
      <c r="AL56" s="482" t="str">
        <f t="shared" ca="1" si="32"/>
        <v/>
      </c>
      <c r="AM56" s="481" t="str">
        <f t="shared" ca="1" si="33"/>
        <v/>
      </c>
      <c r="AN56" s="481" t="str">
        <f t="shared" ca="1" si="34"/>
        <v/>
      </c>
      <c r="AO56" s="482" t="str">
        <f t="shared" ca="1" si="35"/>
        <v/>
      </c>
      <c r="AP56" s="482" t="str">
        <f t="shared" ca="1" si="36"/>
        <v/>
      </c>
      <c r="AQ56" s="481" t="str">
        <f t="shared" ca="1" si="37"/>
        <v/>
      </c>
      <c r="AR56" s="481" t="str">
        <f t="shared" ca="1" si="38"/>
        <v/>
      </c>
      <c r="AS56" s="482" t="str">
        <f t="shared" ca="1" si="39"/>
        <v/>
      </c>
      <c r="AT56" s="482" t="str">
        <f t="shared" ca="1" si="40"/>
        <v/>
      </c>
      <c r="AU56" s="483" t="str">
        <f t="shared" ca="1" si="42"/>
        <v/>
      </c>
      <c r="AV56" s="484" t="str">
        <f t="shared" ca="1" si="41"/>
        <v/>
      </c>
      <c r="BA56" s="474" t="str">
        <f t="shared" ca="1" si="43"/>
        <v/>
      </c>
      <c r="BB56" s="474" t="str">
        <f t="shared" ca="1" si="43"/>
        <v/>
      </c>
      <c r="BD56" s="470">
        <f t="shared" ca="1" si="44"/>
        <v>0</v>
      </c>
    </row>
    <row r="57" spans="2:56" x14ac:dyDescent="0.25">
      <c r="B57" s="475" t="str">
        <f t="shared" ca="1" si="0"/>
        <v/>
      </c>
      <c r="C57" s="489" t="str">
        <f ca="1">ייצוב!B37</f>
        <v/>
      </c>
      <c r="D57" s="477" t="str">
        <f ca="1">ייצוב!H37</f>
        <v/>
      </c>
      <c r="E57" s="477" t="str">
        <f ca="1">ייצוב!F37</f>
        <v/>
      </c>
      <c r="F57" s="478" t="str">
        <f ca="1">'סיכום לועדה- הזנת נתונים'!G57</f>
        <v/>
      </c>
      <c r="G57" s="478" t="str">
        <f t="shared" ca="1" si="1"/>
        <v/>
      </c>
      <c r="H57" s="479" t="str">
        <f t="shared" ca="1" si="2"/>
        <v/>
      </c>
      <c r="I57" s="480" t="str">
        <f t="shared" ca="1" si="3"/>
        <v/>
      </c>
      <c r="J57" s="480" t="str">
        <f t="shared" ca="1" si="4"/>
        <v/>
      </c>
      <c r="K57" s="481" t="str">
        <f t="shared" ca="1" si="5"/>
        <v/>
      </c>
      <c r="L57" s="481" t="str">
        <f t="shared" ca="1" si="6"/>
        <v/>
      </c>
      <c r="M57" s="482" t="str">
        <f t="shared" ca="1" si="7"/>
        <v/>
      </c>
      <c r="N57" s="482" t="str">
        <f t="shared" ca="1" si="8"/>
        <v/>
      </c>
      <c r="O57" s="481" t="str">
        <f t="shared" ca="1" si="9"/>
        <v/>
      </c>
      <c r="P57" s="481" t="str">
        <f t="shared" ca="1" si="10"/>
        <v/>
      </c>
      <c r="Q57" s="482" t="str">
        <f t="shared" ca="1" si="11"/>
        <v/>
      </c>
      <c r="R57" s="482" t="str">
        <f t="shared" ca="1" si="12"/>
        <v/>
      </c>
      <c r="S57" s="481" t="str">
        <f t="shared" ca="1" si="13"/>
        <v/>
      </c>
      <c r="T57" s="481" t="str">
        <f t="shared" ca="1" si="14"/>
        <v/>
      </c>
      <c r="U57" s="482" t="str">
        <f t="shared" ca="1" si="15"/>
        <v/>
      </c>
      <c r="V57" s="482" t="str">
        <f t="shared" ca="1" si="16"/>
        <v/>
      </c>
      <c r="W57" s="481" t="str">
        <f t="shared" ca="1" si="17"/>
        <v/>
      </c>
      <c r="X57" s="481" t="str">
        <f t="shared" ca="1" si="18"/>
        <v/>
      </c>
      <c r="Y57" s="482" t="str">
        <f t="shared" ca="1" si="19"/>
        <v/>
      </c>
      <c r="Z57" s="482" t="str">
        <f t="shared" ca="1" si="20"/>
        <v/>
      </c>
      <c r="AA57" s="481" t="str">
        <f t="shared" ca="1" si="21"/>
        <v/>
      </c>
      <c r="AB57" s="481" t="str">
        <f t="shared" ca="1" si="22"/>
        <v/>
      </c>
      <c r="AC57" s="482" t="str">
        <f t="shared" ca="1" si="23"/>
        <v/>
      </c>
      <c r="AD57" s="482" t="str">
        <f t="shared" ca="1" si="24"/>
        <v/>
      </c>
      <c r="AE57" s="481" t="str">
        <f t="shared" ca="1" si="25"/>
        <v/>
      </c>
      <c r="AF57" s="481" t="str">
        <f t="shared" ca="1" si="26"/>
        <v/>
      </c>
      <c r="AG57" s="482" t="str">
        <f t="shared" ca="1" si="27"/>
        <v/>
      </c>
      <c r="AH57" s="482" t="str">
        <f t="shared" ca="1" si="28"/>
        <v/>
      </c>
      <c r="AI57" s="481" t="str">
        <f t="shared" ca="1" si="29"/>
        <v/>
      </c>
      <c r="AJ57" s="481" t="str">
        <f t="shared" ca="1" si="30"/>
        <v/>
      </c>
      <c r="AK57" s="482" t="str">
        <f t="shared" ca="1" si="31"/>
        <v/>
      </c>
      <c r="AL57" s="482" t="str">
        <f t="shared" ca="1" si="32"/>
        <v/>
      </c>
      <c r="AM57" s="481" t="str">
        <f t="shared" ca="1" si="33"/>
        <v/>
      </c>
      <c r="AN57" s="481" t="str">
        <f t="shared" ca="1" si="34"/>
        <v/>
      </c>
      <c r="AO57" s="482" t="str">
        <f t="shared" ca="1" si="35"/>
        <v/>
      </c>
      <c r="AP57" s="482" t="str">
        <f t="shared" ca="1" si="36"/>
        <v/>
      </c>
      <c r="AQ57" s="481" t="str">
        <f t="shared" ca="1" si="37"/>
        <v/>
      </c>
      <c r="AR57" s="481" t="str">
        <f t="shared" ca="1" si="38"/>
        <v/>
      </c>
      <c r="AS57" s="482" t="str">
        <f t="shared" ca="1" si="39"/>
        <v/>
      </c>
      <c r="AT57" s="482" t="str">
        <f t="shared" ca="1" si="40"/>
        <v/>
      </c>
      <c r="AU57" s="483" t="str">
        <f t="shared" ca="1" si="42"/>
        <v/>
      </c>
      <c r="AV57" s="484" t="str">
        <f t="shared" ca="1" si="41"/>
        <v/>
      </c>
      <c r="BA57" s="474" t="str">
        <f t="shared" ca="1" si="43"/>
        <v/>
      </c>
      <c r="BB57" s="474" t="str">
        <f t="shared" ca="1" si="43"/>
        <v/>
      </c>
      <c r="BD57" s="470">
        <f t="shared" ca="1" si="44"/>
        <v>0</v>
      </c>
    </row>
    <row r="58" spans="2:56" x14ac:dyDescent="0.25">
      <c r="B58" s="475" t="str">
        <f t="shared" ca="1" si="0"/>
        <v/>
      </c>
      <c r="C58" s="489" t="str">
        <f ca="1">ייצוב!B38</f>
        <v/>
      </c>
      <c r="D58" s="477" t="str">
        <f ca="1">ייצוב!H38</f>
        <v/>
      </c>
      <c r="E58" s="477" t="str">
        <f ca="1">ייצוב!F38</f>
        <v/>
      </c>
      <c r="F58" s="478" t="str">
        <f ca="1">'סיכום לועדה- הזנת נתונים'!G58</f>
        <v/>
      </c>
      <c r="G58" s="478" t="str">
        <f t="shared" ca="1" si="1"/>
        <v/>
      </c>
      <c r="H58" s="479" t="str">
        <f t="shared" ca="1" si="2"/>
        <v/>
      </c>
      <c r="I58" s="480" t="str">
        <f t="shared" ca="1" si="3"/>
        <v/>
      </c>
      <c r="J58" s="480" t="str">
        <f t="shared" ca="1" si="4"/>
        <v/>
      </c>
      <c r="K58" s="481" t="str">
        <f t="shared" ca="1" si="5"/>
        <v/>
      </c>
      <c r="L58" s="481" t="str">
        <f t="shared" ca="1" si="6"/>
        <v/>
      </c>
      <c r="M58" s="482" t="str">
        <f t="shared" ca="1" si="7"/>
        <v/>
      </c>
      <c r="N58" s="482" t="str">
        <f t="shared" ca="1" si="8"/>
        <v/>
      </c>
      <c r="O58" s="481" t="str">
        <f t="shared" ca="1" si="9"/>
        <v/>
      </c>
      <c r="P58" s="481" t="str">
        <f t="shared" ca="1" si="10"/>
        <v/>
      </c>
      <c r="Q58" s="482" t="str">
        <f t="shared" ca="1" si="11"/>
        <v/>
      </c>
      <c r="R58" s="482" t="str">
        <f t="shared" ca="1" si="12"/>
        <v/>
      </c>
      <c r="S58" s="481" t="str">
        <f t="shared" ca="1" si="13"/>
        <v/>
      </c>
      <c r="T58" s="481" t="str">
        <f t="shared" ca="1" si="14"/>
        <v/>
      </c>
      <c r="U58" s="482" t="str">
        <f t="shared" ca="1" si="15"/>
        <v/>
      </c>
      <c r="V58" s="482" t="str">
        <f t="shared" ca="1" si="16"/>
        <v/>
      </c>
      <c r="W58" s="481" t="str">
        <f t="shared" ca="1" si="17"/>
        <v/>
      </c>
      <c r="X58" s="481" t="str">
        <f t="shared" ca="1" si="18"/>
        <v/>
      </c>
      <c r="Y58" s="482" t="str">
        <f t="shared" ca="1" si="19"/>
        <v/>
      </c>
      <c r="Z58" s="482" t="str">
        <f t="shared" ca="1" si="20"/>
        <v/>
      </c>
      <c r="AA58" s="481" t="str">
        <f t="shared" ca="1" si="21"/>
        <v/>
      </c>
      <c r="AB58" s="481" t="str">
        <f t="shared" ca="1" si="22"/>
        <v/>
      </c>
      <c r="AC58" s="482" t="str">
        <f t="shared" ca="1" si="23"/>
        <v/>
      </c>
      <c r="AD58" s="482" t="str">
        <f t="shared" ca="1" si="24"/>
        <v/>
      </c>
      <c r="AE58" s="481" t="str">
        <f t="shared" ca="1" si="25"/>
        <v/>
      </c>
      <c r="AF58" s="481" t="str">
        <f t="shared" ca="1" si="26"/>
        <v/>
      </c>
      <c r="AG58" s="482" t="str">
        <f t="shared" ca="1" si="27"/>
        <v/>
      </c>
      <c r="AH58" s="482" t="str">
        <f t="shared" ca="1" si="28"/>
        <v/>
      </c>
      <c r="AI58" s="481" t="str">
        <f t="shared" ca="1" si="29"/>
        <v/>
      </c>
      <c r="AJ58" s="481" t="str">
        <f t="shared" ca="1" si="30"/>
        <v/>
      </c>
      <c r="AK58" s="482" t="str">
        <f t="shared" ca="1" si="31"/>
        <v/>
      </c>
      <c r="AL58" s="482" t="str">
        <f t="shared" ca="1" si="32"/>
        <v/>
      </c>
      <c r="AM58" s="481" t="str">
        <f t="shared" ca="1" si="33"/>
        <v/>
      </c>
      <c r="AN58" s="481" t="str">
        <f t="shared" ca="1" si="34"/>
        <v/>
      </c>
      <c r="AO58" s="482" t="str">
        <f t="shared" ca="1" si="35"/>
        <v/>
      </c>
      <c r="AP58" s="482" t="str">
        <f t="shared" ca="1" si="36"/>
        <v/>
      </c>
      <c r="AQ58" s="481" t="str">
        <f t="shared" ca="1" si="37"/>
        <v/>
      </c>
      <c r="AR58" s="481" t="str">
        <f t="shared" ca="1" si="38"/>
        <v/>
      </c>
      <c r="AS58" s="482" t="str">
        <f t="shared" ca="1" si="39"/>
        <v/>
      </c>
      <c r="AT58" s="482" t="str">
        <f t="shared" ca="1" si="40"/>
        <v/>
      </c>
      <c r="AU58" s="483" t="str">
        <f t="shared" ca="1" si="42"/>
        <v/>
      </c>
      <c r="AV58" s="484" t="str">
        <f t="shared" ca="1" si="41"/>
        <v/>
      </c>
      <c r="BA58" s="474" t="str">
        <f t="shared" ca="1" si="43"/>
        <v/>
      </c>
      <c r="BB58" s="474" t="str">
        <f t="shared" ca="1" si="43"/>
        <v/>
      </c>
      <c r="BD58" s="470">
        <f t="shared" ca="1" si="44"/>
        <v>0</v>
      </c>
    </row>
    <row r="59" spans="2:56" x14ac:dyDescent="0.25">
      <c r="B59" s="475">
        <f t="shared" ca="1" si="0"/>
        <v>29</v>
      </c>
      <c r="C59" s="489" t="str">
        <f ca="1">ייצוב!B39</f>
        <v>גופא (נתיב האומן )</v>
      </c>
      <c r="D59" s="477">
        <f ca="1">ייצוב!H39</f>
        <v>2.3006633978589368E-2</v>
      </c>
      <c r="E59" s="477">
        <f ca="1">ייצוב!F39</f>
        <v>2.0931725290180888E-2</v>
      </c>
      <c r="F59" s="478">
        <f ca="1">'סיכום לועדה- הזנת נתונים'!G59</f>
        <v>1</v>
      </c>
      <c r="G59" s="478">
        <f t="shared" ca="1" si="1"/>
        <v>0</v>
      </c>
      <c r="H59" s="479">
        <f t="shared" ca="1" si="2"/>
        <v>0</v>
      </c>
      <c r="I59" s="480">
        <f t="shared" ca="1" si="3"/>
        <v>2.3006633978589368E-2</v>
      </c>
      <c r="J59" s="480">
        <f t="shared" ca="1" si="4"/>
        <v>2.3006633978589368E-2</v>
      </c>
      <c r="K59" s="481">
        <f t="shared" ca="1" si="5"/>
        <v>0</v>
      </c>
      <c r="L59" s="481">
        <f t="shared" ca="1" si="6"/>
        <v>0</v>
      </c>
      <c r="M59" s="482">
        <f t="shared" ca="1" si="7"/>
        <v>2.3006633978589368E-2</v>
      </c>
      <c r="N59" s="482">
        <f t="shared" ca="1" si="8"/>
        <v>2.3006633978589368E-2</v>
      </c>
      <c r="O59" s="481">
        <f t="shared" ca="1" si="9"/>
        <v>0</v>
      </c>
      <c r="P59" s="481">
        <f t="shared" ca="1" si="10"/>
        <v>0</v>
      </c>
      <c r="Q59" s="482">
        <f t="shared" ca="1" si="11"/>
        <v>2.3006633978589368E-2</v>
      </c>
      <c r="R59" s="482">
        <f t="shared" ca="1" si="12"/>
        <v>2.3006633978589368E-2</v>
      </c>
      <c r="S59" s="481">
        <f t="shared" ca="1" si="13"/>
        <v>0</v>
      </c>
      <c r="T59" s="481">
        <f t="shared" ca="1" si="14"/>
        <v>0</v>
      </c>
      <c r="U59" s="482">
        <f t="shared" ca="1" si="15"/>
        <v>2.3006633978589368E-2</v>
      </c>
      <c r="V59" s="482">
        <f t="shared" ca="1" si="16"/>
        <v>2.3006633978589368E-2</v>
      </c>
      <c r="W59" s="481">
        <f t="shared" ca="1" si="17"/>
        <v>0</v>
      </c>
      <c r="X59" s="481">
        <f t="shared" ca="1" si="18"/>
        <v>0</v>
      </c>
      <c r="Y59" s="482">
        <f t="shared" ca="1" si="19"/>
        <v>2.3006633978589368E-2</v>
      </c>
      <c r="Z59" s="482">
        <f t="shared" ca="1" si="20"/>
        <v>2.3006633978589368E-2</v>
      </c>
      <c r="AA59" s="481">
        <f t="shared" ca="1" si="21"/>
        <v>0</v>
      </c>
      <c r="AB59" s="481">
        <f t="shared" ca="1" si="22"/>
        <v>0</v>
      </c>
      <c r="AC59" s="482">
        <f t="shared" ca="1" si="23"/>
        <v>2.3006633978589368E-2</v>
      </c>
      <c r="AD59" s="482">
        <f t="shared" ca="1" si="24"/>
        <v>2.3006633978589368E-2</v>
      </c>
      <c r="AE59" s="481">
        <f t="shared" ca="1" si="25"/>
        <v>0</v>
      </c>
      <c r="AF59" s="481">
        <f t="shared" ca="1" si="26"/>
        <v>0</v>
      </c>
      <c r="AG59" s="482">
        <f t="shared" ca="1" si="27"/>
        <v>2.3006633978589368E-2</v>
      </c>
      <c r="AH59" s="482">
        <f t="shared" ca="1" si="28"/>
        <v>2.3006633978589368E-2</v>
      </c>
      <c r="AI59" s="481">
        <f t="shared" ca="1" si="29"/>
        <v>0</v>
      </c>
      <c r="AJ59" s="481">
        <f t="shared" ca="1" si="30"/>
        <v>0</v>
      </c>
      <c r="AK59" s="482">
        <f t="shared" ca="1" si="31"/>
        <v>2.3006633978589368E-2</v>
      </c>
      <c r="AL59" s="482">
        <f t="shared" ca="1" si="32"/>
        <v>2.3006633978589368E-2</v>
      </c>
      <c r="AM59" s="481">
        <f t="shared" ca="1" si="33"/>
        <v>0</v>
      </c>
      <c r="AN59" s="481">
        <f t="shared" ca="1" si="34"/>
        <v>0</v>
      </c>
      <c r="AO59" s="482">
        <f t="shared" ca="1" si="35"/>
        <v>2.3006633978589368E-2</v>
      </c>
      <c r="AP59" s="482">
        <f t="shared" ca="1" si="36"/>
        <v>2.3006633978589368E-2</v>
      </c>
      <c r="AQ59" s="481">
        <f t="shared" ca="1" si="37"/>
        <v>0</v>
      </c>
      <c r="AR59" s="481">
        <f t="shared" ca="1" si="38"/>
        <v>0</v>
      </c>
      <c r="AS59" s="482">
        <f t="shared" ca="1" si="39"/>
        <v>2.3006633978589368E-2</v>
      </c>
      <c r="AT59" s="482">
        <f t="shared" ca="1" si="40"/>
        <v>2.3006633978589368E-2</v>
      </c>
      <c r="AU59" s="483">
        <f t="shared" ca="1" si="42"/>
        <v>2.3006633978589368E-2</v>
      </c>
      <c r="AV59" s="484">
        <f t="shared" ca="1" si="41"/>
        <v>43871.672426647769</v>
      </c>
      <c r="BA59" s="474">
        <f t="shared" ca="1" si="43"/>
        <v>0</v>
      </c>
      <c r="BB59" s="474">
        <f t="shared" ca="1" si="43"/>
        <v>1</v>
      </c>
      <c r="BD59" s="470">
        <f t="shared" ca="1" si="44"/>
        <v>1</v>
      </c>
    </row>
    <row r="60" spans="2:56" x14ac:dyDescent="0.25">
      <c r="B60" s="475">
        <f t="shared" ca="1" si="0"/>
        <v>30</v>
      </c>
      <c r="C60" s="476" t="str">
        <f ca="1">ייצוב!B40</f>
        <v>ערב רב (בר קיימא)</v>
      </c>
      <c r="D60" s="477">
        <f ca="1">ייצוב!H40</f>
        <v>3.3850555156023782E-2</v>
      </c>
      <c r="E60" s="477">
        <f ca="1">ייצוב!F40</f>
        <v>3.4735179457489954E-2</v>
      </c>
      <c r="F60" s="478">
        <f ca="1">'סיכום לועדה- הזנת נתונים'!G60</f>
        <v>1</v>
      </c>
      <c r="G60" s="478">
        <f t="shared" ca="1" si="1"/>
        <v>0</v>
      </c>
      <c r="H60" s="479">
        <f t="shared" ca="1" si="2"/>
        <v>0</v>
      </c>
      <c r="I60" s="480">
        <f t="shared" ca="1" si="3"/>
        <v>3.3850555156023782E-2</v>
      </c>
      <c r="J60" s="480">
        <f t="shared" ca="1" si="4"/>
        <v>3.3850555156023782E-2</v>
      </c>
      <c r="K60" s="481">
        <f t="shared" ca="1" si="5"/>
        <v>0</v>
      </c>
      <c r="L60" s="481">
        <f t="shared" ca="1" si="6"/>
        <v>0</v>
      </c>
      <c r="M60" s="482">
        <f t="shared" ca="1" si="7"/>
        <v>3.3850555156023782E-2</v>
      </c>
      <c r="N60" s="482">
        <f t="shared" ca="1" si="8"/>
        <v>3.3850555156023782E-2</v>
      </c>
      <c r="O60" s="481">
        <f t="shared" ca="1" si="9"/>
        <v>0</v>
      </c>
      <c r="P60" s="481">
        <f t="shared" ca="1" si="10"/>
        <v>0</v>
      </c>
      <c r="Q60" s="482">
        <f t="shared" ca="1" si="11"/>
        <v>3.3850555156023782E-2</v>
      </c>
      <c r="R60" s="482">
        <f t="shared" ca="1" si="12"/>
        <v>3.3850555156023782E-2</v>
      </c>
      <c r="S60" s="481">
        <f t="shared" ca="1" si="13"/>
        <v>0</v>
      </c>
      <c r="T60" s="481">
        <f t="shared" ca="1" si="14"/>
        <v>0</v>
      </c>
      <c r="U60" s="482">
        <f t="shared" ca="1" si="15"/>
        <v>3.3850555156023782E-2</v>
      </c>
      <c r="V60" s="482">
        <f t="shared" ca="1" si="16"/>
        <v>3.3850555156023782E-2</v>
      </c>
      <c r="W60" s="481">
        <f t="shared" ca="1" si="17"/>
        <v>0</v>
      </c>
      <c r="X60" s="481">
        <f t="shared" ca="1" si="18"/>
        <v>0</v>
      </c>
      <c r="Y60" s="482">
        <f t="shared" ca="1" si="19"/>
        <v>3.3850555156023782E-2</v>
      </c>
      <c r="Z60" s="482">
        <f t="shared" ca="1" si="20"/>
        <v>3.3850555156023782E-2</v>
      </c>
      <c r="AA60" s="481">
        <f t="shared" ca="1" si="21"/>
        <v>0</v>
      </c>
      <c r="AB60" s="481">
        <f t="shared" ca="1" si="22"/>
        <v>0</v>
      </c>
      <c r="AC60" s="482">
        <f t="shared" ca="1" si="23"/>
        <v>3.3850555156023782E-2</v>
      </c>
      <c r="AD60" s="482">
        <f t="shared" ca="1" si="24"/>
        <v>3.3850555156023782E-2</v>
      </c>
      <c r="AE60" s="481">
        <f t="shared" ca="1" si="25"/>
        <v>0</v>
      </c>
      <c r="AF60" s="481">
        <f t="shared" ca="1" si="26"/>
        <v>0</v>
      </c>
      <c r="AG60" s="482">
        <f t="shared" ca="1" si="27"/>
        <v>3.3850555156023782E-2</v>
      </c>
      <c r="AH60" s="482">
        <f t="shared" ca="1" si="28"/>
        <v>3.3850555156023782E-2</v>
      </c>
      <c r="AI60" s="481">
        <f t="shared" ca="1" si="29"/>
        <v>0</v>
      </c>
      <c r="AJ60" s="481">
        <f t="shared" ca="1" si="30"/>
        <v>0</v>
      </c>
      <c r="AK60" s="482">
        <f t="shared" ca="1" si="31"/>
        <v>3.3850555156023782E-2</v>
      </c>
      <c r="AL60" s="482">
        <f t="shared" ca="1" si="32"/>
        <v>3.3850555156023782E-2</v>
      </c>
      <c r="AM60" s="481">
        <f t="shared" ca="1" si="33"/>
        <v>0</v>
      </c>
      <c r="AN60" s="481">
        <f t="shared" ca="1" si="34"/>
        <v>0</v>
      </c>
      <c r="AO60" s="482">
        <f t="shared" ca="1" si="35"/>
        <v>3.3850555156023782E-2</v>
      </c>
      <c r="AP60" s="482">
        <f t="shared" ca="1" si="36"/>
        <v>3.3850555156023782E-2</v>
      </c>
      <c r="AQ60" s="481">
        <f t="shared" ca="1" si="37"/>
        <v>0</v>
      </c>
      <c r="AR60" s="481">
        <f t="shared" ca="1" si="38"/>
        <v>0</v>
      </c>
      <c r="AS60" s="482">
        <f t="shared" ca="1" si="39"/>
        <v>3.3850555156023782E-2</v>
      </c>
      <c r="AT60" s="482">
        <f t="shared" ca="1" si="40"/>
        <v>3.3850555156023782E-2</v>
      </c>
      <c r="AU60" s="483">
        <f t="shared" ca="1" si="42"/>
        <v>3.3850555156023782E-2</v>
      </c>
      <c r="AV60" s="484">
        <f t="shared" ca="1" si="41"/>
        <v>64550.097534793931</v>
      </c>
      <c r="BA60" s="474">
        <f t="shared" ca="1" si="43"/>
        <v>0</v>
      </c>
      <c r="BB60" s="474">
        <f t="shared" ca="1" si="43"/>
        <v>1</v>
      </c>
      <c r="BD60" s="470">
        <f t="shared" ca="1" si="44"/>
        <v>1</v>
      </c>
    </row>
    <row r="61" spans="2:56" x14ac:dyDescent="0.25">
      <c r="B61" s="475" t="str">
        <f t="shared" ca="1" si="0"/>
        <v/>
      </c>
      <c r="C61" s="476" t="str">
        <f ca="1">ייצוב!B41</f>
        <v/>
      </c>
      <c r="D61" s="477" t="str">
        <f ca="1">ייצוב!H41</f>
        <v/>
      </c>
      <c r="E61" s="477" t="str">
        <f ca="1">ייצוב!F41</f>
        <v/>
      </c>
      <c r="F61" s="478" t="str">
        <f ca="1">'סיכום לועדה- הזנת נתונים'!G61</f>
        <v/>
      </c>
      <c r="G61" s="478" t="str">
        <f t="shared" ca="1" si="1"/>
        <v/>
      </c>
      <c r="H61" s="479" t="str">
        <f t="shared" ca="1" si="2"/>
        <v/>
      </c>
      <c r="I61" s="480" t="str">
        <f t="shared" ca="1" si="3"/>
        <v/>
      </c>
      <c r="J61" s="480" t="str">
        <f t="shared" ca="1" si="4"/>
        <v/>
      </c>
      <c r="K61" s="481" t="str">
        <f t="shared" ca="1" si="5"/>
        <v/>
      </c>
      <c r="L61" s="481" t="str">
        <f t="shared" ca="1" si="6"/>
        <v/>
      </c>
      <c r="M61" s="482" t="str">
        <f t="shared" ca="1" si="7"/>
        <v/>
      </c>
      <c r="N61" s="482" t="str">
        <f t="shared" ca="1" si="8"/>
        <v/>
      </c>
      <c r="O61" s="481" t="str">
        <f t="shared" ca="1" si="9"/>
        <v/>
      </c>
      <c r="P61" s="481" t="str">
        <f t="shared" ca="1" si="10"/>
        <v/>
      </c>
      <c r="Q61" s="482" t="str">
        <f t="shared" ca="1" si="11"/>
        <v/>
      </c>
      <c r="R61" s="482" t="str">
        <f t="shared" ca="1" si="12"/>
        <v/>
      </c>
      <c r="S61" s="481" t="str">
        <f t="shared" ca="1" si="13"/>
        <v/>
      </c>
      <c r="T61" s="481" t="str">
        <f t="shared" ca="1" si="14"/>
        <v/>
      </c>
      <c r="U61" s="482" t="str">
        <f t="shared" ca="1" si="15"/>
        <v/>
      </c>
      <c r="V61" s="482" t="str">
        <f t="shared" ca="1" si="16"/>
        <v/>
      </c>
      <c r="W61" s="481" t="str">
        <f t="shared" ca="1" si="17"/>
        <v/>
      </c>
      <c r="X61" s="481" t="str">
        <f t="shared" ca="1" si="18"/>
        <v/>
      </c>
      <c r="Y61" s="482" t="str">
        <f t="shared" ca="1" si="19"/>
        <v/>
      </c>
      <c r="Z61" s="482" t="str">
        <f t="shared" ca="1" si="20"/>
        <v/>
      </c>
      <c r="AA61" s="481" t="str">
        <f t="shared" ca="1" si="21"/>
        <v/>
      </c>
      <c r="AB61" s="481" t="str">
        <f t="shared" ca="1" si="22"/>
        <v/>
      </c>
      <c r="AC61" s="482" t="str">
        <f t="shared" ca="1" si="23"/>
        <v/>
      </c>
      <c r="AD61" s="482" t="str">
        <f t="shared" ca="1" si="24"/>
        <v/>
      </c>
      <c r="AE61" s="481" t="str">
        <f t="shared" ca="1" si="25"/>
        <v/>
      </c>
      <c r="AF61" s="481" t="str">
        <f t="shared" ca="1" si="26"/>
        <v/>
      </c>
      <c r="AG61" s="482" t="str">
        <f t="shared" ca="1" si="27"/>
        <v/>
      </c>
      <c r="AH61" s="482" t="str">
        <f t="shared" ca="1" si="28"/>
        <v/>
      </c>
      <c r="AI61" s="481" t="str">
        <f t="shared" ca="1" si="29"/>
        <v/>
      </c>
      <c r="AJ61" s="481" t="str">
        <f t="shared" ca="1" si="30"/>
        <v/>
      </c>
      <c r="AK61" s="482" t="str">
        <f t="shared" ca="1" si="31"/>
        <v/>
      </c>
      <c r="AL61" s="482" t="str">
        <f t="shared" ca="1" si="32"/>
        <v/>
      </c>
      <c r="AM61" s="481" t="str">
        <f t="shared" ca="1" si="33"/>
        <v/>
      </c>
      <c r="AN61" s="481" t="str">
        <f t="shared" ca="1" si="34"/>
        <v/>
      </c>
      <c r="AO61" s="482" t="str">
        <f t="shared" ca="1" si="35"/>
        <v/>
      </c>
      <c r="AP61" s="482" t="str">
        <f t="shared" ca="1" si="36"/>
        <v/>
      </c>
      <c r="AQ61" s="481" t="str">
        <f t="shared" ca="1" si="37"/>
        <v/>
      </c>
      <c r="AR61" s="481" t="str">
        <f t="shared" ca="1" si="38"/>
        <v/>
      </c>
      <c r="AS61" s="482" t="str">
        <f t="shared" ca="1" si="39"/>
        <v/>
      </c>
      <c r="AT61" s="482" t="str">
        <f t="shared" ca="1" si="40"/>
        <v/>
      </c>
      <c r="AU61" s="483" t="str">
        <f t="shared" ca="1" si="42"/>
        <v/>
      </c>
      <c r="AV61" s="484" t="str">
        <f t="shared" ca="1" si="41"/>
        <v/>
      </c>
      <c r="BA61" s="474" t="str">
        <f t="shared" ca="1" si="43"/>
        <v/>
      </c>
      <c r="BB61" s="474" t="str">
        <f t="shared" ca="1" si="43"/>
        <v/>
      </c>
      <c r="BD61" s="470">
        <f t="shared" ca="1" si="44"/>
        <v>0</v>
      </c>
    </row>
    <row r="62" spans="2:56" x14ac:dyDescent="0.25">
      <c r="B62" s="475">
        <f t="shared" ca="1" si="0"/>
        <v>32</v>
      </c>
      <c r="C62" s="476" t="str">
        <f ca="1">ייצוב!B42</f>
        <v>מעלה</v>
      </c>
      <c r="D62" s="477">
        <f ca="1">ייצוב!H42</f>
        <v>6.1714812643207745E-2</v>
      </c>
      <c r="E62" s="477">
        <f ca="1">ייצוב!F42</f>
        <v>4.1952599855053764E-2</v>
      </c>
      <c r="F62" s="478">
        <f ca="1">'סיכום לועדה- הזנת נתונים'!G62</f>
        <v>1</v>
      </c>
      <c r="G62" s="478">
        <f t="shared" ca="1" si="1"/>
        <v>0</v>
      </c>
      <c r="H62" s="479">
        <f t="shared" ca="1" si="2"/>
        <v>0</v>
      </c>
      <c r="I62" s="480">
        <f t="shared" ca="1" si="3"/>
        <v>6.1714812643207745E-2</v>
      </c>
      <c r="J62" s="480">
        <f t="shared" ca="1" si="4"/>
        <v>6.1714812643207745E-2</v>
      </c>
      <c r="K62" s="481">
        <f t="shared" ca="1" si="5"/>
        <v>0</v>
      </c>
      <c r="L62" s="481">
        <f t="shared" ca="1" si="6"/>
        <v>0</v>
      </c>
      <c r="M62" s="482">
        <f t="shared" ca="1" si="7"/>
        <v>6.1714812643207745E-2</v>
      </c>
      <c r="N62" s="482">
        <f t="shared" ca="1" si="8"/>
        <v>6.1714812643207745E-2</v>
      </c>
      <c r="O62" s="481">
        <f t="shared" ca="1" si="9"/>
        <v>0</v>
      </c>
      <c r="P62" s="481">
        <f t="shared" ca="1" si="10"/>
        <v>0</v>
      </c>
      <c r="Q62" s="482">
        <f t="shared" ca="1" si="11"/>
        <v>6.1714812643207745E-2</v>
      </c>
      <c r="R62" s="482">
        <f t="shared" ca="1" si="12"/>
        <v>6.1714812643207745E-2</v>
      </c>
      <c r="S62" s="481">
        <f t="shared" ca="1" si="13"/>
        <v>0</v>
      </c>
      <c r="T62" s="481">
        <f t="shared" ca="1" si="14"/>
        <v>0</v>
      </c>
      <c r="U62" s="482">
        <f t="shared" ca="1" si="15"/>
        <v>6.1714812643207745E-2</v>
      </c>
      <c r="V62" s="482">
        <f t="shared" ca="1" si="16"/>
        <v>6.1714812643207745E-2</v>
      </c>
      <c r="W62" s="481">
        <f t="shared" ca="1" si="17"/>
        <v>0</v>
      </c>
      <c r="X62" s="481">
        <f t="shared" ca="1" si="18"/>
        <v>0</v>
      </c>
      <c r="Y62" s="482">
        <f t="shared" ca="1" si="19"/>
        <v>6.1714812643207745E-2</v>
      </c>
      <c r="Z62" s="482">
        <f t="shared" ca="1" si="20"/>
        <v>6.1714812643207745E-2</v>
      </c>
      <c r="AA62" s="481">
        <f t="shared" ca="1" si="21"/>
        <v>0</v>
      </c>
      <c r="AB62" s="481">
        <f t="shared" ca="1" si="22"/>
        <v>0</v>
      </c>
      <c r="AC62" s="482">
        <f t="shared" ca="1" si="23"/>
        <v>6.1714812643207745E-2</v>
      </c>
      <c r="AD62" s="482">
        <f t="shared" ca="1" si="24"/>
        <v>6.1714812643207745E-2</v>
      </c>
      <c r="AE62" s="481">
        <f t="shared" ca="1" si="25"/>
        <v>0</v>
      </c>
      <c r="AF62" s="481">
        <f t="shared" ca="1" si="26"/>
        <v>0</v>
      </c>
      <c r="AG62" s="482">
        <f t="shared" ca="1" si="27"/>
        <v>6.1714812643207745E-2</v>
      </c>
      <c r="AH62" s="482">
        <f t="shared" ca="1" si="28"/>
        <v>6.1714812643207745E-2</v>
      </c>
      <c r="AI62" s="481">
        <f t="shared" ca="1" si="29"/>
        <v>0</v>
      </c>
      <c r="AJ62" s="481">
        <f t="shared" ca="1" si="30"/>
        <v>0</v>
      </c>
      <c r="AK62" s="482">
        <f t="shared" ca="1" si="31"/>
        <v>6.1714812643207745E-2</v>
      </c>
      <c r="AL62" s="482">
        <f t="shared" ca="1" si="32"/>
        <v>6.1714812643207745E-2</v>
      </c>
      <c r="AM62" s="481">
        <f t="shared" ca="1" si="33"/>
        <v>0</v>
      </c>
      <c r="AN62" s="481">
        <f t="shared" ca="1" si="34"/>
        <v>0</v>
      </c>
      <c r="AO62" s="482">
        <f t="shared" ca="1" si="35"/>
        <v>6.1714812643207745E-2</v>
      </c>
      <c r="AP62" s="482">
        <f t="shared" ca="1" si="36"/>
        <v>6.1714812643207745E-2</v>
      </c>
      <c r="AQ62" s="481">
        <f t="shared" ca="1" si="37"/>
        <v>0</v>
      </c>
      <c r="AR62" s="481">
        <f t="shared" ca="1" si="38"/>
        <v>0</v>
      </c>
      <c r="AS62" s="482">
        <f t="shared" ca="1" si="39"/>
        <v>6.1714812643207745E-2</v>
      </c>
      <c r="AT62" s="482">
        <f t="shared" ca="1" si="40"/>
        <v>6.1714812643207745E-2</v>
      </c>
      <c r="AU62" s="483">
        <f t="shared" ca="1" si="42"/>
        <v>6.1714812643207745E-2</v>
      </c>
      <c r="AV62" s="484">
        <f t="shared" ca="1" si="41"/>
        <v>117684.84023670986</v>
      </c>
      <c r="BA62" s="474">
        <f t="shared" ca="1" si="43"/>
        <v>0</v>
      </c>
      <c r="BB62" s="474">
        <f t="shared" ca="1" si="43"/>
        <v>1</v>
      </c>
      <c r="BD62" s="470">
        <f t="shared" ca="1" si="44"/>
        <v>1</v>
      </c>
    </row>
    <row r="63" spans="2:56" x14ac:dyDescent="0.25">
      <c r="B63" s="475" t="str">
        <f t="shared" ca="1" si="0"/>
        <v/>
      </c>
      <c r="C63" s="476" t="str">
        <f ca="1">ייצוב!B43</f>
        <v/>
      </c>
      <c r="D63" s="477" t="str">
        <f ca="1">ייצוב!H43</f>
        <v/>
      </c>
      <c r="E63" s="477" t="str">
        <f ca="1">ייצוב!F43</f>
        <v/>
      </c>
      <c r="F63" s="478" t="str">
        <f ca="1">'סיכום לועדה- הזנת נתונים'!G63</f>
        <v/>
      </c>
      <c r="G63" s="478" t="str">
        <f t="shared" ca="1" si="1"/>
        <v/>
      </c>
      <c r="H63" s="479" t="str">
        <f t="shared" ca="1" si="2"/>
        <v/>
      </c>
      <c r="I63" s="480" t="str">
        <f t="shared" ca="1" si="3"/>
        <v/>
      </c>
      <c r="J63" s="480" t="str">
        <f t="shared" ca="1" si="4"/>
        <v/>
      </c>
      <c r="K63" s="481" t="str">
        <f t="shared" ca="1" si="5"/>
        <v/>
      </c>
      <c r="L63" s="481" t="str">
        <f t="shared" ca="1" si="6"/>
        <v/>
      </c>
      <c r="M63" s="482" t="str">
        <f t="shared" ca="1" si="7"/>
        <v/>
      </c>
      <c r="N63" s="482" t="str">
        <f t="shared" ca="1" si="8"/>
        <v/>
      </c>
      <c r="O63" s="481" t="str">
        <f t="shared" ca="1" si="9"/>
        <v/>
      </c>
      <c r="P63" s="481" t="str">
        <f t="shared" ca="1" si="10"/>
        <v/>
      </c>
      <c r="Q63" s="482" t="str">
        <f t="shared" ca="1" si="11"/>
        <v/>
      </c>
      <c r="R63" s="482" t="str">
        <f t="shared" ca="1" si="12"/>
        <v/>
      </c>
      <c r="S63" s="481" t="str">
        <f t="shared" ca="1" si="13"/>
        <v/>
      </c>
      <c r="T63" s="481" t="str">
        <f t="shared" ca="1" si="14"/>
        <v/>
      </c>
      <c r="U63" s="482" t="str">
        <f t="shared" ca="1" si="15"/>
        <v/>
      </c>
      <c r="V63" s="482" t="str">
        <f t="shared" ca="1" si="16"/>
        <v/>
      </c>
      <c r="W63" s="481" t="str">
        <f t="shared" ca="1" si="17"/>
        <v/>
      </c>
      <c r="X63" s="481" t="str">
        <f t="shared" ca="1" si="18"/>
        <v/>
      </c>
      <c r="Y63" s="482" t="str">
        <f t="shared" ca="1" si="19"/>
        <v/>
      </c>
      <c r="Z63" s="482" t="str">
        <f t="shared" ca="1" si="20"/>
        <v/>
      </c>
      <c r="AA63" s="481" t="str">
        <f t="shared" ca="1" si="21"/>
        <v/>
      </c>
      <c r="AB63" s="481" t="str">
        <f t="shared" ca="1" si="22"/>
        <v/>
      </c>
      <c r="AC63" s="482" t="str">
        <f t="shared" ca="1" si="23"/>
        <v/>
      </c>
      <c r="AD63" s="482" t="str">
        <f t="shared" ca="1" si="24"/>
        <v/>
      </c>
      <c r="AE63" s="481" t="str">
        <f t="shared" ca="1" si="25"/>
        <v/>
      </c>
      <c r="AF63" s="481" t="str">
        <f t="shared" ca="1" si="26"/>
        <v/>
      </c>
      <c r="AG63" s="482" t="str">
        <f t="shared" ca="1" si="27"/>
        <v/>
      </c>
      <c r="AH63" s="482" t="str">
        <f t="shared" ca="1" si="28"/>
        <v/>
      </c>
      <c r="AI63" s="481" t="str">
        <f t="shared" ca="1" si="29"/>
        <v/>
      </c>
      <c r="AJ63" s="481" t="str">
        <f t="shared" ca="1" si="30"/>
        <v/>
      </c>
      <c r="AK63" s="482" t="str">
        <f t="shared" ca="1" si="31"/>
        <v/>
      </c>
      <c r="AL63" s="482" t="str">
        <f t="shared" ca="1" si="32"/>
        <v/>
      </c>
      <c r="AM63" s="481" t="str">
        <f t="shared" ca="1" si="33"/>
        <v/>
      </c>
      <c r="AN63" s="481" t="str">
        <f t="shared" ca="1" si="34"/>
        <v/>
      </c>
      <c r="AO63" s="482" t="str">
        <f t="shared" ca="1" si="35"/>
        <v/>
      </c>
      <c r="AP63" s="482" t="str">
        <f t="shared" ca="1" si="36"/>
        <v/>
      </c>
      <c r="AQ63" s="481" t="str">
        <f t="shared" ca="1" si="37"/>
        <v/>
      </c>
      <c r="AR63" s="481" t="str">
        <f t="shared" ca="1" si="38"/>
        <v/>
      </c>
      <c r="AS63" s="482" t="str">
        <f t="shared" ca="1" si="39"/>
        <v/>
      </c>
      <c r="AT63" s="482" t="str">
        <f t="shared" ca="1" si="40"/>
        <v/>
      </c>
      <c r="AU63" s="483" t="str">
        <f t="shared" ca="1" si="42"/>
        <v/>
      </c>
      <c r="AV63" s="484" t="str">
        <f t="shared" ca="1" si="41"/>
        <v/>
      </c>
      <c r="BA63" s="474" t="str">
        <f t="shared" ca="1" si="43"/>
        <v/>
      </c>
      <c r="BB63" s="474" t="str">
        <f t="shared" ca="1" si="43"/>
        <v/>
      </c>
      <c r="BD63" s="470">
        <f t="shared" ca="1" si="44"/>
        <v>0</v>
      </c>
    </row>
    <row r="64" spans="2:56" x14ac:dyDescent="0.25">
      <c r="B64" s="475">
        <f t="shared" ca="1" si="0"/>
        <v>34</v>
      </c>
      <c r="C64" s="476" t="str">
        <f ca="1">ייצוב!B44</f>
        <v>כתב עת ירושלמי</v>
      </c>
      <c r="D64" s="477">
        <f ca="1">ייצוב!H44</f>
        <v>3.1368546237914061E-2</v>
      </c>
      <c r="E64" s="477">
        <f ca="1">ייצוב!F44</f>
        <v>3.4362325726278162E-2</v>
      </c>
      <c r="F64" s="478">
        <f ca="1">'סיכום לועדה- הזנת נתונים'!G64</f>
        <v>1</v>
      </c>
      <c r="G64" s="478">
        <f t="shared" ca="1" si="1"/>
        <v>0</v>
      </c>
      <c r="H64" s="479">
        <f t="shared" ca="1" si="2"/>
        <v>0</v>
      </c>
      <c r="I64" s="480">
        <f t="shared" ca="1" si="3"/>
        <v>3.1368546237914061E-2</v>
      </c>
      <c r="J64" s="480">
        <f t="shared" ca="1" si="4"/>
        <v>3.1368546237914061E-2</v>
      </c>
      <c r="K64" s="481">
        <f t="shared" ca="1" si="5"/>
        <v>0</v>
      </c>
      <c r="L64" s="481">
        <f t="shared" ca="1" si="6"/>
        <v>0</v>
      </c>
      <c r="M64" s="482">
        <f t="shared" ca="1" si="7"/>
        <v>3.1368546237914061E-2</v>
      </c>
      <c r="N64" s="482">
        <f t="shared" ca="1" si="8"/>
        <v>3.1368546237914061E-2</v>
      </c>
      <c r="O64" s="481">
        <f t="shared" ca="1" si="9"/>
        <v>0</v>
      </c>
      <c r="P64" s="481">
        <f t="shared" ca="1" si="10"/>
        <v>0</v>
      </c>
      <c r="Q64" s="482">
        <f t="shared" ca="1" si="11"/>
        <v>3.1368546237914061E-2</v>
      </c>
      <c r="R64" s="482">
        <f t="shared" ca="1" si="12"/>
        <v>3.1368546237914061E-2</v>
      </c>
      <c r="S64" s="481">
        <f t="shared" ca="1" si="13"/>
        <v>0</v>
      </c>
      <c r="T64" s="481">
        <f t="shared" ca="1" si="14"/>
        <v>0</v>
      </c>
      <c r="U64" s="482">
        <f t="shared" ca="1" si="15"/>
        <v>3.1368546237914061E-2</v>
      </c>
      <c r="V64" s="482">
        <f t="shared" ca="1" si="16"/>
        <v>3.1368546237914061E-2</v>
      </c>
      <c r="W64" s="481">
        <f t="shared" ca="1" si="17"/>
        <v>0</v>
      </c>
      <c r="X64" s="481">
        <f t="shared" ca="1" si="18"/>
        <v>0</v>
      </c>
      <c r="Y64" s="482">
        <f t="shared" ca="1" si="19"/>
        <v>3.1368546237914061E-2</v>
      </c>
      <c r="Z64" s="482">
        <f t="shared" ca="1" si="20"/>
        <v>3.1368546237914061E-2</v>
      </c>
      <c r="AA64" s="481">
        <f t="shared" ca="1" si="21"/>
        <v>0</v>
      </c>
      <c r="AB64" s="481">
        <f t="shared" ca="1" si="22"/>
        <v>0</v>
      </c>
      <c r="AC64" s="482">
        <f t="shared" ca="1" si="23"/>
        <v>3.1368546237914061E-2</v>
      </c>
      <c r="AD64" s="482">
        <f t="shared" ca="1" si="24"/>
        <v>3.1368546237914061E-2</v>
      </c>
      <c r="AE64" s="481">
        <f t="shared" ca="1" si="25"/>
        <v>0</v>
      </c>
      <c r="AF64" s="481">
        <f t="shared" ca="1" si="26"/>
        <v>0</v>
      </c>
      <c r="AG64" s="482">
        <f t="shared" ca="1" si="27"/>
        <v>3.1368546237914061E-2</v>
      </c>
      <c r="AH64" s="482">
        <f t="shared" ca="1" si="28"/>
        <v>3.1368546237914061E-2</v>
      </c>
      <c r="AI64" s="481">
        <f t="shared" ca="1" si="29"/>
        <v>0</v>
      </c>
      <c r="AJ64" s="481">
        <f t="shared" ca="1" si="30"/>
        <v>0</v>
      </c>
      <c r="AK64" s="482">
        <f t="shared" ca="1" si="31"/>
        <v>3.1368546237914061E-2</v>
      </c>
      <c r="AL64" s="482">
        <f t="shared" ca="1" si="32"/>
        <v>3.1368546237914061E-2</v>
      </c>
      <c r="AM64" s="481">
        <f t="shared" ca="1" si="33"/>
        <v>0</v>
      </c>
      <c r="AN64" s="481">
        <f t="shared" ca="1" si="34"/>
        <v>0</v>
      </c>
      <c r="AO64" s="482">
        <f t="shared" ca="1" si="35"/>
        <v>3.1368546237914061E-2</v>
      </c>
      <c r="AP64" s="482">
        <f t="shared" ca="1" si="36"/>
        <v>3.1368546237914061E-2</v>
      </c>
      <c r="AQ64" s="481">
        <f t="shared" ca="1" si="37"/>
        <v>0</v>
      </c>
      <c r="AR64" s="481">
        <f t="shared" ca="1" si="38"/>
        <v>0</v>
      </c>
      <c r="AS64" s="482">
        <f t="shared" ca="1" si="39"/>
        <v>3.1368546237914061E-2</v>
      </c>
      <c r="AT64" s="482">
        <f t="shared" ca="1" si="40"/>
        <v>3.1368546237914061E-2</v>
      </c>
      <c r="AU64" s="483">
        <f t="shared" ca="1" si="42"/>
        <v>3.1368546237914061E-2</v>
      </c>
      <c r="AV64" s="484">
        <f t="shared" ca="1" si="41"/>
        <v>59817.119980725656</v>
      </c>
      <c r="BA64" s="474">
        <f t="shared" ref="BA64:BB70" ca="1" si="45">IF($C64="","",BA$30)</f>
        <v>0</v>
      </c>
      <c r="BB64" s="474">
        <f t="shared" ca="1" si="45"/>
        <v>1</v>
      </c>
      <c r="BD64" s="470">
        <f t="shared" ca="1" si="44"/>
        <v>1</v>
      </c>
    </row>
    <row r="65" spans="2:56" x14ac:dyDescent="0.25">
      <c r="B65" s="475" t="str">
        <f t="shared" ca="1" si="0"/>
        <v/>
      </c>
      <c r="C65" s="476" t="str">
        <f ca="1">ייצוב!B45</f>
        <v/>
      </c>
      <c r="D65" s="477" t="str">
        <f ca="1">ייצוב!H45</f>
        <v/>
      </c>
      <c r="E65" s="477" t="str">
        <f ca="1">ייצוב!F45</f>
        <v/>
      </c>
      <c r="F65" s="478" t="str">
        <f ca="1">'סיכום לועדה- הזנת נתונים'!G65</f>
        <v/>
      </c>
      <c r="G65" s="478" t="str">
        <f t="shared" ca="1" si="1"/>
        <v/>
      </c>
      <c r="H65" s="479" t="str">
        <f t="shared" ca="1" si="2"/>
        <v/>
      </c>
      <c r="I65" s="480" t="str">
        <f t="shared" ca="1" si="3"/>
        <v/>
      </c>
      <c r="J65" s="480" t="str">
        <f t="shared" ca="1" si="4"/>
        <v/>
      </c>
      <c r="K65" s="481" t="str">
        <f t="shared" ca="1" si="5"/>
        <v/>
      </c>
      <c r="L65" s="481" t="str">
        <f t="shared" ca="1" si="6"/>
        <v/>
      </c>
      <c r="M65" s="482" t="str">
        <f t="shared" ca="1" si="7"/>
        <v/>
      </c>
      <c r="N65" s="482" t="str">
        <f t="shared" ca="1" si="8"/>
        <v/>
      </c>
      <c r="O65" s="481" t="str">
        <f t="shared" ca="1" si="9"/>
        <v/>
      </c>
      <c r="P65" s="481" t="str">
        <f t="shared" ca="1" si="10"/>
        <v/>
      </c>
      <c r="Q65" s="482" t="str">
        <f t="shared" ca="1" si="11"/>
        <v/>
      </c>
      <c r="R65" s="482" t="str">
        <f t="shared" ca="1" si="12"/>
        <v/>
      </c>
      <c r="S65" s="481" t="str">
        <f t="shared" ca="1" si="13"/>
        <v/>
      </c>
      <c r="T65" s="481" t="str">
        <f t="shared" ca="1" si="14"/>
        <v/>
      </c>
      <c r="U65" s="482" t="str">
        <f t="shared" ca="1" si="15"/>
        <v/>
      </c>
      <c r="V65" s="482" t="str">
        <f t="shared" ca="1" si="16"/>
        <v/>
      </c>
      <c r="W65" s="481" t="str">
        <f t="shared" ca="1" si="17"/>
        <v/>
      </c>
      <c r="X65" s="481" t="str">
        <f t="shared" ca="1" si="18"/>
        <v/>
      </c>
      <c r="Y65" s="482" t="str">
        <f t="shared" ca="1" si="19"/>
        <v/>
      </c>
      <c r="Z65" s="482" t="str">
        <f t="shared" ca="1" si="20"/>
        <v/>
      </c>
      <c r="AA65" s="481" t="str">
        <f t="shared" ca="1" si="21"/>
        <v/>
      </c>
      <c r="AB65" s="481" t="str">
        <f t="shared" ca="1" si="22"/>
        <v/>
      </c>
      <c r="AC65" s="482" t="str">
        <f t="shared" ca="1" si="23"/>
        <v/>
      </c>
      <c r="AD65" s="482" t="str">
        <f t="shared" ca="1" si="24"/>
        <v/>
      </c>
      <c r="AE65" s="481" t="str">
        <f t="shared" ca="1" si="25"/>
        <v/>
      </c>
      <c r="AF65" s="481" t="str">
        <f t="shared" ca="1" si="26"/>
        <v/>
      </c>
      <c r="AG65" s="482" t="str">
        <f t="shared" ca="1" si="27"/>
        <v/>
      </c>
      <c r="AH65" s="482" t="str">
        <f t="shared" ca="1" si="28"/>
        <v/>
      </c>
      <c r="AI65" s="481" t="str">
        <f t="shared" ca="1" si="29"/>
        <v/>
      </c>
      <c r="AJ65" s="481" t="str">
        <f t="shared" ca="1" si="30"/>
        <v/>
      </c>
      <c r="AK65" s="482" t="str">
        <f t="shared" ca="1" si="31"/>
        <v/>
      </c>
      <c r="AL65" s="482" t="str">
        <f t="shared" ca="1" si="32"/>
        <v/>
      </c>
      <c r="AM65" s="481" t="str">
        <f t="shared" ca="1" si="33"/>
        <v/>
      </c>
      <c r="AN65" s="481" t="str">
        <f t="shared" ca="1" si="34"/>
        <v/>
      </c>
      <c r="AO65" s="482" t="str">
        <f t="shared" ca="1" si="35"/>
        <v/>
      </c>
      <c r="AP65" s="482" t="str">
        <f t="shared" ca="1" si="36"/>
        <v/>
      </c>
      <c r="AQ65" s="481" t="str">
        <f t="shared" ca="1" si="37"/>
        <v/>
      </c>
      <c r="AR65" s="481" t="str">
        <f t="shared" ca="1" si="38"/>
        <v/>
      </c>
      <c r="AS65" s="482" t="str">
        <f t="shared" ca="1" si="39"/>
        <v/>
      </c>
      <c r="AT65" s="482" t="str">
        <f t="shared" ca="1" si="40"/>
        <v/>
      </c>
      <c r="AU65" s="483" t="str">
        <f t="shared" ca="1" si="42"/>
        <v/>
      </c>
      <c r="AV65" s="484" t="str">
        <f t="shared" ca="1" si="41"/>
        <v/>
      </c>
      <c r="BA65" s="474" t="str">
        <f t="shared" ca="1" si="45"/>
        <v/>
      </c>
      <c r="BB65" s="474" t="str">
        <f t="shared" ca="1" si="45"/>
        <v/>
      </c>
      <c r="BD65" s="470">
        <f t="shared" ca="1" si="44"/>
        <v>0</v>
      </c>
    </row>
    <row r="66" spans="2:56" x14ac:dyDescent="0.25">
      <c r="B66" s="475">
        <f t="shared" ca="1" si="0"/>
        <v>36</v>
      </c>
      <c r="C66" s="476" t="str">
        <f ca="1">ייצוב!B46</f>
        <v>העמותה ליצירה פנטסטית- אוטופיה</v>
      </c>
      <c r="D66" s="477">
        <f ca="1">ייצוב!H46</f>
        <v>3.9409777847117786E-2</v>
      </c>
      <c r="E66" s="477">
        <f ca="1">ייצוב!F46</f>
        <v>0</v>
      </c>
      <c r="F66" s="478">
        <f ca="1">'סיכום לועדה- הזנת נתונים'!G66</f>
        <v>1</v>
      </c>
      <c r="G66" s="478">
        <f t="shared" ca="1" si="1"/>
        <v>0</v>
      </c>
      <c r="H66" s="479">
        <f t="shared" ca="1" si="2"/>
        <v>0</v>
      </c>
      <c r="I66" s="480">
        <f t="shared" ca="1" si="3"/>
        <v>3.9409777847117786E-2</v>
      </c>
      <c r="J66" s="480">
        <f t="shared" ca="1" si="4"/>
        <v>3.9409777847117786E-2</v>
      </c>
      <c r="K66" s="481">
        <f t="shared" ca="1" si="5"/>
        <v>0</v>
      </c>
      <c r="L66" s="481">
        <f t="shared" ca="1" si="6"/>
        <v>0</v>
      </c>
      <c r="M66" s="482">
        <f t="shared" ca="1" si="7"/>
        <v>3.9409777847117786E-2</v>
      </c>
      <c r="N66" s="482">
        <f t="shared" ca="1" si="8"/>
        <v>3.9409777847117786E-2</v>
      </c>
      <c r="O66" s="481">
        <f t="shared" ca="1" si="9"/>
        <v>0</v>
      </c>
      <c r="P66" s="481">
        <f t="shared" ca="1" si="10"/>
        <v>0</v>
      </c>
      <c r="Q66" s="482">
        <f t="shared" ca="1" si="11"/>
        <v>3.9409777847117786E-2</v>
      </c>
      <c r="R66" s="482">
        <f t="shared" ca="1" si="12"/>
        <v>3.9409777847117786E-2</v>
      </c>
      <c r="S66" s="481">
        <f t="shared" ca="1" si="13"/>
        <v>0</v>
      </c>
      <c r="T66" s="481">
        <f t="shared" ca="1" si="14"/>
        <v>0</v>
      </c>
      <c r="U66" s="482">
        <f t="shared" ca="1" si="15"/>
        <v>3.9409777847117786E-2</v>
      </c>
      <c r="V66" s="482">
        <f t="shared" ca="1" si="16"/>
        <v>3.9409777847117786E-2</v>
      </c>
      <c r="W66" s="481">
        <f t="shared" ca="1" si="17"/>
        <v>0</v>
      </c>
      <c r="X66" s="481">
        <f t="shared" ca="1" si="18"/>
        <v>0</v>
      </c>
      <c r="Y66" s="482">
        <f t="shared" ca="1" si="19"/>
        <v>3.9409777847117786E-2</v>
      </c>
      <c r="Z66" s="482">
        <f t="shared" ca="1" si="20"/>
        <v>3.9409777847117786E-2</v>
      </c>
      <c r="AA66" s="481">
        <f t="shared" ca="1" si="21"/>
        <v>0</v>
      </c>
      <c r="AB66" s="481">
        <f t="shared" ca="1" si="22"/>
        <v>0</v>
      </c>
      <c r="AC66" s="482">
        <f t="shared" ca="1" si="23"/>
        <v>3.9409777847117786E-2</v>
      </c>
      <c r="AD66" s="482">
        <f t="shared" ca="1" si="24"/>
        <v>3.9409777847117786E-2</v>
      </c>
      <c r="AE66" s="481">
        <f t="shared" ca="1" si="25"/>
        <v>0</v>
      </c>
      <c r="AF66" s="481">
        <f t="shared" ca="1" si="26"/>
        <v>0</v>
      </c>
      <c r="AG66" s="482">
        <f t="shared" ca="1" si="27"/>
        <v>3.9409777847117786E-2</v>
      </c>
      <c r="AH66" s="482">
        <f t="shared" ca="1" si="28"/>
        <v>3.9409777847117786E-2</v>
      </c>
      <c r="AI66" s="481">
        <f t="shared" ca="1" si="29"/>
        <v>0</v>
      </c>
      <c r="AJ66" s="481">
        <f t="shared" ca="1" si="30"/>
        <v>0</v>
      </c>
      <c r="AK66" s="482">
        <f t="shared" ca="1" si="31"/>
        <v>3.9409777847117786E-2</v>
      </c>
      <c r="AL66" s="482">
        <f t="shared" ca="1" si="32"/>
        <v>3.9409777847117786E-2</v>
      </c>
      <c r="AM66" s="481">
        <f t="shared" ca="1" si="33"/>
        <v>0</v>
      </c>
      <c r="AN66" s="481">
        <f t="shared" ca="1" si="34"/>
        <v>0</v>
      </c>
      <c r="AO66" s="482">
        <f t="shared" ca="1" si="35"/>
        <v>3.9409777847117786E-2</v>
      </c>
      <c r="AP66" s="482">
        <f t="shared" ca="1" si="36"/>
        <v>3.9409777847117786E-2</v>
      </c>
      <c r="AQ66" s="481">
        <f t="shared" ca="1" si="37"/>
        <v>0</v>
      </c>
      <c r="AR66" s="481">
        <f t="shared" ca="1" si="38"/>
        <v>0</v>
      </c>
      <c r="AS66" s="482">
        <f t="shared" ca="1" si="39"/>
        <v>3.9409777847117786E-2</v>
      </c>
      <c r="AT66" s="482">
        <f t="shared" ca="1" si="40"/>
        <v>3.9409777847117786E-2</v>
      </c>
      <c r="AU66" s="483">
        <f t="shared" ca="1" si="42"/>
        <v>3.9409777847117786E-2</v>
      </c>
      <c r="AV66" s="484">
        <f t="shared" ca="1" si="41"/>
        <v>75151.057113558767</v>
      </c>
      <c r="BA66" s="474">
        <f t="shared" ca="1" si="45"/>
        <v>0</v>
      </c>
      <c r="BB66" s="474">
        <f t="shared" ca="1" si="45"/>
        <v>1</v>
      </c>
      <c r="BD66" s="470">
        <f t="shared" ca="1" si="44"/>
        <v>1</v>
      </c>
    </row>
    <row r="67" spans="2:56" x14ac:dyDescent="0.25">
      <c r="B67" s="475" t="str">
        <f t="shared" ca="1" si="0"/>
        <v/>
      </c>
      <c r="C67" s="476" t="str">
        <f ca="1">ייצוב!B47</f>
        <v/>
      </c>
      <c r="D67" s="477" t="str">
        <f ca="1">ייצוב!H47</f>
        <v/>
      </c>
      <c r="E67" s="477" t="str">
        <f ca="1">ייצוב!F47</f>
        <v/>
      </c>
      <c r="F67" s="478" t="str">
        <f ca="1">'סיכום לועדה- הזנת נתונים'!G67</f>
        <v/>
      </c>
      <c r="G67" s="478" t="str">
        <f t="shared" ca="1" si="1"/>
        <v/>
      </c>
      <c r="H67" s="479" t="str">
        <f t="shared" ca="1" si="2"/>
        <v/>
      </c>
      <c r="I67" s="480" t="str">
        <f t="shared" ca="1" si="3"/>
        <v/>
      </c>
      <c r="J67" s="480" t="str">
        <f t="shared" ca="1" si="4"/>
        <v/>
      </c>
      <c r="K67" s="481" t="str">
        <f t="shared" ca="1" si="5"/>
        <v/>
      </c>
      <c r="L67" s="481" t="str">
        <f t="shared" ca="1" si="6"/>
        <v/>
      </c>
      <c r="M67" s="482" t="str">
        <f t="shared" ca="1" si="7"/>
        <v/>
      </c>
      <c r="N67" s="482" t="str">
        <f t="shared" ca="1" si="8"/>
        <v/>
      </c>
      <c r="O67" s="481" t="str">
        <f t="shared" ca="1" si="9"/>
        <v/>
      </c>
      <c r="P67" s="481" t="str">
        <f t="shared" ca="1" si="10"/>
        <v/>
      </c>
      <c r="Q67" s="482" t="str">
        <f t="shared" ca="1" si="11"/>
        <v/>
      </c>
      <c r="R67" s="482" t="str">
        <f t="shared" ca="1" si="12"/>
        <v/>
      </c>
      <c r="S67" s="481" t="str">
        <f t="shared" ca="1" si="13"/>
        <v/>
      </c>
      <c r="T67" s="481" t="str">
        <f t="shared" ca="1" si="14"/>
        <v/>
      </c>
      <c r="U67" s="482" t="str">
        <f t="shared" ca="1" si="15"/>
        <v/>
      </c>
      <c r="V67" s="482" t="str">
        <f t="shared" ca="1" si="16"/>
        <v/>
      </c>
      <c r="W67" s="481" t="str">
        <f t="shared" ca="1" si="17"/>
        <v/>
      </c>
      <c r="X67" s="481" t="str">
        <f t="shared" ca="1" si="18"/>
        <v/>
      </c>
      <c r="Y67" s="482" t="str">
        <f t="shared" ca="1" si="19"/>
        <v/>
      </c>
      <c r="Z67" s="482" t="str">
        <f t="shared" ca="1" si="20"/>
        <v/>
      </c>
      <c r="AA67" s="481" t="str">
        <f t="shared" ca="1" si="21"/>
        <v/>
      </c>
      <c r="AB67" s="481" t="str">
        <f t="shared" ca="1" si="22"/>
        <v/>
      </c>
      <c r="AC67" s="482" t="str">
        <f t="shared" ca="1" si="23"/>
        <v/>
      </c>
      <c r="AD67" s="482" t="str">
        <f t="shared" ca="1" si="24"/>
        <v/>
      </c>
      <c r="AE67" s="481" t="str">
        <f t="shared" ca="1" si="25"/>
        <v/>
      </c>
      <c r="AF67" s="481" t="str">
        <f t="shared" ca="1" si="26"/>
        <v/>
      </c>
      <c r="AG67" s="482" t="str">
        <f t="shared" ca="1" si="27"/>
        <v/>
      </c>
      <c r="AH67" s="482" t="str">
        <f t="shared" ca="1" si="28"/>
        <v/>
      </c>
      <c r="AI67" s="481" t="str">
        <f t="shared" ca="1" si="29"/>
        <v/>
      </c>
      <c r="AJ67" s="481" t="str">
        <f t="shared" ca="1" si="30"/>
        <v/>
      </c>
      <c r="AK67" s="482" t="str">
        <f t="shared" ca="1" si="31"/>
        <v/>
      </c>
      <c r="AL67" s="482" t="str">
        <f t="shared" ca="1" si="32"/>
        <v/>
      </c>
      <c r="AM67" s="481" t="str">
        <f t="shared" ca="1" si="33"/>
        <v/>
      </c>
      <c r="AN67" s="481" t="str">
        <f t="shared" ca="1" si="34"/>
        <v/>
      </c>
      <c r="AO67" s="482" t="str">
        <f t="shared" ca="1" si="35"/>
        <v/>
      </c>
      <c r="AP67" s="482" t="str">
        <f t="shared" ca="1" si="36"/>
        <v/>
      </c>
      <c r="AQ67" s="481" t="str">
        <f t="shared" ca="1" si="37"/>
        <v/>
      </c>
      <c r="AR67" s="481" t="str">
        <f t="shared" ca="1" si="38"/>
        <v/>
      </c>
      <c r="AS67" s="482" t="str">
        <f t="shared" ca="1" si="39"/>
        <v/>
      </c>
      <c r="AT67" s="482" t="str">
        <f t="shared" ca="1" si="40"/>
        <v/>
      </c>
      <c r="AU67" s="483" t="str">
        <f t="shared" ca="1" si="42"/>
        <v/>
      </c>
      <c r="AV67" s="484" t="str">
        <f t="shared" ca="1" si="41"/>
        <v/>
      </c>
      <c r="BA67" s="474" t="str">
        <f t="shared" ca="1" si="45"/>
        <v/>
      </c>
      <c r="BB67" s="474" t="str">
        <f t="shared" ca="1" si="45"/>
        <v/>
      </c>
      <c r="BD67" s="470">
        <f t="shared" ca="1" si="44"/>
        <v>0</v>
      </c>
    </row>
    <row r="68" spans="2:56" x14ac:dyDescent="0.25">
      <c r="B68" s="475" t="str">
        <f t="shared" ca="1" si="0"/>
        <v/>
      </c>
      <c r="C68" s="476" t="str">
        <f ca="1">ייצוב!B48</f>
        <v/>
      </c>
      <c r="D68" s="477" t="str">
        <f ca="1">ייצוב!H48</f>
        <v/>
      </c>
      <c r="E68" s="477" t="str">
        <f ca="1">ייצוב!F48</f>
        <v/>
      </c>
      <c r="F68" s="478" t="str">
        <f ca="1">'סיכום לועדה- הזנת נתונים'!G68</f>
        <v/>
      </c>
      <c r="G68" s="478" t="str">
        <f t="shared" ca="1" si="1"/>
        <v/>
      </c>
      <c r="H68" s="479" t="str">
        <f t="shared" ca="1" si="2"/>
        <v/>
      </c>
      <c r="I68" s="480" t="str">
        <f t="shared" ca="1" si="3"/>
        <v/>
      </c>
      <c r="J68" s="480" t="str">
        <f t="shared" ca="1" si="4"/>
        <v/>
      </c>
      <c r="K68" s="481" t="str">
        <f t="shared" ca="1" si="5"/>
        <v/>
      </c>
      <c r="L68" s="481" t="str">
        <f t="shared" ca="1" si="6"/>
        <v/>
      </c>
      <c r="M68" s="482" t="str">
        <f t="shared" ca="1" si="7"/>
        <v/>
      </c>
      <c r="N68" s="482" t="str">
        <f t="shared" ca="1" si="8"/>
        <v/>
      </c>
      <c r="O68" s="481" t="str">
        <f t="shared" ca="1" si="9"/>
        <v/>
      </c>
      <c r="P68" s="481" t="str">
        <f t="shared" ca="1" si="10"/>
        <v/>
      </c>
      <c r="Q68" s="482" t="str">
        <f t="shared" ca="1" si="11"/>
        <v/>
      </c>
      <c r="R68" s="482" t="str">
        <f t="shared" ca="1" si="12"/>
        <v/>
      </c>
      <c r="S68" s="481" t="str">
        <f t="shared" ca="1" si="13"/>
        <v/>
      </c>
      <c r="T68" s="481" t="str">
        <f t="shared" ca="1" si="14"/>
        <v/>
      </c>
      <c r="U68" s="482" t="str">
        <f t="shared" ca="1" si="15"/>
        <v/>
      </c>
      <c r="V68" s="482" t="str">
        <f t="shared" ca="1" si="16"/>
        <v/>
      </c>
      <c r="W68" s="481" t="str">
        <f t="shared" ca="1" si="17"/>
        <v/>
      </c>
      <c r="X68" s="481" t="str">
        <f t="shared" ca="1" si="18"/>
        <v/>
      </c>
      <c r="Y68" s="482" t="str">
        <f t="shared" ca="1" si="19"/>
        <v/>
      </c>
      <c r="Z68" s="482" t="str">
        <f t="shared" ca="1" si="20"/>
        <v/>
      </c>
      <c r="AA68" s="481" t="str">
        <f t="shared" ca="1" si="21"/>
        <v/>
      </c>
      <c r="AB68" s="481" t="str">
        <f t="shared" ca="1" si="22"/>
        <v/>
      </c>
      <c r="AC68" s="482" t="str">
        <f t="shared" ca="1" si="23"/>
        <v/>
      </c>
      <c r="AD68" s="482" t="str">
        <f t="shared" ca="1" si="24"/>
        <v/>
      </c>
      <c r="AE68" s="481" t="str">
        <f t="shared" ca="1" si="25"/>
        <v/>
      </c>
      <c r="AF68" s="481" t="str">
        <f t="shared" ca="1" si="26"/>
        <v/>
      </c>
      <c r="AG68" s="482" t="str">
        <f t="shared" ca="1" si="27"/>
        <v/>
      </c>
      <c r="AH68" s="482" t="str">
        <f t="shared" ca="1" si="28"/>
        <v/>
      </c>
      <c r="AI68" s="481" t="str">
        <f t="shared" ca="1" si="29"/>
        <v/>
      </c>
      <c r="AJ68" s="481" t="str">
        <f t="shared" ca="1" si="30"/>
        <v/>
      </c>
      <c r="AK68" s="482" t="str">
        <f t="shared" ca="1" si="31"/>
        <v/>
      </c>
      <c r="AL68" s="482" t="str">
        <f t="shared" ca="1" si="32"/>
        <v/>
      </c>
      <c r="AM68" s="481" t="str">
        <f t="shared" ca="1" si="33"/>
        <v/>
      </c>
      <c r="AN68" s="481" t="str">
        <f t="shared" ca="1" si="34"/>
        <v/>
      </c>
      <c r="AO68" s="482" t="str">
        <f t="shared" ca="1" si="35"/>
        <v/>
      </c>
      <c r="AP68" s="482" t="str">
        <f t="shared" ca="1" si="36"/>
        <v/>
      </c>
      <c r="AQ68" s="481" t="str">
        <f t="shared" ca="1" si="37"/>
        <v/>
      </c>
      <c r="AR68" s="481" t="str">
        <f t="shared" ca="1" si="38"/>
        <v/>
      </c>
      <c r="AS68" s="482" t="str">
        <f t="shared" ca="1" si="39"/>
        <v/>
      </c>
      <c r="AT68" s="482" t="str">
        <f t="shared" ca="1" si="40"/>
        <v/>
      </c>
      <c r="AU68" s="483" t="str">
        <f t="shared" ca="1" si="42"/>
        <v/>
      </c>
      <c r="AV68" s="484" t="str">
        <f t="shared" ca="1" si="41"/>
        <v/>
      </c>
      <c r="BA68" s="474" t="str">
        <f t="shared" ca="1" si="45"/>
        <v/>
      </c>
      <c r="BB68" s="474" t="str">
        <f t="shared" ca="1" si="45"/>
        <v/>
      </c>
      <c r="BD68" s="470">
        <f t="shared" ca="1" si="44"/>
        <v>0</v>
      </c>
    </row>
    <row r="69" spans="2:56" x14ac:dyDescent="0.25">
      <c r="B69" s="475" t="str">
        <f t="shared" ca="1" si="0"/>
        <v/>
      </c>
      <c r="C69" s="476" t="str">
        <f ca="1">ייצוב!B49</f>
        <v/>
      </c>
      <c r="D69" s="477" t="str">
        <f ca="1">ייצוב!H49</f>
        <v/>
      </c>
      <c r="E69" s="477" t="str">
        <f ca="1">ייצוב!F49</f>
        <v/>
      </c>
      <c r="F69" s="478" t="str">
        <f ca="1">'סיכום לועדה- הזנת נתונים'!G69</f>
        <v/>
      </c>
      <c r="G69" s="478" t="str">
        <f t="shared" ca="1" si="1"/>
        <v/>
      </c>
      <c r="H69" s="479" t="str">
        <f t="shared" ca="1" si="2"/>
        <v/>
      </c>
      <c r="I69" s="480" t="str">
        <f t="shared" ca="1" si="3"/>
        <v/>
      </c>
      <c r="J69" s="480" t="str">
        <f t="shared" ca="1" si="4"/>
        <v/>
      </c>
      <c r="K69" s="481" t="str">
        <f t="shared" ca="1" si="5"/>
        <v/>
      </c>
      <c r="L69" s="481" t="str">
        <f t="shared" ca="1" si="6"/>
        <v/>
      </c>
      <c r="M69" s="482" t="str">
        <f t="shared" ca="1" si="7"/>
        <v/>
      </c>
      <c r="N69" s="482" t="str">
        <f t="shared" ca="1" si="8"/>
        <v/>
      </c>
      <c r="O69" s="481" t="str">
        <f t="shared" ca="1" si="9"/>
        <v/>
      </c>
      <c r="P69" s="481" t="str">
        <f t="shared" ca="1" si="10"/>
        <v/>
      </c>
      <c r="Q69" s="482" t="str">
        <f t="shared" ca="1" si="11"/>
        <v/>
      </c>
      <c r="R69" s="482" t="str">
        <f t="shared" ca="1" si="12"/>
        <v/>
      </c>
      <c r="S69" s="481" t="str">
        <f t="shared" ca="1" si="13"/>
        <v/>
      </c>
      <c r="T69" s="481" t="str">
        <f t="shared" ca="1" si="14"/>
        <v/>
      </c>
      <c r="U69" s="482" t="str">
        <f t="shared" ca="1" si="15"/>
        <v/>
      </c>
      <c r="V69" s="482" t="str">
        <f t="shared" ca="1" si="16"/>
        <v/>
      </c>
      <c r="W69" s="481" t="str">
        <f t="shared" ca="1" si="17"/>
        <v/>
      </c>
      <c r="X69" s="481" t="str">
        <f t="shared" ca="1" si="18"/>
        <v/>
      </c>
      <c r="Y69" s="482" t="str">
        <f t="shared" ca="1" si="19"/>
        <v/>
      </c>
      <c r="Z69" s="482" t="str">
        <f t="shared" ca="1" si="20"/>
        <v/>
      </c>
      <c r="AA69" s="481" t="str">
        <f t="shared" ca="1" si="21"/>
        <v/>
      </c>
      <c r="AB69" s="481" t="str">
        <f t="shared" ca="1" si="22"/>
        <v/>
      </c>
      <c r="AC69" s="482" t="str">
        <f t="shared" ca="1" si="23"/>
        <v/>
      </c>
      <c r="AD69" s="482" t="str">
        <f t="shared" ca="1" si="24"/>
        <v/>
      </c>
      <c r="AE69" s="481" t="str">
        <f t="shared" ca="1" si="25"/>
        <v/>
      </c>
      <c r="AF69" s="481" t="str">
        <f t="shared" ca="1" si="26"/>
        <v/>
      </c>
      <c r="AG69" s="482" t="str">
        <f t="shared" ca="1" si="27"/>
        <v/>
      </c>
      <c r="AH69" s="482" t="str">
        <f t="shared" ca="1" si="28"/>
        <v/>
      </c>
      <c r="AI69" s="481" t="str">
        <f t="shared" ca="1" si="29"/>
        <v/>
      </c>
      <c r="AJ69" s="481" t="str">
        <f t="shared" ca="1" si="30"/>
        <v/>
      </c>
      <c r="AK69" s="482" t="str">
        <f t="shared" ca="1" si="31"/>
        <v/>
      </c>
      <c r="AL69" s="482" t="str">
        <f t="shared" ca="1" si="32"/>
        <v/>
      </c>
      <c r="AM69" s="481" t="str">
        <f t="shared" ca="1" si="33"/>
        <v/>
      </c>
      <c r="AN69" s="481" t="str">
        <f t="shared" ca="1" si="34"/>
        <v/>
      </c>
      <c r="AO69" s="482" t="str">
        <f t="shared" ca="1" si="35"/>
        <v/>
      </c>
      <c r="AP69" s="482" t="str">
        <f t="shared" ca="1" si="36"/>
        <v/>
      </c>
      <c r="AQ69" s="481" t="str">
        <f t="shared" ca="1" si="37"/>
        <v/>
      </c>
      <c r="AR69" s="481" t="str">
        <f t="shared" ca="1" si="38"/>
        <v/>
      </c>
      <c r="AS69" s="482" t="str">
        <f t="shared" ca="1" si="39"/>
        <v/>
      </c>
      <c r="AT69" s="482" t="str">
        <f t="shared" ca="1" si="40"/>
        <v/>
      </c>
      <c r="AU69" s="483" t="str">
        <f t="shared" ca="1" si="42"/>
        <v/>
      </c>
      <c r="AV69" s="484" t="str">
        <f t="shared" ca="1" si="41"/>
        <v/>
      </c>
      <c r="BA69" s="474" t="str">
        <f t="shared" ca="1" si="45"/>
        <v/>
      </c>
      <c r="BB69" s="474" t="str">
        <f t="shared" ca="1" si="45"/>
        <v/>
      </c>
      <c r="BD69" s="470">
        <f t="shared" ca="1" si="44"/>
        <v>0</v>
      </c>
    </row>
    <row r="70" spans="2:56" ht="16.5" thickBot="1" x14ac:dyDescent="0.3">
      <c r="B70" s="475" t="str">
        <f t="shared" ca="1" si="0"/>
        <v/>
      </c>
      <c r="C70" s="476" t="str">
        <f ca="1">ייצוב!B50</f>
        <v/>
      </c>
      <c r="D70" s="477" t="str">
        <f ca="1">ייצוב!H50</f>
        <v/>
      </c>
      <c r="E70" s="477" t="str">
        <f ca="1">ייצוב!F50</f>
        <v/>
      </c>
      <c r="F70" s="478" t="str">
        <f ca="1">'סיכום לועדה- הזנת נתונים'!G70</f>
        <v/>
      </c>
      <c r="G70" s="478" t="str">
        <f t="shared" ca="1" si="1"/>
        <v/>
      </c>
      <c r="H70" s="479" t="str">
        <f t="shared" ca="1" si="2"/>
        <v/>
      </c>
      <c r="I70" s="480" t="str">
        <f t="shared" ca="1" si="3"/>
        <v/>
      </c>
      <c r="J70" s="480" t="str">
        <f t="shared" ca="1" si="4"/>
        <v/>
      </c>
      <c r="K70" s="481" t="str">
        <f t="shared" ca="1" si="5"/>
        <v/>
      </c>
      <c r="L70" s="481" t="str">
        <f t="shared" ca="1" si="6"/>
        <v/>
      </c>
      <c r="M70" s="482" t="str">
        <f t="shared" ca="1" si="7"/>
        <v/>
      </c>
      <c r="N70" s="482" t="str">
        <f t="shared" ca="1" si="8"/>
        <v/>
      </c>
      <c r="O70" s="481" t="str">
        <f t="shared" ca="1" si="9"/>
        <v/>
      </c>
      <c r="P70" s="481" t="str">
        <f t="shared" ca="1" si="10"/>
        <v/>
      </c>
      <c r="Q70" s="482" t="str">
        <f t="shared" ca="1" si="11"/>
        <v/>
      </c>
      <c r="R70" s="482" t="str">
        <f t="shared" ca="1" si="12"/>
        <v/>
      </c>
      <c r="S70" s="481" t="str">
        <f t="shared" ca="1" si="13"/>
        <v/>
      </c>
      <c r="T70" s="481" t="str">
        <f t="shared" ca="1" si="14"/>
        <v/>
      </c>
      <c r="U70" s="482" t="str">
        <f t="shared" ca="1" si="15"/>
        <v/>
      </c>
      <c r="V70" s="482" t="str">
        <f t="shared" ca="1" si="16"/>
        <v/>
      </c>
      <c r="W70" s="481" t="str">
        <f t="shared" ca="1" si="17"/>
        <v/>
      </c>
      <c r="X70" s="481" t="str">
        <f t="shared" ca="1" si="18"/>
        <v/>
      </c>
      <c r="Y70" s="482" t="str">
        <f t="shared" ca="1" si="19"/>
        <v/>
      </c>
      <c r="Z70" s="482" t="str">
        <f t="shared" ca="1" si="20"/>
        <v/>
      </c>
      <c r="AA70" s="481" t="str">
        <f t="shared" ca="1" si="21"/>
        <v/>
      </c>
      <c r="AB70" s="481" t="str">
        <f t="shared" ca="1" si="22"/>
        <v/>
      </c>
      <c r="AC70" s="482" t="str">
        <f t="shared" ca="1" si="23"/>
        <v/>
      </c>
      <c r="AD70" s="482" t="str">
        <f t="shared" ca="1" si="24"/>
        <v/>
      </c>
      <c r="AE70" s="481" t="str">
        <f t="shared" ca="1" si="25"/>
        <v/>
      </c>
      <c r="AF70" s="481" t="str">
        <f t="shared" ca="1" si="26"/>
        <v/>
      </c>
      <c r="AG70" s="482" t="str">
        <f t="shared" ca="1" si="27"/>
        <v/>
      </c>
      <c r="AH70" s="482" t="str">
        <f t="shared" ca="1" si="28"/>
        <v/>
      </c>
      <c r="AI70" s="481" t="str">
        <f t="shared" ca="1" si="29"/>
        <v/>
      </c>
      <c r="AJ70" s="481" t="str">
        <f t="shared" ca="1" si="30"/>
        <v/>
      </c>
      <c r="AK70" s="482" t="str">
        <f t="shared" ca="1" si="31"/>
        <v/>
      </c>
      <c r="AL70" s="482" t="str">
        <f t="shared" ca="1" si="32"/>
        <v/>
      </c>
      <c r="AM70" s="481" t="str">
        <f t="shared" ca="1" si="33"/>
        <v/>
      </c>
      <c r="AN70" s="481" t="str">
        <f t="shared" ca="1" si="34"/>
        <v/>
      </c>
      <c r="AO70" s="482" t="str">
        <f t="shared" ca="1" si="35"/>
        <v/>
      </c>
      <c r="AP70" s="482" t="str">
        <f t="shared" ca="1" si="36"/>
        <v/>
      </c>
      <c r="AQ70" s="481" t="str">
        <f t="shared" ca="1" si="37"/>
        <v/>
      </c>
      <c r="AR70" s="481" t="str">
        <f t="shared" ca="1" si="38"/>
        <v/>
      </c>
      <c r="AS70" s="482" t="str">
        <f t="shared" ca="1" si="39"/>
        <v/>
      </c>
      <c r="AT70" s="482" t="str">
        <f t="shared" ca="1" si="40"/>
        <v/>
      </c>
      <c r="AU70" s="483" t="str">
        <f t="shared" ca="1" si="42"/>
        <v/>
      </c>
      <c r="AV70" s="484" t="str">
        <f t="shared" ca="1" si="41"/>
        <v/>
      </c>
      <c r="BA70" s="474" t="str">
        <f t="shared" ca="1" si="45"/>
        <v/>
      </c>
      <c r="BB70" s="474" t="str">
        <f t="shared" ca="1" si="45"/>
        <v/>
      </c>
      <c r="BD70" s="470">
        <f t="shared" ca="1" si="44"/>
        <v>0</v>
      </c>
    </row>
    <row r="71" spans="2:56" ht="16.5" thickBot="1" x14ac:dyDescent="0.3">
      <c r="B71" s="649" t="s">
        <v>54</v>
      </c>
      <c r="C71" s="650"/>
      <c r="D71" s="485">
        <f t="shared" ref="D71:AV71" ca="1" si="46">SUM(D31:D70)</f>
        <v>1</v>
      </c>
      <c r="E71" s="486">
        <f t="shared" ca="1" si="46"/>
        <v>0.97902317566497499</v>
      </c>
      <c r="F71" s="387">
        <f t="shared" ca="1" si="46"/>
        <v>19</v>
      </c>
      <c r="G71" s="387">
        <f t="shared" ca="1" si="46"/>
        <v>2</v>
      </c>
      <c r="H71" s="387">
        <f t="shared" ca="1" si="46"/>
        <v>0</v>
      </c>
      <c r="I71" s="487">
        <f t="shared" ca="1" si="46"/>
        <v>1</v>
      </c>
      <c r="J71" s="487">
        <f t="shared" ca="1" si="46"/>
        <v>1</v>
      </c>
      <c r="K71" s="387">
        <f t="shared" ca="1" si="46"/>
        <v>2</v>
      </c>
      <c r="L71" s="387">
        <f t="shared" ca="1" si="46"/>
        <v>0</v>
      </c>
      <c r="M71" s="487">
        <f t="shared" ca="1" si="46"/>
        <v>1</v>
      </c>
      <c r="N71" s="487">
        <f t="shared" ca="1" si="46"/>
        <v>1</v>
      </c>
      <c r="O71" s="387">
        <f t="shared" ca="1" si="46"/>
        <v>2</v>
      </c>
      <c r="P71" s="387">
        <f t="shared" ca="1" si="46"/>
        <v>0</v>
      </c>
      <c r="Q71" s="487">
        <f t="shared" ca="1" si="46"/>
        <v>1</v>
      </c>
      <c r="R71" s="487">
        <f t="shared" ca="1" si="46"/>
        <v>1</v>
      </c>
      <c r="S71" s="387">
        <f t="shared" ca="1" si="46"/>
        <v>2</v>
      </c>
      <c r="T71" s="387">
        <f t="shared" ca="1" si="46"/>
        <v>0</v>
      </c>
      <c r="U71" s="487">
        <f t="shared" ca="1" si="46"/>
        <v>1</v>
      </c>
      <c r="V71" s="487">
        <f t="shared" ca="1" si="46"/>
        <v>1</v>
      </c>
      <c r="W71" s="387">
        <f t="shared" ca="1" si="46"/>
        <v>2</v>
      </c>
      <c r="X71" s="387">
        <f t="shared" ca="1" si="46"/>
        <v>0</v>
      </c>
      <c r="Y71" s="487">
        <f t="shared" ca="1" si="46"/>
        <v>1</v>
      </c>
      <c r="Z71" s="487">
        <f t="shared" ca="1" si="46"/>
        <v>1</v>
      </c>
      <c r="AA71" s="387">
        <f t="shared" ca="1" si="46"/>
        <v>2</v>
      </c>
      <c r="AB71" s="387">
        <f t="shared" ca="1" si="46"/>
        <v>0</v>
      </c>
      <c r="AC71" s="487">
        <f t="shared" ca="1" si="46"/>
        <v>1</v>
      </c>
      <c r="AD71" s="487">
        <f t="shared" ca="1" si="46"/>
        <v>1</v>
      </c>
      <c r="AE71" s="387">
        <f t="shared" ca="1" si="46"/>
        <v>2</v>
      </c>
      <c r="AF71" s="387">
        <f t="shared" ca="1" si="46"/>
        <v>0</v>
      </c>
      <c r="AG71" s="487">
        <f t="shared" ca="1" si="46"/>
        <v>1</v>
      </c>
      <c r="AH71" s="487">
        <f t="shared" ca="1" si="46"/>
        <v>1</v>
      </c>
      <c r="AI71" s="387">
        <f t="shared" ca="1" si="46"/>
        <v>2</v>
      </c>
      <c r="AJ71" s="387">
        <f t="shared" ca="1" si="46"/>
        <v>0</v>
      </c>
      <c r="AK71" s="487">
        <f t="shared" ca="1" si="46"/>
        <v>1</v>
      </c>
      <c r="AL71" s="487">
        <f t="shared" ca="1" si="46"/>
        <v>1</v>
      </c>
      <c r="AM71" s="387">
        <f t="shared" ca="1" si="46"/>
        <v>2</v>
      </c>
      <c r="AN71" s="387">
        <f t="shared" ca="1" si="46"/>
        <v>0</v>
      </c>
      <c r="AO71" s="487">
        <f t="shared" ca="1" si="46"/>
        <v>1</v>
      </c>
      <c r="AP71" s="487">
        <f t="shared" ca="1" si="46"/>
        <v>1</v>
      </c>
      <c r="AQ71" s="387">
        <f t="shared" ca="1" si="46"/>
        <v>2</v>
      </c>
      <c r="AR71" s="387">
        <f t="shared" ca="1" si="46"/>
        <v>0</v>
      </c>
      <c r="AS71" s="487">
        <f t="shared" ca="1" si="46"/>
        <v>1</v>
      </c>
      <c r="AT71" s="487">
        <f t="shared" ca="1" si="46"/>
        <v>1</v>
      </c>
      <c r="AU71" s="487">
        <f t="shared" ca="1" si="46"/>
        <v>1</v>
      </c>
      <c r="AV71" s="488">
        <f t="shared" ca="1" si="46"/>
        <v>1906914</v>
      </c>
    </row>
  </sheetData>
  <sheetProtection algorithmName="SHA-512" hashValue="f4xGHEakEuNHhLcJFOuXPcZFbqvbpm84wpss9i8cdbyLczTSahfFk/LF6IVebiXtLkpMk5u5KSca8YarI01Diw==" saltValue="Bxb5eJ+E22rA69u9FC/i+w==" spinCount="100000" sheet="1" scenarios="1" formatColumns="0" formatRows="0"/>
  <mergeCells count="48">
    <mergeCell ref="B71:C71"/>
    <mergeCell ref="F3:G3"/>
    <mergeCell ref="AQ29:AQ30"/>
    <mergeCell ref="AR29:AR30"/>
    <mergeCell ref="AS29:AS30"/>
    <mergeCell ref="AE29:AE30"/>
    <mergeCell ref="AF29:AF30"/>
    <mergeCell ref="AG29:AG30"/>
    <mergeCell ref="AH29:AH30"/>
    <mergeCell ref="AI29:AI30"/>
    <mergeCell ref="AJ29:AJ30"/>
    <mergeCell ref="Y29:Y30"/>
    <mergeCell ref="Z29:Z30"/>
    <mergeCell ref="AA29:AA30"/>
    <mergeCell ref="AB29:AB30"/>
    <mergeCell ref="AC29:AC30"/>
    <mergeCell ref="AT29:AT30"/>
    <mergeCell ref="AU29:AU30"/>
    <mergeCell ref="AV29:AV30"/>
    <mergeCell ref="AK29:AK30"/>
    <mergeCell ref="AL29:AL30"/>
    <mergeCell ref="AM29:AM30"/>
    <mergeCell ref="AN29:AN30"/>
    <mergeCell ref="AO29:AO30"/>
    <mergeCell ref="AP29:AP30"/>
    <mergeCell ref="AD29:AD30"/>
    <mergeCell ref="S29:S30"/>
    <mergeCell ref="T29:T30"/>
    <mergeCell ref="U29:U30"/>
    <mergeCell ref="V29:V30"/>
    <mergeCell ref="W29:W30"/>
    <mergeCell ref="X29:X30"/>
    <mergeCell ref="B29:B30"/>
    <mergeCell ref="C29:C30"/>
    <mergeCell ref="D29:D30"/>
    <mergeCell ref="E29:E30"/>
    <mergeCell ref="R29:R30"/>
    <mergeCell ref="G29:G30"/>
    <mergeCell ref="H29:H30"/>
    <mergeCell ref="I29:I30"/>
    <mergeCell ref="J29:J30"/>
    <mergeCell ref="K29:K30"/>
    <mergeCell ref="L29:L30"/>
    <mergeCell ref="M29:M30"/>
    <mergeCell ref="N29:N30"/>
    <mergeCell ref="O29:O30"/>
    <mergeCell ref="P29:P30"/>
    <mergeCell ref="Q29:Q30"/>
  </mergeCells>
  <conditionalFormatting sqref="B31:E70 G31:AV70">
    <cfRule type="expression" dxfId="1010" priority="3" stopIfTrue="1">
      <formula>AND($C31="",B31&lt;&gt;"")</formula>
    </cfRule>
    <cfRule type="expression" dxfId="1009" priority="4">
      <formula>$C31=""</formula>
    </cfRule>
    <cfRule type="expression" dxfId="1008" priority="5">
      <formula>B$30&lt;&gt;""</formula>
    </cfRule>
  </conditionalFormatting>
  <dataValidations count="1">
    <dataValidation errorStyle="warning" allowBlank="1" showInputMessage="1" showErrorMessage="1" errorTitle="נתון לא חוקי" error="יש להזין 0 או 1" sqref="F31:F70" xr:uid="{C6D626FE-027A-4974-9B6C-B10A8D3A57AC}"/>
  </dataValidations>
  <printOptions horizontalCentered="1"/>
  <pageMargins left="0.51181102362204722" right="0.51181102362204722" top="0.74803149606299213" bottom="0.74803149606299213" header="0.31496062992125984" footer="0.31496062992125984"/>
  <pageSetup paperSize="9" scale="78"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95" operator="containsText" id="{C94A71E8-96A4-4A53-AA8A-A01B68BB8066}">
            <xm:f>NOT(ISERROR(SEARCH($AZ$1,B31)))</xm:f>
            <xm:f>$AZ$1</xm:f>
            <x14:dxf>
              <fill>
                <patternFill>
                  <bgColor rgb="FFFF0000"/>
                </patternFill>
              </fill>
            </x14:dxf>
          </x14:cfRule>
          <xm:sqref>B31:E70 G31:AV70</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4">
    <tabColor theme="1"/>
    <pageSetUpPr fitToPage="1"/>
  </sheetPr>
  <dimension ref="A1:H46"/>
  <sheetViews>
    <sheetView rightToLeft="1" view="pageBreakPreview" zoomScaleNormal="100" workbookViewId="0">
      <selection activeCell="C5" sqref="C5:C44"/>
    </sheetView>
  </sheetViews>
  <sheetFormatPr defaultRowHeight="12.75" x14ac:dyDescent="0.2"/>
  <cols>
    <col min="1" max="1" width="8" style="221" customWidth="1"/>
    <col min="2" max="2" width="30.7109375" style="221" bestFit="1" customWidth="1"/>
    <col min="3" max="3" width="15.7109375" style="221" customWidth="1"/>
    <col min="4" max="4" width="18.28515625" style="221" bestFit="1" customWidth="1"/>
    <col min="5" max="5" width="15.7109375" style="221" customWidth="1"/>
    <col min="6" max="6" width="11.140625" style="221" bestFit="1" customWidth="1"/>
    <col min="7" max="7" width="16.28515625" style="221" customWidth="1"/>
    <col min="8" max="8" width="2.42578125" style="221" hidden="1" customWidth="1"/>
    <col min="9" max="255" width="9.140625" style="221"/>
    <col min="256" max="256" width="8" style="221" customWidth="1"/>
    <col min="257" max="257" width="24.5703125" style="221" customWidth="1"/>
    <col min="258" max="258" width="15.28515625" style="221" customWidth="1"/>
    <col min="259" max="261" width="15.7109375" style="221" customWidth="1"/>
    <col min="262" max="262" width="11.140625" style="221" bestFit="1" customWidth="1"/>
    <col min="263" max="263" width="16.28515625" style="221" customWidth="1"/>
    <col min="264" max="264" width="0" style="221" hidden="1" customWidth="1"/>
    <col min="265" max="511" width="9.140625" style="221"/>
    <col min="512" max="512" width="8" style="221" customWidth="1"/>
    <col min="513" max="513" width="24.5703125" style="221" customWidth="1"/>
    <col min="514" max="514" width="15.28515625" style="221" customWidth="1"/>
    <col min="515" max="517" width="15.7109375" style="221" customWidth="1"/>
    <col min="518" max="518" width="11.140625" style="221" bestFit="1" customWidth="1"/>
    <col min="519" max="519" width="16.28515625" style="221" customWidth="1"/>
    <col min="520" max="520" width="0" style="221" hidden="1" customWidth="1"/>
    <col min="521" max="767" width="9.140625" style="221"/>
    <col min="768" max="768" width="8" style="221" customWidth="1"/>
    <col min="769" max="769" width="24.5703125" style="221" customWidth="1"/>
    <col min="770" max="770" width="15.28515625" style="221" customWidth="1"/>
    <col min="771" max="773" width="15.7109375" style="221" customWidth="1"/>
    <col min="774" max="774" width="11.140625" style="221" bestFit="1" customWidth="1"/>
    <col min="775" max="775" width="16.28515625" style="221" customWidth="1"/>
    <col min="776" max="776" width="0" style="221" hidden="1" customWidth="1"/>
    <col min="777" max="1023" width="9.140625" style="221"/>
    <col min="1024" max="1024" width="8" style="221" customWidth="1"/>
    <col min="1025" max="1025" width="24.5703125" style="221" customWidth="1"/>
    <col min="1026" max="1026" width="15.28515625" style="221" customWidth="1"/>
    <col min="1027" max="1029" width="15.7109375" style="221" customWidth="1"/>
    <col min="1030" max="1030" width="11.140625" style="221" bestFit="1" customWidth="1"/>
    <col min="1031" max="1031" width="16.28515625" style="221" customWidth="1"/>
    <col min="1032" max="1032" width="0" style="221" hidden="1" customWidth="1"/>
    <col min="1033" max="1279" width="9.140625" style="221"/>
    <col min="1280" max="1280" width="8" style="221" customWidth="1"/>
    <col min="1281" max="1281" width="24.5703125" style="221" customWidth="1"/>
    <col min="1282" max="1282" width="15.28515625" style="221" customWidth="1"/>
    <col min="1283" max="1285" width="15.7109375" style="221" customWidth="1"/>
    <col min="1286" max="1286" width="11.140625" style="221" bestFit="1" customWidth="1"/>
    <col min="1287" max="1287" width="16.28515625" style="221" customWidth="1"/>
    <col min="1288" max="1288" width="0" style="221" hidden="1" customWidth="1"/>
    <col min="1289" max="1535" width="9.140625" style="221"/>
    <col min="1536" max="1536" width="8" style="221" customWidth="1"/>
    <col min="1537" max="1537" width="24.5703125" style="221" customWidth="1"/>
    <col min="1538" max="1538" width="15.28515625" style="221" customWidth="1"/>
    <col min="1539" max="1541" width="15.7109375" style="221" customWidth="1"/>
    <col min="1542" max="1542" width="11.140625" style="221" bestFit="1" customWidth="1"/>
    <col min="1543" max="1543" width="16.28515625" style="221" customWidth="1"/>
    <col min="1544" max="1544" width="0" style="221" hidden="1" customWidth="1"/>
    <col min="1545" max="1791" width="9.140625" style="221"/>
    <col min="1792" max="1792" width="8" style="221" customWidth="1"/>
    <col min="1793" max="1793" width="24.5703125" style="221" customWidth="1"/>
    <col min="1794" max="1794" width="15.28515625" style="221" customWidth="1"/>
    <col min="1795" max="1797" width="15.7109375" style="221" customWidth="1"/>
    <col min="1798" max="1798" width="11.140625" style="221" bestFit="1" customWidth="1"/>
    <col min="1799" max="1799" width="16.28515625" style="221" customWidth="1"/>
    <col min="1800" max="1800" width="0" style="221" hidden="1" customWidth="1"/>
    <col min="1801" max="2047" width="9.140625" style="221"/>
    <col min="2048" max="2048" width="8" style="221" customWidth="1"/>
    <col min="2049" max="2049" width="24.5703125" style="221" customWidth="1"/>
    <col min="2050" max="2050" width="15.28515625" style="221" customWidth="1"/>
    <col min="2051" max="2053" width="15.7109375" style="221" customWidth="1"/>
    <col min="2054" max="2054" width="11.140625" style="221" bestFit="1" customWidth="1"/>
    <col min="2055" max="2055" width="16.28515625" style="221" customWidth="1"/>
    <col min="2056" max="2056" width="0" style="221" hidden="1" customWidth="1"/>
    <col min="2057" max="2303" width="9.140625" style="221"/>
    <col min="2304" max="2304" width="8" style="221" customWidth="1"/>
    <col min="2305" max="2305" width="24.5703125" style="221" customWidth="1"/>
    <col min="2306" max="2306" width="15.28515625" style="221" customWidth="1"/>
    <col min="2307" max="2309" width="15.7109375" style="221" customWidth="1"/>
    <col min="2310" max="2310" width="11.140625" style="221" bestFit="1" customWidth="1"/>
    <col min="2311" max="2311" width="16.28515625" style="221" customWidth="1"/>
    <col min="2312" max="2312" width="0" style="221" hidden="1" customWidth="1"/>
    <col min="2313" max="2559" width="9.140625" style="221"/>
    <col min="2560" max="2560" width="8" style="221" customWidth="1"/>
    <col min="2561" max="2561" width="24.5703125" style="221" customWidth="1"/>
    <col min="2562" max="2562" width="15.28515625" style="221" customWidth="1"/>
    <col min="2563" max="2565" width="15.7109375" style="221" customWidth="1"/>
    <col min="2566" max="2566" width="11.140625" style="221" bestFit="1" customWidth="1"/>
    <col min="2567" max="2567" width="16.28515625" style="221" customWidth="1"/>
    <col min="2568" max="2568" width="0" style="221" hidden="1" customWidth="1"/>
    <col min="2569" max="2815" width="9.140625" style="221"/>
    <col min="2816" max="2816" width="8" style="221" customWidth="1"/>
    <col min="2817" max="2817" width="24.5703125" style="221" customWidth="1"/>
    <col min="2818" max="2818" width="15.28515625" style="221" customWidth="1"/>
    <col min="2819" max="2821" width="15.7109375" style="221" customWidth="1"/>
    <col min="2822" max="2822" width="11.140625" style="221" bestFit="1" customWidth="1"/>
    <col min="2823" max="2823" width="16.28515625" style="221" customWidth="1"/>
    <col min="2824" max="2824" width="0" style="221" hidden="1" customWidth="1"/>
    <col min="2825" max="3071" width="9.140625" style="221"/>
    <col min="3072" max="3072" width="8" style="221" customWidth="1"/>
    <col min="3073" max="3073" width="24.5703125" style="221" customWidth="1"/>
    <col min="3074" max="3074" width="15.28515625" style="221" customWidth="1"/>
    <col min="3075" max="3077" width="15.7109375" style="221" customWidth="1"/>
    <col min="3078" max="3078" width="11.140625" style="221" bestFit="1" customWidth="1"/>
    <col min="3079" max="3079" width="16.28515625" style="221" customWidth="1"/>
    <col min="3080" max="3080" width="0" style="221" hidden="1" customWidth="1"/>
    <col min="3081" max="3327" width="9.140625" style="221"/>
    <col min="3328" max="3328" width="8" style="221" customWidth="1"/>
    <col min="3329" max="3329" width="24.5703125" style="221" customWidth="1"/>
    <col min="3330" max="3330" width="15.28515625" style="221" customWidth="1"/>
    <col min="3331" max="3333" width="15.7109375" style="221" customWidth="1"/>
    <col min="3334" max="3334" width="11.140625" style="221" bestFit="1" customWidth="1"/>
    <col min="3335" max="3335" width="16.28515625" style="221" customWidth="1"/>
    <col min="3336" max="3336" width="0" style="221" hidden="1" customWidth="1"/>
    <col min="3337" max="3583" width="9.140625" style="221"/>
    <col min="3584" max="3584" width="8" style="221" customWidth="1"/>
    <col min="3585" max="3585" width="24.5703125" style="221" customWidth="1"/>
    <col min="3586" max="3586" width="15.28515625" style="221" customWidth="1"/>
    <col min="3587" max="3589" width="15.7109375" style="221" customWidth="1"/>
    <col min="3590" max="3590" width="11.140625" style="221" bestFit="1" customWidth="1"/>
    <col min="3591" max="3591" width="16.28515625" style="221" customWidth="1"/>
    <col min="3592" max="3592" width="0" style="221" hidden="1" customWidth="1"/>
    <col min="3593" max="3839" width="9.140625" style="221"/>
    <col min="3840" max="3840" width="8" style="221" customWidth="1"/>
    <col min="3841" max="3841" width="24.5703125" style="221" customWidth="1"/>
    <col min="3842" max="3842" width="15.28515625" style="221" customWidth="1"/>
    <col min="3843" max="3845" width="15.7109375" style="221" customWidth="1"/>
    <col min="3846" max="3846" width="11.140625" style="221" bestFit="1" customWidth="1"/>
    <col min="3847" max="3847" width="16.28515625" style="221" customWidth="1"/>
    <col min="3848" max="3848" width="0" style="221" hidden="1" customWidth="1"/>
    <col min="3849" max="4095" width="9.140625" style="221"/>
    <col min="4096" max="4096" width="8" style="221" customWidth="1"/>
    <col min="4097" max="4097" width="24.5703125" style="221" customWidth="1"/>
    <col min="4098" max="4098" width="15.28515625" style="221" customWidth="1"/>
    <col min="4099" max="4101" width="15.7109375" style="221" customWidth="1"/>
    <col min="4102" max="4102" width="11.140625" style="221" bestFit="1" customWidth="1"/>
    <col min="4103" max="4103" width="16.28515625" style="221" customWidth="1"/>
    <col min="4104" max="4104" width="0" style="221" hidden="1" customWidth="1"/>
    <col min="4105" max="4351" width="9.140625" style="221"/>
    <col min="4352" max="4352" width="8" style="221" customWidth="1"/>
    <col min="4353" max="4353" width="24.5703125" style="221" customWidth="1"/>
    <col min="4354" max="4354" width="15.28515625" style="221" customWidth="1"/>
    <col min="4355" max="4357" width="15.7109375" style="221" customWidth="1"/>
    <col min="4358" max="4358" width="11.140625" style="221" bestFit="1" customWidth="1"/>
    <col min="4359" max="4359" width="16.28515625" style="221" customWidth="1"/>
    <col min="4360" max="4360" width="0" style="221" hidden="1" customWidth="1"/>
    <col min="4361" max="4607" width="9.140625" style="221"/>
    <col min="4608" max="4608" width="8" style="221" customWidth="1"/>
    <col min="4609" max="4609" width="24.5703125" style="221" customWidth="1"/>
    <col min="4610" max="4610" width="15.28515625" style="221" customWidth="1"/>
    <col min="4611" max="4613" width="15.7109375" style="221" customWidth="1"/>
    <col min="4614" max="4614" width="11.140625" style="221" bestFit="1" customWidth="1"/>
    <col min="4615" max="4615" width="16.28515625" style="221" customWidth="1"/>
    <col min="4616" max="4616" width="0" style="221" hidden="1" customWidth="1"/>
    <col min="4617" max="4863" width="9.140625" style="221"/>
    <col min="4864" max="4864" width="8" style="221" customWidth="1"/>
    <col min="4865" max="4865" width="24.5703125" style="221" customWidth="1"/>
    <col min="4866" max="4866" width="15.28515625" style="221" customWidth="1"/>
    <col min="4867" max="4869" width="15.7109375" style="221" customWidth="1"/>
    <col min="4870" max="4870" width="11.140625" style="221" bestFit="1" customWidth="1"/>
    <col min="4871" max="4871" width="16.28515625" style="221" customWidth="1"/>
    <col min="4872" max="4872" width="0" style="221" hidden="1" customWidth="1"/>
    <col min="4873" max="5119" width="9.140625" style="221"/>
    <col min="5120" max="5120" width="8" style="221" customWidth="1"/>
    <col min="5121" max="5121" width="24.5703125" style="221" customWidth="1"/>
    <col min="5122" max="5122" width="15.28515625" style="221" customWidth="1"/>
    <col min="5123" max="5125" width="15.7109375" style="221" customWidth="1"/>
    <col min="5126" max="5126" width="11.140625" style="221" bestFit="1" customWidth="1"/>
    <col min="5127" max="5127" width="16.28515625" style="221" customWidth="1"/>
    <col min="5128" max="5128" width="0" style="221" hidden="1" customWidth="1"/>
    <col min="5129" max="5375" width="9.140625" style="221"/>
    <col min="5376" max="5376" width="8" style="221" customWidth="1"/>
    <col min="5377" max="5377" width="24.5703125" style="221" customWidth="1"/>
    <col min="5378" max="5378" width="15.28515625" style="221" customWidth="1"/>
    <col min="5379" max="5381" width="15.7109375" style="221" customWidth="1"/>
    <col min="5382" max="5382" width="11.140625" style="221" bestFit="1" customWidth="1"/>
    <col min="5383" max="5383" width="16.28515625" style="221" customWidth="1"/>
    <col min="5384" max="5384" width="0" style="221" hidden="1" customWidth="1"/>
    <col min="5385" max="5631" width="9.140625" style="221"/>
    <col min="5632" max="5632" width="8" style="221" customWidth="1"/>
    <col min="5633" max="5633" width="24.5703125" style="221" customWidth="1"/>
    <col min="5634" max="5634" width="15.28515625" style="221" customWidth="1"/>
    <col min="5635" max="5637" width="15.7109375" style="221" customWidth="1"/>
    <col min="5638" max="5638" width="11.140625" style="221" bestFit="1" customWidth="1"/>
    <col min="5639" max="5639" width="16.28515625" style="221" customWidth="1"/>
    <col min="5640" max="5640" width="0" style="221" hidden="1" customWidth="1"/>
    <col min="5641" max="5887" width="9.140625" style="221"/>
    <col min="5888" max="5888" width="8" style="221" customWidth="1"/>
    <col min="5889" max="5889" width="24.5703125" style="221" customWidth="1"/>
    <col min="5890" max="5890" width="15.28515625" style="221" customWidth="1"/>
    <col min="5891" max="5893" width="15.7109375" style="221" customWidth="1"/>
    <col min="5894" max="5894" width="11.140625" style="221" bestFit="1" customWidth="1"/>
    <col min="5895" max="5895" width="16.28515625" style="221" customWidth="1"/>
    <col min="5896" max="5896" width="0" style="221" hidden="1" customWidth="1"/>
    <col min="5897" max="6143" width="9.140625" style="221"/>
    <col min="6144" max="6144" width="8" style="221" customWidth="1"/>
    <col min="6145" max="6145" width="24.5703125" style="221" customWidth="1"/>
    <col min="6146" max="6146" width="15.28515625" style="221" customWidth="1"/>
    <col min="6147" max="6149" width="15.7109375" style="221" customWidth="1"/>
    <col min="6150" max="6150" width="11.140625" style="221" bestFit="1" customWidth="1"/>
    <col min="6151" max="6151" width="16.28515625" style="221" customWidth="1"/>
    <col min="6152" max="6152" width="0" style="221" hidden="1" customWidth="1"/>
    <col min="6153" max="6399" width="9.140625" style="221"/>
    <col min="6400" max="6400" width="8" style="221" customWidth="1"/>
    <col min="6401" max="6401" width="24.5703125" style="221" customWidth="1"/>
    <col min="6402" max="6402" width="15.28515625" style="221" customWidth="1"/>
    <col min="6403" max="6405" width="15.7109375" style="221" customWidth="1"/>
    <col min="6406" max="6406" width="11.140625" style="221" bestFit="1" customWidth="1"/>
    <col min="6407" max="6407" width="16.28515625" style="221" customWidth="1"/>
    <col min="6408" max="6408" width="0" style="221" hidden="1" customWidth="1"/>
    <col min="6409" max="6655" width="9.140625" style="221"/>
    <col min="6656" max="6656" width="8" style="221" customWidth="1"/>
    <col min="6657" max="6657" width="24.5703125" style="221" customWidth="1"/>
    <col min="6658" max="6658" width="15.28515625" style="221" customWidth="1"/>
    <col min="6659" max="6661" width="15.7109375" style="221" customWidth="1"/>
    <col min="6662" max="6662" width="11.140625" style="221" bestFit="1" customWidth="1"/>
    <col min="6663" max="6663" width="16.28515625" style="221" customWidth="1"/>
    <col min="6664" max="6664" width="0" style="221" hidden="1" customWidth="1"/>
    <col min="6665" max="6911" width="9.140625" style="221"/>
    <col min="6912" max="6912" width="8" style="221" customWidth="1"/>
    <col min="6913" max="6913" width="24.5703125" style="221" customWidth="1"/>
    <col min="6914" max="6914" width="15.28515625" style="221" customWidth="1"/>
    <col min="6915" max="6917" width="15.7109375" style="221" customWidth="1"/>
    <col min="6918" max="6918" width="11.140625" style="221" bestFit="1" customWidth="1"/>
    <col min="6919" max="6919" width="16.28515625" style="221" customWidth="1"/>
    <col min="6920" max="6920" width="0" style="221" hidden="1" customWidth="1"/>
    <col min="6921" max="7167" width="9.140625" style="221"/>
    <col min="7168" max="7168" width="8" style="221" customWidth="1"/>
    <col min="7169" max="7169" width="24.5703125" style="221" customWidth="1"/>
    <col min="7170" max="7170" width="15.28515625" style="221" customWidth="1"/>
    <col min="7171" max="7173" width="15.7109375" style="221" customWidth="1"/>
    <col min="7174" max="7174" width="11.140625" style="221" bestFit="1" customWidth="1"/>
    <col min="7175" max="7175" width="16.28515625" style="221" customWidth="1"/>
    <col min="7176" max="7176" width="0" style="221" hidden="1" customWidth="1"/>
    <col min="7177" max="7423" width="9.140625" style="221"/>
    <col min="7424" max="7424" width="8" style="221" customWidth="1"/>
    <col min="7425" max="7425" width="24.5703125" style="221" customWidth="1"/>
    <col min="7426" max="7426" width="15.28515625" style="221" customWidth="1"/>
    <col min="7427" max="7429" width="15.7109375" style="221" customWidth="1"/>
    <col min="7430" max="7430" width="11.140625" style="221" bestFit="1" customWidth="1"/>
    <col min="7431" max="7431" width="16.28515625" style="221" customWidth="1"/>
    <col min="7432" max="7432" width="0" style="221" hidden="1" customWidth="1"/>
    <col min="7433" max="7679" width="9.140625" style="221"/>
    <col min="7680" max="7680" width="8" style="221" customWidth="1"/>
    <col min="7681" max="7681" width="24.5703125" style="221" customWidth="1"/>
    <col min="7682" max="7682" width="15.28515625" style="221" customWidth="1"/>
    <col min="7683" max="7685" width="15.7109375" style="221" customWidth="1"/>
    <col min="7686" max="7686" width="11.140625" style="221" bestFit="1" customWidth="1"/>
    <col min="7687" max="7687" width="16.28515625" style="221" customWidth="1"/>
    <col min="7688" max="7688" width="0" style="221" hidden="1" customWidth="1"/>
    <col min="7689" max="7935" width="9.140625" style="221"/>
    <col min="7936" max="7936" width="8" style="221" customWidth="1"/>
    <col min="7937" max="7937" width="24.5703125" style="221" customWidth="1"/>
    <col min="7938" max="7938" width="15.28515625" style="221" customWidth="1"/>
    <col min="7939" max="7941" width="15.7109375" style="221" customWidth="1"/>
    <col min="7942" max="7942" width="11.140625" style="221" bestFit="1" customWidth="1"/>
    <col min="7943" max="7943" width="16.28515625" style="221" customWidth="1"/>
    <col min="7944" max="7944" width="0" style="221" hidden="1" customWidth="1"/>
    <col min="7945" max="8191" width="9.140625" style="221"/>
    <col min="8192" max="8192" width="8" style="221" customWidth="1"/>
    <col min="8193" max="8193" width="24.5703125" style="221" customWidth="1"/>
    <col min="8194" max="8194" width="15.28515625" style="221" customWidth="1"/>
    <col min="8195" max="8197" width="15.7109375" style="221" customWidth="1"/>
    <col min="8198" max="8198" width="11.140625" style="221" bestFit="1" customWidth="1"/>
    <col min="8199" max="8199" width="16.28515625" style="221" customWidth="1"/>
    <col min="8200" max="8200" width="0" style="221" hidden="1" customWidth="1"/>
    <col min="8201" max="8447" width="9.140625" style="221"/>
    <col min="8448" max="8448" width="8" style="221" customWidth="1"/>
    <col min="8449" max="8449" width="24.5703125" style="221" customWidth="1"/>
    <col min="8450" max="8450" width="15.28515625" style="221" customWidth="1"/>
    <col min="8451" max="8453" width="15.7109375" style="221" customWidth="1"/>
    <col min="8454" max="8454" width="11.140625" style="221" bestFit="1" customWidth="1"/>
    <col min="8455" max="8455" width="16.28515625" style="221" customWidth="1"/>
    <col min="8456" max="8456" width="0" style="221" hidden="1" customWidth="1"/>
    <col min="8457" max="8703" width="9.140625" style="221"/>
    <col min="8704" max="8704" width="8" style="221" customWidth="1"/>
    <col min="8705" max="8705" width="24.5703125" style="221" customWidth="1"/>
    <col min="8706" max="8706" width="15.28515625" style="221" customWidth="1"/>
    <col min="8707" max="8709" width="15.7109375" style="221" customWidth="1"/>
    <col min="8710" max="8710" width="11.140625" style="221" bestFit="1" customWidth="1"/>
    <col min="8711" max="8711" width="16.28515625" style="221" customWidth="1"/>
    <col min="8712" max="8712" width="0" style="221" hidden="1" customWidth="1"/>
    <col min="8713" max="8959" width="9.140625" style="221"/>
    <col min="8960" max="8960" width="8" style="221" customWidth="1"/>
    <col min="8961" max="8961" width="24.5703125" style="221" customWidth="1"/>
    <col min="8962" max="8962" width="15.28515625" style="221" customWidth="1"/>
    <col min="8963" max="8965" width="15.7109375" style="221" customWidth="1"/>
    <col min="8966" max="8966" width="11.140625" style="221" bestFit="1" customWidth="1"/>
    <col min="8967" max="8967" width="16.28515625" style="221" customWidth="1"/>
    <col min="8968" max="8968" width="0" style="221" hidden="1" customWidth="1"/>
    <col min="8969" max="9215" width="9.140625" style="221"/>
    <col min="9216" max="9216" width="8" style="221" customWidth="1"/>
    <col min="9217" max="9217" width="24.5703125" style="221" customWidth="1"/>
    <col min="9218" max="9218" width="15.28515625" style="221" customWidth="1"/>
    <col min="9219" max="9221" width="15.7109375" style="221" customWidth="1"/>
    <col min="9222" max="9222" width="11.140625" style="221" bestFit="1" customWidth="1"/>
    <col min="9223" max="9223" width="16.28515625" style="221" customWidth="1"/>
    <col min="9224" max="9224" width="0" style="221" hidden="1" customWidth="1"/>
    <col min="9225" max="9471" width="9.140625" style="221"/>
    <col min="9472" max="9472" width="8" style="221" customWidth="1"/>
    <col min="9473" max="9473" width="24.5703125" style="221" customWidth="1"/>
    <col min="9474" max="9474" width="15.28515625" style="221" customWidth="1"/>
    <col min="9475" max="9477" width="15.7109375" style="221" customWidth="1"/>
    <col min="9478" max="9478" width="11.140625" style="221" bestFit="1" customWidth="1"/>
    <col min="9479" max="9479" width="16.28515625" style="221" customWidth="1"/>
    <col min="9480" max="9480" width="0" style="221" hidden="1" customWidth="1"/>
    <col min="9481" max="9727" width="9.140625" style="221"/>
    <col min="9728" max="9728" width="8" style="221" customWidth="1"/>
    <col min="9729" max="9729" width="24.5703125" style="221" customWidth="1"/>
    <col min="9730" max="9730" width="15.28515625" style="221" customWidth="1"/>
    <col min="9731" max="9733" width="15.7109375" style="221" customWidth="1"/>
    <col min="9734" max="9734" width="11.140625" style="221" bestFit="1" customWidth="1"/>
    <col min="9735" max="9735" width="16.28515625" style="221" customWidth="1"/>
    <col min="9736" max="9736" width="0" style="221" hidden="1" customWidth="1"/>
    <col min="9737" max="9983" width="9.140625" style="221"/>
    <col min="9984" max="9984" width="8" style="221" customWidth="1"/>
    <col min="9985" max="9985" width="24.5703125" style="221" customWidth="1"/>
    <col min="9986" max="9986" width="15.28515625" style="221" customWidth="1"/>
    <col min="9987" max="9989" width="15.7109375" style="221" customWidth="1"/>
    <col min="9990" max="9990" width="11.140625" style="221" bestFit="1" customWidth="1"/>
    <col min="9991" max="9991" width="16.28515625" style="221" customWidth="1"/>
    <col min="9992" max="9992" width="0" style="221" hidden="1" customWidth="1"/>
    <col min="9993" max="10239" width="9.140625" style="221"/>
    <col min="10240" max="10240" width="8" style="221" customWidth="1"/>
    <col min="10241" max="10241" width="24.5703125" style="221" customWidth="1"/>
    <col min="10242" max="10242" width="15.28515625" style="221" customWidth="1"/>
    <col min="10243" max="10245" width="15.7109375" style="221" customWidth="1"/>
    <col min="10246" max="10246" width="11.140625" style="221" bestFit="1" customWidth="1"/>
    <col min="10247" max="10247" width="16.28515625" style="221" customWidth="1"/>
    <col min="10248" max="10248" width="0" style="221" hidden="1" customWidth="1"/>
    <col min="10249" max="10495" width="9.140625" style="221"/>
    <col min="10496" max="10496" width="8" style="221" customWidth="1"/>
    <col min="10497" max="10497" width="24.5703125" style="221" customWidth="1"/>
    <col min="10498" max="10498" width="15.28515625" style="221" customWidth="1"/>
    <col min="10499" max="10501" width="15.7109375" style="221" customWidth="1"/>
    <col min="10502" max="10502" width="11.140625" style="221" bestFit="1" customWidth="1"/>
    <col min="10503" max="10503" width="16.28515625" style="221" customWidth="1"/>
    <col min="10504" max="10504" width="0" style="221" hidden="1" customWidth="1"/>
    <col min="10505" max="10751" width="9.140625" style="221"/>
    <col min="10752" max="10752" width="8" style="221" customWidth="1"/>
    <col min="10753" max="10753" width="24.5703125" style="221" customWidth="1"/>
    <col min="10754" max="10754" width="15.28515625" style="221" customWidth="1"/>
    <col min="10755" max="10757" width="15.7109375" style="221" customWidth="1"/>
    <col min="10758" max="10758" width="11.140625" style="221" bestFit="1" customWidth="1"/>
    <col min="10759" max="10759" width="16.28515625" style="221" customWidth="1"/>
    <col min="10760" max="10760" width="0" style="221" hidden="1" customWidth="1"/>
    <col min="10761" max="11007" width="9.140625" style="221"/>
    <col min="11008" max="11008" width="8" style="221" customWidth="1"/>
    <col min="11009" max="11009" width="24.5703125" style="221" customWidth="1"/>
    <col min="11010" max="11010" width="15.28515625" style="221" customWidth="1"/>
    <col min="11011" max="11013" width="15.7109375" style="221" customWidth="1"/>
    <col min="11014" max="11014" width="11.140625" style="221" bestFit="1" customWidth="1"/>
    <col min="11015" max="11015" width="16.28515625" style="221" customWidth="1"/>
    <col min="11016" max="11016" width="0" style="221" hidden="1" customWidth="1"/>
    <col min="11017" max="11263" width="9.140625" style="221"/>
    <col min="11264" max="11264" width="8" style="221" customWidth="1"/>
    <col min="11265" max="11265" width="24.5703125" style="221" customWidth="1"/>
    <col min="11266" max="11266" width="15.28515625" style="221" customWidth="1"/>
    <col min="11267" max="11269" width="15.7109375" style="221" customWidth="1"/>
    <col min="11270" max="11270" width="11.140625" style="221" bestFit="1" customWidth="1"/>
    <col min="11271" max="11271" width="16.28515625" style="221" customWidth="1"/>
    <col min="11272" max="11272" width="0" style="221" hidden="1" customWidth="1"/>
    <col min="11273" max="11519" width="9.140625" style="221"/>
    <col min="11520" max="11520" width="8" style="221" customWidth="1"/>
    <col min="11521" max="11521" width="24.5703125" style="221" customWidth="1"/>
    <col min="11522" max="11522" width="15.28515625" style="221" customWidth="1"/>
    <col min="11523" max="11525" width="15.7109375" style="221" customWidth="1"/>
    <col min="11526" max="11526" width="11.140625" style="221" bestFit="1" customWidth="1"/>
    <col min="11527" max="11527" width="16.28515625" style="221" customWidth="1"/>
    <col min="11528" max="11528" width="0" style="221" hidden="1" customWidth="1"/>
    <col min="11529" max="11775" width="9.140625" style="221"/>
    <col min="11776" max="11776" width="8" style="221" customWidth="1"/>
    <col min="11777" max="11777" width="24.5703125" style="221" customWidth="1"/>
    <col min="11778" max="11778" width="15.28515625" style="221" customWidth="1"/>
    <col min="11779" max="11781" width="15.7109375" style="221" customWidth="1"/>
    <col min="11782" max="11782" width="11.140625" style="221" bestFit="1" customWidth="1"/>
    <col min="11783" max="11783" width="16.28515625" style="221" customWidth="1"/>
    <col min="11784" max="11784" width="0" style="221" hidden="1" customWidth="1"/>
    <col min="11785" max="12031" width="9.140625" style="221"/>
    <col min="12032" max="12032" width="8" style="221" customWidth="1"/>
    <col min="12033" max="12033" width="24.5703125" style="221" customWidth="1"/>
    <col min="12034" max="12034" width="15.28515625" style="221" customWidth="1"/>
    <col min="12035" max="12037" width="15.7109375" style="221" customWidth="1"/>
    <col min="12038" max="12038" width="11.140625" style="221" bestFit="1" customWidth="1"/>
    <col min="12039" max="12039" width="16.28515625" style="221" customWidth="1"/>
    <col min="12040" max="12040" width="0" style="221" hidden="1" customWidth="1"/>
    <col min="12041" max="12287" width="9.140625" style="221"/>
    <col min="12288" max="12288" width="8" style="221" customWidth="1"/>
    <col min="12289" max="12289" width="24.5703125" style="221" customWidth="1"/>
    <col min="12290" max="12290" width="15.28515625" style="221" customWidth="1"/>
    <col min="12291" max="12293" width="15.7109375" style="221" customWidth="1"/>
    <col min="12294" max="12294" width="11.140625" style="221" bestFit="1" customWidth="1"/>
    <col min="12295" max="12295" width="16.28515625" style="221" customWidth="1"/>
    <col min="12296" max="12296" width="0" style="221" hidden="1" customWidth="1"/>
    <col min="12297" max="12543" width="9.140625" style="221"/>
    <col min="12544" max="12544" width="8" style="221" customWidth="1"/>
    <col min="12545" max="12545" width="24.5703125" style="221" customWidth="1"/>
    <col min="12546" max="12546" width="15.28515625" style="221" customWidth="1"/>
    <col min="12547" max="12549" width="15.7109375" style="221" customWidth="1"/>
    <col min="12550" max="12550" width="11.140625" style="221" bestFit="1" customWidth="1"/>
    <col min="12551" max="12551" width="16.28515625" style="221" customWidth="1"/>
    <col min="12552" max="12552" width="0" style="221" hidden="1" customWidth="1"/>
    <col min="12553" max="12799" width="9.140625" style="221"/>
    <col min="12800" max="12800" width="8" style="221" customWidth="1"/>
    <col min="12801" max="12801" width="24.5703125" style="221" customWidth="1"/>
    <col min="12802" max="12802" width="15.28515625" style="221" customWidth="1"/>
    <col min="12803" max="12805" width="15.7109375" style="221" customWidth="1"/>
    <col min="12806" max="12806" width="11.140625" style="221" bestFit="1" customWidth="1"/>
    <col min="12807" max="12807" width="16.28515625" style="221" customWidth="1"/>
    <col min="12808" max="12808" width="0" style="221" hidden="1" customWidth="1"/>
    <col min="12809" max="13055" width="9.140625" style="221"/>
    <col min="13056" max="13056" width="8" style="221" customWidth="1"/>
    <col min="13057" max="13057" width="24.5703125" style="221" customWidth="1"/>
    <col min="13058" max="13058" width="15.28515625" style="221" customWidth="1"/>
    <col min="13059" max="13061" width="15.7109375" style="221" customWidth="1"/>
    <col min="13062" max="13062" width="11.140625" style="221" bestFit="1" customWidth="1"/>
    <col min="13063" max="13063" width="16.28515625" style="221" customWidth="1"/>
    <col min="13064" max="13064" width="0" style="221" hidden="1" customWidth="1"/>
    <col min="13065" max="13311" width="9.140625" style="221"/>
    <col min="13312" max="13312" width="8" style="221" customWidth="1"/>
    <col min="13313" max="13313" width="24.5703125" style="221" customWidth="1"/>
    <col min="13314" max="13314" width="15.28515625" style="221" customWidth="1"/>
    <col min="13315" max="13317" width="15.7109375" style="221" customWidth="1"/>
    <col min="13318" max="13318" width="11.140625" style="221" bestFit="1" customWidth="1"/>
    <col min="13319" max="13319" width="16.28515625" style="221" customWidth="1"/>
    <col min="13320" max="13320" width="0" style="221" hidden="1" customWidth="1"/>
    <col min="13321" max="13567" width="9.140625" style="221"/>
    <col min="13568" max="13568" width="8" style="221" customWidth="1"/>
    <col min="13569" max="13569" width="24.5703125" style="221" customWidth="1"/>
    <col min="13570" max="13570" width="15.28515625" style="221" customWidth="1"/>
    <col min="13571" max="13573" width="15.7109375" style="221" customWidth="1"/>
    <col min="13574" max="13574" width="11.140625" style="221" bestFit="1" customWidth="1"/>
    <col min="13575" max="13575" width="16.28515625" style="221" customWidth="1"/>
    <col min="13576" max="13576" width="0" style="221" hidden="1" customWidth="1"/>
    <col min="13577" max="13823" width="9.140625" style="221"/>
    <col min="13824" max="13824" width="8" style="221" customWidth="1"/>
    <col min="13825" max="13825" width="24.5703125" style="221" customWidth="1"/>
    <col min="13826" max="13826" width="15.28515625" style="221" customWidth="1"/>
    <col min="13827" max="13829" width="15.7109375" style="221" customWidth="1"/>
    <col min="13830" max="13830" width="11.140625" style="221" bestFit="1" customWidth="1"/>
    <col min="13831" max="13831" width="16.28515625" style="221" customWidth="1"/>
    <col min="13832" max="13832" width="0" style="221" hidden="1" customWidth="1"/>
    <col min="13833" max="14079" width="9.140625" style="221"/>
    <col min="14080" max="14080" width="8" style="221" customWidth="1"/>
    <col min="14081" max="14081" width="24.5703125" style="221" customWidth="1"/>
    <col min="14082" max="14082" width="15.28515625" style="221" customWidth="1"/>
    <col min="14083" max="14085" width="15.7109375" style="221" customWidth="1"/>
    <col min="14086" max="14086" width="11.140625" style="221" bestFit="1" customWidth="1"/>
    <col min="14087" max="14087" width="16.28515625" style="221" customWidth="1"/>
    <col min="14088" max="14088" width="0" style="221" hidden="1" customWidth="1"/>
    <col min="14089" max="14335" width="9.140625" style="221"/>
    <col min="14336" max="14336" width="8" style="221" customWidth="1"/>
    <col min="14337" max="14337" width="24.5703125" style="221" customWidth="1"/>
    <col min="14338" max="14338" width="15.28515625" style="221" customWidth="1"/>
    <col min="14339" max="14341" width="15.7109375" style="221" customWidth="1"/>
    <col min="14342" max="14342" width="11.140625" style="221" bestFit="1" customWidth="1"/>
    <col min="14343" max="14343" width="16.28515625" style="221" customWidth="1"/>
    <col min="14344" max="14344" width="0" style="221" hidden="1" customWidth="1"/>
    <col min="14345" max="14591" width="9.140625" style="221"/>
    <col min="14592" max="14592" width="8" style="221" customWidth="1"/>
    <col min="14593" max="14593" width="24.5703125" style="221" customWidth="1"/>
    <col min="14594" max="14594" width="15.28515625" style="221" customWidth="1"/>
    <col min="14595" max="14597" width="15.7109375" style="221" customWidth="1"/>
    <col min="14598" max="14598" width="11.140625" style="221" bestFit="1" customWidth="1"/>
    <col min="14599" max="14599" width="16.28515625" style="221" customWidth="1"/>
    <col min="14600" max="14600" width="0" style="221" hidden="1" customWidth="1"/>
    <col min="14601" max="14847" width="9.140625" style="221"/>
    <col min="14848" max="14848" width="8" style="221" customWidth="1"/>
    <col min="14849" max="14849" width="24.5703125" style="221" customWidth="1"/>
    <col min="14850" max="14850" width="15.28515625" style="221" customWidth="1"/>
    <col min="14851" max="14853" width="15.7109375" style="221" customWidth="1"/>
    <col min="14854" max="14854" width="11.140625" style="221" bestFit="1" customWidth="1"/>
    <col min="14855" max="14855" width="16.28515625" style="221" customWidth="1"/>
    <col min="14856" max="14856" width="0" style="221" hidden="1" customWidth="1"/>
    <col min="14857" max="15103" width="9.140625" style="221"/>
    <col min="15104" max="15104" width="8" style="221" customWidth="1"/>
    <col min="15105" max="15105" width="24.5703125" style="221" customWidth="1"/>
    <col min="15106" max="15106" width="15.28515625" style="221" customWidth="1"/>
    <col min="15107" max="15109" width="15.7109375" style="221" customWidth="1"/>
    <col min="15110" max="15110" width="11.140625" style="221" bestFit="1" customWidth="1"/>
    <col min="15111" max="15111" width="16.28515625" style="221" customWidth="1"/>
    <col min="15112" max="15112" width="0" style="221" hidden="1" customWidth="1"/>
    <col min="15113" max="15359" width="9.140625" style="221"/>
    <col min="15360" max="15360" width="8" style="221" customWidth="1"/>
    <col min="15361" max="15361" width="24.5703125" style="221" customWidth="1"/>
    <col min="15362" max="15362" width="15.28515625" style="221" customWidth="1"/>
    <col min="15363" max="15365" width="15.7109375" style="221" customWidth="1"/>
    <col min="15366" max="15366" width="11.140625" style="221" bestFit="1" customWidth="1"/>
    <col min="15367" max="15367" width="16.28515625" style="221" customWidth="1"/>
    <col min="15368" max="15368" width="0" style="221" hidden="1" customWidth="1"/>
    <col min="15369" max="15615" width="9.140625" style="221"/>
    <col min="15616" max="15616" width="8" style="221" customWidth="1"/>
    <col min="15617" max="15617" width="24.5703125" style="221" customWidth="1"/>
    <col min="15618" max="15618" width="15.28515625" style="221" customWidth="1"/>
    <col min="15619" max="15621" width="15.7109375" style="221" customWidth="1"/>
    <col min="15622" max="15622" width="11.140625" style="221" bestFit="1" customWidth="1"/>
    <col min="15623" max="15623" width="16.28515625" style="221" customWidth="1"/>
    <col min="15624" max="15624" width="0" style="221" hidden="1" customWidth="1"/>
    <col min="15625" max="15871" width="9.140625" style="221"/>
    <col min="15872" max="15872" width="8" style="221" customWidth="1"/>
    <col min="15873" max="15873" width="24.5703125" style="221" customWidth="1"/>
    <col min="15874" max="15874" width="15.28515625" style="221" customWidth="1"/>
    <col min="15875" max="15877" width="15.7109375" style="221" customWidth="1"/>
    <col min="15878" max="15878" width="11.140625" style="221" bestFit="1" customWidth="1"/>
    <col min="15879" max="15879" width="16.28515625" style="221" customWidth="1"/>
    <col min="15880" max="15880" width="0" style="221" hidden="1" customWidth="1"/>
    <col min="15881" max="16127" width="9.140625" style="221"/>
    <col min="16128" max="16128" width="8" style="221" customWidth="1"/>
    <col min="16129" max="16129" width="24.5703125" style="221" customWidth="1"/>
    <col min="16130" max="16130" width="15.28515625" style="221" customWidth="1"/>
    <col min="16131" max="16133" width="15.7109375" style="221" customWidth="1"/>
    <col min="16134" max="16134" width="11.140625" style="221" bestFit="1" customWidth="1"/>
    <col min="16135" max="16135" width="16.28515625" style="221" customWidth="1"/>
    <col min="16136" max="16136" width="0" style="221" hidden="1" customWidth="1"/>
    <col min="16137" max="16384" width="9.140625" style="221"/>
  </cols>
  <sheetData>
    <row r="1" spans="1:8" ht="17.25" thickTop="1" thickBot="1" x14ac:dyDescent="0.25">
      <c r="D1" s="19" t="e">
        <f>#REF!</f>
        <v>#REF!</v>
      </c>
      <c r="E1" s="10" t="e">
        <f>#REF!</f>
        <v>#REF!</v>
      </c>
    </row>
    <row r="2" spans="1:8" ht="18.75" thickBot="1" x14ac:dyDescent="0.25">
      <c r="D2" s="20" t="e">
        <f>#REF!</f>
        <v>#REF!</v>
      </c>
      <c r="E2" s="9" t="e">
        <f>#REF!</f>
        <v>#REF!</v>
      </c>
    </row>
    <row r="3" spans="1:8" ht="17.25" thickTop="1" thickBot="1" x14ac:dyDescent="0.3">
      <c r="A3" s="651" t="s">
        <v>202</v>
      </c>
      <c r="B3" s="652"/>
      <c r="C3" s="652"/>
      <c r="D3" s="652"/>
      <c r="E3" s="652"/>
      <c r="F3" s="652"/>
      <c r="G3" s="653"/>
    </row>
    <row r="4" spans="1:8" ht="52.5" customHeight="1" thickTop="1" thickBot="1" x14ac:dyDescent="0.25">
      <c r="A4" s="222" t="e">
        <f>#REF!</f>
        <v>#REF!</v>
      </c>
      <c r="B4" s="222" t="e">
        <f>#REF!</f>
        <v>#REF!</v>
      </c>
      <c r="C4" s="223" t="s">
        <v>203</v>
      </c>
      <c r="D4" s="223" t="s">
        <v>204</v>
      </c>
      <c r="E4" s="223" t="s">
        <v>205</v>
      </c>
      <c r="F4" s="223" t="s">
        <v>122</v>
      </c>
      <c r="G4" s="224" t="s">
        <v>206</v>
      </c>
    </row>
    <row r="5" spans="1:8" x14ac:dyDescent="0.2">
      <c r="A5" s="225" t="e">
        <f>#REF!</f>
        <v>#REF!</v>
      </c>
      <c r="B5" s="226" t="str">
        <f ca="1">הגנה!C31</f>
        <v>1280 מעלות (אמנים יוצרים)</v>
      </c>
      <c r="C5" s="227">
        <f ca="1">הגנה!AV31</f>
        <v>64807.313373369259</v>
      </c>
      <c r="D5" s="228"/>
      <c r="E5" s="229">
        <f ca="1">IF(OR(C5="",H5&lt;&gt;1),"",C5-פרמטרים!$B$33*D5)</f>
        <v>64807.313373369259</v>
      </c>
      <c r="F5" s="230">
        <f t="shared" ref="F5:F44" ca="1" si="0">IF(OR(E5="",ISERR(E5/$E$45)),"",E5/$E$45)</f>
        <v>3.3985441070425441E-2</v>
      </c>
      <c r="G5" s="231" t="e">
        <f ca="1">IF(OR(F5="",C5=""),"",F5*$E$2)</f>
        <v>#REF!</v>
      </c>
      <c r="H5" s="221">
        <f t="shared" ref="H5:H32" ca="1" si="1">IF(OR(B5="",ISERR(D5/3)),0,IF(D5&lt;0,0,1))</f>
        <v>1</v>
      </c>
    </row>
    <row r="6" spans="1:8" x14ac:dyDescent="0.2">
      <c r="A6" s="225" t="e">
        <f>#REF!</f>
        <v>#REF!</v>
      </c>
      <c r="B6" s="226" t="str">
        <f ca="1">הגנה!C32</f>
        <v>יהי (אורי צבי גרינברג)</v>
      </c>
      <c r="C6" s="227">
        <f ca="1">הגנה!AV32</f>
        <v>55355.217173753183</v>
      </c>
      <c r="D6" s="228"/>
      <c r="E6" s="229">
        <f ca="1">IF(OR(C6="",H6&lt;&gt;1),"",C6-פרמטרים!$B$33*D6)</f>
        <v>55355.217173753183</v>
      </c>
      <c r="F6" s="232">
        <f t="shared" ca="1" si="0"/>
        <v>2.9028690949750843E-2</v>
      </c>
      <c r="G6" s="231" t="e">
        <f t="shared" ref="G6:G44" ca="1" si="2">IF(OR(F6="",C6=""),"",F6*$E$2)</f>
        <v>#REF!</v>
      </c>
      <c r="H6" s="221">
        <f t="shared" ca="1" si="1"/>
        <v>1</v>
      </c>
    </row>
    <row r="7" spans="1:8" x14ac:dyDescent="0.2">
      <c r="A7" s="225" t="e">
        <f>#REF!</f>
        <v>#REF!</v>
      </c>
      <c r="B7" s="226" t="str">
        <f ca="1">הגנה!C33</f>
        <v/>
      </c>
      <c r="C7" s="227" t="str">
        <f ca="1">הגנה!AV33</f>
        <v/>
      </c>
      <c r="D7" s="228"/>
      <c r="E7" s="229" t="str">
        <f ca="1">IF(OR(C7="",H7&lt;&gt;1),"",C7-פרמטרים!$B$33*D7)</f>
        <v/>
      </c>
      <c r="F7" s="232" t="str">
        <f t="shared" ca="1" si="0"/>
        <v/>
      </c>
      <c r="G7" s="231" t="str">
        <f t="shared" ca="1" si="2"/>
        <v/>
      </c>
      <c r="H7" s="221">
        <f t="shared" ca="1" si="1"/>
        <v>0</v>
      </c>
    </row>
    <row r="8" spans="1:8" x14ac:dyDescent="0.2">
      <c r="A8" s="225" t="e">
        <f>#REF!</f>
        <v>#REF!</v>
      </c>
      <c r="B8" s="226" t="str">
        <f ca="1">הגנה!C34</f>
        <v>דעות (ברית נאמני תורה ועבודה)</v>
      </c>
      <c r="C8" s="227">
        <f ca="1">הגנה!AV34</f>
        <v>91499.134866263776</v>
      </c>
      <c r="D8" s="228"/>
      <c r="E8" s="229">
        <f ca="1">IF(OR(C8="",H8&lt;&gt;1),"",C8-פרמטרים!$B$33*D8)</f>
        <v>91499.134866263776</v>
      </c>
      <c r="F8" s="232">
        <f t="shared" ca="1" si="0"/>
        <v>4.7982832401599534E-2</v>
      </c>
      <c r="G8" s="231" t="e">
        <f t="shared" ca="1" si="2"/>
        <v>#REF!</v>
      </c>
      <c r="H8" s="221">
        <f t="shared" ca="1" si="1"/>
        <v>1</v>
      </c>
    </row>
    <row r="9" spans="1:8" x14ac:dyDescent="0.2">
      <c r="A9" s="225" t="e">
        <f>#REF!</f>
        <v>#REF!</v>
      </c>
      <c r="B9" s="226" t="str">
        <f ca="1">הגנה!C35</f>
        <v>הליקון</v>
      </c>
      <c r="C9" s="227">
        <f ca="1">הגנה!AV35</f>
        <v>113175.55892787795</v>
      </c>
      <c r="D9" s="228"/>
      <c r="E9" s="229">
        <f ca="1">IF(OR(C9="",H9&lt;&gt;1),"",C9-פרמטרים!$B$33*D9)</f>
        <v>113175.55892787795</v>
      </c>
      <c r="F9" s="232">
        <f t="shared" ca="1" si="0"/>
        <v>5.9350111713416524E-2</v>
      </c>
      <c r="G9" s="231" t="e">
        <f t="shared" ca="1" si="2"/>
        <v>#REF!</v>
      </c>
      <c r="H9" s="221">
        <f t="shared" ca="1" si="1"/>
        <v>1</v>
      </c>
    </row>
    <row r="10" spans="1:8" x14ac:dyDescent="0.2">
      <c r="A10" s="225" t="e">
        <f>#REF!</f>
        <v>#REF!</v>
      </c>
      <c r="B10" s="226" t="str">
        <f ca="1">הגנה!C36</f>
        <v/>
      </c>
      <c r="C10" s="227" t="str">
        <f ca="1">הגנה!AV36</f>
        <v/>
      </c>
      <c r="D10" s="228"/>
      <c r="E10" s="229" t="str">
        <f ca="1">IF(OR(C10="",H10&lt;&gt;1),"",C10-פרמטרים!$B$33*D10)</f>
        <v/>
      </c>
      <c r="F10" s="232" t="str">
        <f t="shared" ca="1" si="0"/>
        <v/>
      </c>
      <c r="G10" s="231" t="str">
        <f t="shared" ca="1" si="2"/>
        <v/>
      </c>
      <c r="H10" s="221">
        <f t="shared" ca="1" si="1"/>
        <v>0</v>
      </c>
    </row>
    <row r="11" spans="1:8" x14ac:dyDescent="0.2">
      <c r="A11" s="225" t="e">
        <f>#REF!</f>
        <v>#REF!</v>
      </c>
      <c r="B11" s="226" t="str">
        <f ca="1">הגנה!C37</f>
        <v/>
      </c>
      <c r="C11" s="227" t="str">
        <f ca="1">הגנה!AV37</f>
        <v/>
      </c>
      <c r="D11" s="228"/>
      <c r="E11" s="229" t="str">
        <f ca="1">IF(OR(C11="",H11&lt;&gt;1),"",C11-פרמטרים!$B$33*D11)</f>
        <v/>
      </c>
      <c r="F11" s="232" t="str">
        <f t="shared" ca="1" si="0"/>
        <v/>
      </c>
      <c r="G11" s="231" t="str">
        <f t="shared" ca="1" si="2"/>
        <v/>
      </c>
      <c r="H11" s="221">
        <f t="shared" ca="1" si="1"/>
        <v>0</v>
      </c>
    </row>
    <row r="12" spans="1:8" x14ac:dyDescent="0.2">
      <c r="A12" s="225" t="e">
        <f>#REF!</f>
        <v>#REF!</v>
      </c>
      <c r="B12" s="226" t="str">
        <f ca="1">הגנה!C38</f>
        <v>ננפואטיקה (עמותת מקום לשירה)</v>
      </c>
      <c r="C12" s="227">
        <f ca="1">הגנה!AV38</f>
        <v>139098.76418992996</v>
      </c>
      <c r="D12" s="228"/>
      <c r="E12" s="229">
        <f ca="1">IF(OR(C12="",H12&lt;&gt;1),"",C12-פרמטרים!$B$33*D12)</f>
        <v>139098.76418992996</v>
      </c>
      <c r="F12" s="232">
        <f t="shared" ca="1" si="0"/>
        <v>7.2944434929907681E-2</v>
      </c>
      <c r="G12" s="231" t="e">
        <f t="shared" ca="1" si="2"/>
        <v>#REF!</v>
      </c>
      <c r="H12" s="221">
        <f t="shared" ca="1" si="1"/>
        <v>1</v>
      </c>
    </row>
    <row r="13" spans="1:8" x14ac:dyDescent="0.2">
      <c r="A13" s="225" t="e">
        <f>#REF!</f>
        <v>#REF!</v>
      </c>
      <c r="B13" s="226" t="str">
        <f ca="1">הגנה!C39</f>
        <v>מאזניים (אגודת הסופרים העבריים)</v>
      </c>
      <c r="C13" s="227">
        <f ca="1">הגנה!AV39</f>
        <v>155722.97893580562</v>
      </c>
      <c r="D13" s="228"/>
      <c r="E13" s="229">
        <f ca="1">IF(OR(C13="",H13&lt;&gt;1),"",C13-פרמטרים!$B$33*D13)</f>
        <v>155722.97893580562</v>
      </c>
      <c r="F13" s="232">
        <f t="shared" ca="1" si="0"/>
        <v>8.1662297794135238E-2</v>
      </c>
      <c r="G13" s="231" t="e">
        <f t="shared" ca="1" si="2"/>
        <v>#REF!</v>
      </c>
      <c r="H13" s="221">
        <f t="shared" ca="1" si="1"/>
        <v>1</v>
      </c>
    </row>
    <row r="14" spans="1:8" x14ac:dyDescent="0.2">
      <c r="A14" s="225" t="e">
        <f>#REF!</f>
        <v>#REF!</v>
      </c>
      <c r="B14" s="226" t="str">
        <f ca="1">הגנה!C40</f>
        <v>משיב הרוח</v>
      </c>
      <c r="C14" s="227">
        <f ca="1">הגנה!AV40</f>
        <v>145730.62764572585</v>
      </c>
      <c r="D14" s="228"/>
      <c r="E14" s="229">
        <f ca="1">IF(OR(C14="",H14&lt;&gt;1),"",C14-פרמטרים!$B$33*D14)</f>
        <v>145730.62764572585</v>
      </c>
      <c r="F14" s="232">
        <f t="shared" ca="1" si="0"/>
        <v>7.6422233853087163E-2</v>
      </c>
      <c r="G14" s="231" t="e">
        <f t="shared" ca="1" si="2"/>
        <v>#REF!</v>
      </c>
      <c r="H14" s="221">
        <f t="shared" ca="1" si="1"/>
        <v>1</v>
      </c>
    </row>
    <row r="15" spans="1:8" x14ac:dyDescent="0.2">
      <c r="A15" s="225" t="e">
        <f>#REF!</f>
        <v>#REF!</v>
      </c>
      <c r="B15" s="226" t="str">
        <f ca="1">הגנה!C41</f>
        <v>עמדה (עמותת מונטן)</v>
      </c>
      <c r="C15" s="227">
        <f ca="1">הגנה!AV41</f>
        <v>42701.143708109899</v>
      </c>
      <c r="D15" s="228"/>
      <c r="E15" s="229">
        <f ca="1">IF(OR(C15="",H15&lt;&gt;1),"",C15-פרמטרים!$B$33*D15)</f>
        <v>42701.143708109899</v>
      </c>
      <c r="F15" s="232">
        <f t="shared" ca="1" si="0"/>
        <v>2.2392799941743518E-2</v>
      </c>
      <c r="G15" s="231" t="e">
        <f t="shared" ca="1" si="2"/>
        <v>#REF!</v>
      </c>
      <c r="H15" s="221">
        <f t="shared" ca="1" si="1"/>
        <v>1</v>
      </c>
    </row>
    <row r="16" spans="1:8" x14ac:dyDescent="0.2">
      <c r="A16" s="225" t="e">
        <f>#REF!</f>
        <v>#REF!</v>
      </c>
      <c r="B16" s="226" t="str">
        <f ca="1">הגנה!C42</f>
        <v>עתון 77 (אגודת סופרים ואמנים)</v>
      </c>
      <c r="C16" s="227">
        <f ca="1">הגנה!AV42</f>
        <v>134185.85357604868</v>
      </c>
      <c r="D16" s="228"/>
      <c r="E16" s="229">
        <f ca="1">IF(OR(C16="",H16&lt;&gt;1),"",C16-פרמטרים!$B$33*D16)</f>
        <v>134185.85357604868</v>
      </c>
      <c r="F16" s="232">
        <f t="shared" ca="1" si="0"/>
        <v>7.0368067766060083E-2</v>
      </c>
      <c r="G16" s="231" t="e">
        <f t="shared" ca="1" si="2"/>
        <v>#REF!</v>
      </c>
      <c r="H16" s="221">
        <f t="shared" ca="1" si="1"/>
        <v>1</v>
      </c>
    </row>
    <row r="17" spans="1:8" x14ac:dyDescent="0.2">
      <c r="A17" s="225" t="e">
        <f>#REF!</f>
        <v>#REF!</v>
      </c>
      <c r="B17" s="226" t="str">
        <f ca="1">הגנה!C43</f>
        <v/>
      </c>
      <c r="C17" s="227" t="str">
        <f ca="1">הגנה!AV43</f>
        <v/>
      </c>
      <c r="D17" s="228"/>
      <c r="E17" s="229" t="str">
        <f ca="1">IF(OR(C17="",H17&lt;&gt;1),"",C17-פרמטרים!$B$33*D17)</f>
        <v/>
      </c>
      <c r="F17" s="232" t="str">
        <f t="shared" ca="1" si="0"/>
        <v/>
      </c>
      <c r="G17" s="231" t="str">
        <f t="shared" ca="1" si="2"/>
        <v/>
      </c>
      <c r="H17" s="221">
        <f t="shared" ca="1" si="1"/>
        <v>0</v>
      </c>
    </row>
    <row r="18" spans="1:8" x14ac:dyDescent="0.2">
      <c r="A18" s="225" t="e">
        <f>#REF!</f>
        <v>#REF!</v>
      </c>
      <c r="B18" s="226" t="str">
        <f ca="1">הגנה!C44</f>
        <v>פסיפס</v>
      </c>
      <c r="C18" s="227">
        <f ca="1">הגנה!AV44</f>
        <v>37776.471320784913</v>
      </c>
      <c r="D18" s="228"/>
      <c r="E18" s="229">
        <f ca="1">IF(OR(C18="",H18&lt;&gt;1),"",C18-פרמטרים!$B$33*D18)</f>
        <v>37776.471320784913</v>
      </c>
      <c r="F18" s="232">
        <f t="shared" ca="1" si="0"/>
        <v>1.9810264815710049E-2</v>
      </c>
      <c r="G18" s="231" t="e">
        <f t="shared" ca="1" si="2"/>
        <v>#REF!</v>
      </c>
      <c r="H18" s="221">
        <f t="shared" ca="1" si="1"/>
        <v>1</v>
      </c>
    </row>
    <row r="19" spans="1:8" x14ac:dyDescent="0.2">
      <c r="A19" s="225" t="e">
        <f>#REF!</f>
        <v>#REF!</v>
      </c>
      <c r="B19" s="226" t="str">
        <f ca="1">הגנה!C45</f>
        <v>קתרזיס ( עמותת מצרף)</v>
      </c>
      <c r="C19" s="227">
        <f ca="1">הגנה!AV45</f>
        <v>34861.084740139675</v>
      </c>
      <c r="D19" s="228"/>
      <c r="E19" s="229">
        <f ca="1">IF(OR(C19="",H19&lt;&gt;1),"",C19-פרמטרים!$B$33*D19)</f>
        <v>34861.084740139675</v>
      </c>
      <c r="F19" s="232">
        <f t="shared" ca="1" si="0"/>
        <v>1.8281414232702509E-2</v>
      </c>
      <c r="G19" s="231" t="e">
        <f t="shared" ca="1" si="2"/>
        <v>#REF!</v>
      </c>
      <c r="H19" s="221">
        <f t="shared" ca="1" si="1"/>
        <v>1</v>
      </c>
    </row>
    <row r="20" spans="1:8" x14ac:dyDescent="0.2">
      <c r="A20" s="225" t="e">
        <f>#REF!</f>
        <v>#REF!</v>
      </c>
      <c r="B20" s="226" t="str">
        <f ca="1">הגנה!C46</f>
        <v/>
      </c>
      <c r="C20" s="227" t="str">
        <f ca="1">הגנה!AV46</f>
        <v/>
      </c>
      <c r="D20" s="228"/>
      <c r="E20" s="229" t="str">
        <f ca="1">IF(OR(C20="",H20&lt;&gt;1),"",C20-פרמטרים!$B$33*D20)</f>
        <v/>
      </c>
      <c r="F20" s="232" t="str">
        <f t="shared" ca="1" si="0"/>
        <v/>
      </c>
      <c r="G20" s="231" t="str">
        <f t="shared" ca="1" si="2"/>
        <v/>
      </c>
      <c r="H20" s="221">
        <f t="shared" ca="1" si="1"/>
        <v>0</v>
      </c>
    </row>
    <row r="21" spans="1:8" x14ac:dyDescent="0.2">
      <c r="A21" s="225" t="e">
        <f>#REF!</f>
        <v>#REF!</v>
      </c>
      <c r="B21" s="226" t="str">
        <f ca="1">הגנה!C47</f>
        <v>הכיוון מזרח (עמותת אחותי)</v>
      </c>
      <c r="C21" s="227">
        <f ca="1">הגנה!AV47</f>
        <v>96276.484756328631</v>
      </c>
      <c r="D21" s="228"/>
      <c r="E21" s="229">
        <f ca="1">IF(OR(C21="",H21&lt;&gt;1),"",C21-פרמטרים!$B$33*D21)</f>
        <v>96276.484756328631</v>
      </c>
      <c r="F21" s="232">
        <f t="shared" ca="1" si="0"/>
        <v>5.0488110505417988E-2</v>
      </c>
      <c r="G21" s="231" t="e">
        <f t="shared" ca="1" si="2"/>
        <v>#REF!</v>
      </c>
      <c r="H21" s="221">
        <f t="shared" ca="1" si="1"/>
        <v>1</v>
      </c>
    </row>
    <row r="22" spans="1:8" x14ac:dyDescent="0.2">
      <c r="A22" s="225" t="e">
        <f>#REF!</f>
        <v>#REF!</v>
      </c>
      <c r="B22" s="226" t="str">
        <f ca="1">הגנה!C48</f>
        <v/>
      </c>
      <c r="C22" s="227" t="str">
        <f ca="1">הגנה!AV48</f>
        <v/>
      </c>
      <c r="D22" s="228"/>
      <c r="E22" s="229" t="str">
        <f ca="1">IF(OR(C22="",H22&lt;&gt;1),"",C22-פרמטרים!$B$33*D22)</f>
        <v/>
      </c>
      <c r="F22" s="232" t="str">
        <f t="shared" ca="1" si="0"/>
        <v/>
      </c>
      <c r="G22" s="231" t="str">
        <f t="shared" ca="1" si="2"/>
        <v/>
      </c>
      <c r="H22" s="221">
        <f t="shared" ca="1" si="1"/>
        <v>0</v>
      </c>
    </row>
    <row r="23" spans="1:8" x14ac:dyDescent="0.2">
      <c r="A23" s="225" t="e">
        <f>#REF!</f>
        <v>#REF!</v>
      </c>
      <c r="B23" s="226" t="str">
        <f ca="1">הגנה!C49</f>
        <v>הו</v>
      </c>
      <c r="C23" s="227">
        <f ca="1">הגנה!AV49</f>
        <v>98116.222107471942</v>
      </c>
      <c r="D23" s="228"/>
      <c r="E23" s="229">
        <f ca="1">IF(OR(C23="",H23&lt;&gt;1),"",C23-פרמטרים!$B$33*D23)</f>
        <v>98116.222107471942</v>
      </c>
      <c r="F23" s="232">
        <f t="shared" ca="1" si="0"/>
        <v>5.1452882567054381E-2</v>
      </c>
      <c r="G23" s="231" t="e">
        <f t="shared" ca="1" si="2"/>
        <v>#REF!</v>
      </c>
      <c r="H23" s="221">
        <f t="shared" ca="1" si="1"/>
        <v>1</v>
      </c>
    </row>
    <row r="24" spans="1:8" x14ac:dyDescent="0.2">
      <c r="A24" s="225" t="e">
        <f>#REF!</f>
        <v>#REF!</v>
      </c>
      <c r="B24" s="226" t="str">
        <f ca="1">הגנה!C50</f>
        <v>הבא להבא (עמותת מקום לשירה)</v>
      </c>
      <c r="C24" s="227">
        <f ca="1">הגנה!AV50</f>
        <v>74367.971001391998</v>
      </c>
      <c r="D24" s="228"/>
      <c r="E24" s="229">
        <f ca="1">IF(OR(C24="",H24&lt;&gt;1),"",C24-פרמטרים!$B$33*D24)</f>
        <v>74367.971001391998</v>
      </c>
      <c r="F24" s="232">
        <f t="shared" ca="1" si="0"/>
        <v>3.8999121618170506E-2</v>
      </c>
      <c r="G24" s="231" t="e">
        <f t="shared" ca="1" si="2"/>
        <v>#REF!</v>
      </c>
      <c r="H24" s="221">
        <f t="shared" ca="1" si="1"/>
        <v>1</v>
      </c>
    </row>
    <row r="25" spans="1:8" x14ac:dyDescent="0.2">
      <c r="A25" s="225" t="e">
        <f>#REF!</f>
        <v>#REF!</v>
      </c>
      <c r="B25" s="226" t="str">
        <f ca="1">הגנה!C51</f>
        <v>היסטוריה (החברה ההיסטורית הישרא</v>
      </c>
      <c r="C25" s="227">
        <f ca="1">הגנה!AV51</f>
        <v>50273.649827045519</v>
      </c>
      <c r="D25" s="228"/>
      <c r="E25" s="229">
        <f ca="1">IF(OR(C25="",H25&lt;&gt;1),"",C25-פרמטרים!$B$33*D25)</f>
        <v>50273.649827045519</v>
      </c>
      <c r="F25" s="232">
        <f t="shared" ca="1" si="0"/>
        <v>2.6363878930589172E-2</v>
      </c>
      <c r="G25" s="231" t="e">
        <f t="shared" ca="1" si="2"/>
        <v>#REF!</v>
      </c>
      <c r="H25" s="221">
        <f t="shared" ca="1" si="1"/>
        <v>1</v>
      </c>
    </row>
    <row r="26" spans="1:8" x14ac:dyDescent="0.2">
      <c r="A26" s="225" t="e">
        <f>#REF!</f>
        <v>#REF!</v>
      </c>
      <c r="B26" s="226" t="str">
        <f ca="1">הגנה!C52</f>
        <v>מחול עכשיו (תמונע)</v>
      </c>
      <c r="C26" s="227">
        <f ca="1">הגנה!AV52</f>
        <v>62458.940717235237</v>
      </c>
      <c r="D26" s="228"/>
      <c r="E26" s="229">
        <f ca="1">IF(OR(C26="",H26&lt;&gt;1),"",C26-פרמטרים!$B$33*D26)</f>
        <v>62458.940717235237</v>
      </c>
      <c r="F26" s="232">
        <f t="shared" ca="1" si="0"/>
        <v>3.2753936841008684E-2</v>
      </c>
      <c r="G26" s="231" t="e">
        <f t="shared" ca="1" si="2"/>
        <v>#REF!</v>
      </c>
      <c r="H26" s="221">
        <f t="shared" ca="1" si="1"/>
        <v>1</v>
      </c>
    </row>
    <row r="27" spans="1:8" x14ac:dyDescent="0.2">
      <c r="A27" s="225" t="e">
        <f>#REF!</f>
        <v>#REF!</v>
      </c>
      <c r="B27" s="226" t="str">
        <f ca="1">הגנה!C53</f>
        <v>קול אישה שירה (תואר)</v>
      </c>
      <c r="C27" s="227">
        <f ca="1">הגנה!AV53</f>
        <v>84897.582163103492</v>
      </c>
      <c r="D27" s="228"/>
      <c r="E27" s="229">
        <f ca="1">IF(OR(C27="",H27&lt;&gt;1),"",C27-פרמטרים!$B$33*D27)</f>
        <v>84897.582163103492</v>
      </c>
      <c r="F27" s="232">
        <f t="shared" ca="1" si="0"/>
        <v>4.4520928664377887E-2</v>
      </c>
      <c r="G27" s="231" t="e">
        <f t="shared" ca="1" si="2"/>
        <v>#REF!</v>
      </c>
      <c r="H27" s="221">
        <f t="shared" ca="1" si="1"/>
        <v>1</v>
      </c>
    </row>
    <row r="28" spans="1:8" x14ac:dyDescent="0.2">
      <c r="A28" s="225" t="e">
        <f>#REF!</f>
        <v>#REF!</v>
      </c>
      <c r="B28" s="226" t="str">
        <f ca="1">הגנה!C54</f>
        <v>האיגוד העולמי למדעי היהדות</v>
      </c>
      <c r="C28" s="227">
        <f ca="1">הגנה!AV54</f>
        <v>64534.213677178392</v>
      </c>
      <c r="D28" s="228"/>
      <c r="E28" s="229">
        <f ca="1">IF(OR(C28="",H28&lt;&gt;1),"",C28-פרמטרים!$B$33*D28)</f>
        <v>64534.213677178392</v>
      </c>
      <c r="F28" s="232">
        <f t="shared" ca="1" si="0"/>
        <v>3.384222554199004E-2</v>
      </c>
      <c r="G28" s="231" t="e">
        <f t="shared" ca="1" si="2"/>
        <v>#REF!</v>
      </c>
      <c r="H28" s="221">
        <f t="shared" ca="1" si="1"/>
        <v>1</v>
      </c>
    </row>
    <row r="29" spans="1:8" x14ac:dyDescent="0.2">
      <c r="A29" s="225" t="e">
        <f>#REF!</f>
        <v>#REF!</v>
      </c>
      <c r="B29" s="226" t="str">
        <f ca="1">הגנה!C55</f>
        <v/>
      </c>
      <c r="C29" s="227" t="str">
        <f ca="1">הגנה!AV55</f>
        <v/>
      </c>
      <c r="D29" s="228"/>
      <c r="E29" s="229" t="str">
        <f ca="1">IF(OR(C29="",H29&lt;&gt;1),"",C29-פרמטרים!$B$33*D29)</f>
        <v/>
      </c>
      <c r="F29" s="232" t="str">
        <f t="shared" ca="1" si="0"/>
        <v/>
      </c>
      <c r="G29" s="231" t="str">
        <f t="shared" ca="1" si="2"/>
        <v/>
      </c>
      <c r="H29" s="221">
        <f t="shared" ca="1" si="1"/>
        <v>0</v>
      </c>
    </row>
    <row r="30" spans="1:8" x14ac:dyDescent="0.2">
      <c r="A30" s="225" t="e">
        <f>#REF!</f>
        <v>#REF!</v>
      </c>
      <c r="B30" s="226" t="str">
        <f ca="1">הגנה!C56</f>
        <v/>
      </c>
      <c r="C30" s="227" t="str">
        <f ca="1">הגנה!AV56</f>
        <v/>
      </c>
      <c r="D30" s="228"/>
      <c r="E30" s="229" t="str">
        <f ca="1">IF(OR(C30="",H30&lt;&gt;1),"",C30-פרמטרים!$B$33*D30)</f>
        <v/>
      </c>
      <c r="F30" s="232" t="str">
        <f t="shared" ca="1" si="0"/>
        <v/>
      </c>
      <c r="G30" s="231" t="str">
        <f t="shared" ca="1" si="2"/>
        <v/>
      </c>
      <c r="H30" s="221">
        <f t="shared" ca="1" si="1"/>
        <v>0</v>
      </c>
    </row>
    <row r="31" spans="1:8" x14ac:dyDescent="0.2">
      <c r="A31" s="225" t="e">
        <f>#REF!</f>
        <v>#REF!</v>
      </c>
      <c r="B31" s="226" t="str">
        <f ca="1">הגנה!C57</f>
        <v/>
      </c>
      <c r="C31" s="227" t="str">
        <f ca="1">הגנה!AV57</f>
        <v/>
      </c>
      <c r="D31" s="228"/>
      <c r="E31" s="229" t="str">
        <f ca="1">IF(OR(C31="",H31&lt;&gt;1),"",C31-פרמטרים!$B$33*D31)</f>
        <v/>
      </c>
      <c r="F31" s="232" t="str">
        <f t="shared" ca="1" si="0"/>
        <v/>
      </c>
      <c r="G31" s="231" t="str">
        <f t="shared" ca="1" si="2"/>
        <v/>
      </c>
      <c r="H31" s="221">
        <f t="shared" ca="1" si="1"/>
        <v>0</v>
      </c>
    </row>
    <row r="32" spans="1:8" x14ac:dyDescent="0.2">
      <c r="A32" s="225" t="e">
        <f>#REF!</f>
        <v>#REF!</v>
      </c>
      <c r="B32" s="226" t="str">
        <f ca="1">הגנה!C58</f>
        <v/>
      </c>
      <c r="C32" s="227" t="str">
        <f ca="1">הגנה!AV58</f>
        <v/>
      </c>
      <c r="D32" s="228"/>
      <c r="E32" s="229" t="str">
        <f ca="1">IF(OR(C32="",H32&lt;&gt;1),"",C32-פרמטרים!$B$33*D32)</f>
        <v/>
      </c>
      <c r="F32" s="232" t="str">
        <f t="shared" ca="1" si="0"/>
        <v/>
      </c>
      <c r="G32" s="231" t="str">
        <f t="shared" ca="1" si="2"/>
        <v/>
      </c>
      <c r="H32" s="221">
        <f t="shared" ca="1" si="1"/>
        <v>0</v>
      </c>
    </row>
    <row r="33" spans="1:8" x14ac:dyDescent="0.2">
      <c r="A33" s="225" t="e">
        <f>#REF!</f>
        <v>#REF!</v>
      </c>
      <c r="B33" s="226" t="str">
        <f ca="1">הגנה!C59</f>
        <v>גופא (נתיב האומן )</v>
      </c>
      <c r="C33" s="227">
        <f ca="1">הגנה!AV59</f>
        <v>43871.672426647769</v>
      </c>
      <c r="D33" s="228"/>
      <c r="E33" s="229">
        <f ca="1">IF(OR(C33="",H33&lt;&gt;1),"",C33-פרמטרים!$B$33*D33)</f>
        <v>43871.672426647769</v>
      </c>
      <c r="F33" s="232">
        <f t="shared" ca="1" si="0"/>
        <v>2.3006633978589368E-2</v>
      </c>
      <c r="G33" s="231" t="e">
        <f t="shared" ca="1" si="2"/>
        <v>#REF!</v>
      </c>
      <c r="H33" s="221">
        <f t="shared" ref="H33:H44" ca="1" si="3">IF(OR(B33="",ISERR(D33/3)),0,IF(D33&lt;0,0,1))</f>
        <v>1</v>
      </c>
    </row>
    <row r="34" spans="1:8" x14ac:dyDescent="0.2">
      <c r="A34" s="225" t="e">
        <f>#REF!</f>
        <v>#REF!</v>
      </c>
      <c r="B34" s="226" t="str">
        <f ca="1">הגנה!C60</f>
        <v>ערב רב (בר קיימא)</v>
      </c>
      <c r="C34" s="227">
        <f ca="1">הגנה!AV60</f>
        <v>64550.097534793931</v>
      </c>
      <c r="D34" s="228"/>
      <c r="E34" s="229">
        <f ca="1">IF(OR(C34="",H34&lt;&gt;1),"",C34-פרמטרים!$B$33*D34)</f>
        <v>64550.097534793931</v>
      </c>
      <c r="F34" s="232">
        <f t="shared" ca="1" si="0"/>
        <v>3.3850555156023782E-2</v>
      </c>
      <c r="G34" s="231" t="e">
        <f t="shared" ca="1" si="2"/>
        <v>#REF!</v>
      </c>
      <c r="H34" s="221">
        <f t="shared" ca="1" si="3"/>
        <v>1</v>
      </c>
    </row>
    <row r="35" spans="1:8" x14ac:dyDescent="0.2">
      <c r="A35" s="225" t="e">
        <f>#REF!</f>
        <v>#REF!</v>
      </c>
      <c r="B35" s="226" t="str">
        <f ca="1">הגנה!C61</f>
        <v/>
      </c>
      <c r="C35" s="227" t="str">
        <f ca="1">הגנה!AV61</f>
        <v/>
      </c>
      <c r="D35" s="228"/>
      <c r="E35" s="229" t="str">
        <f ca="1">IF(OR(C35="",H35&lt;&gt;1),"",C35-פרמטרים!$B$33*D35)</f>
        <v/>
      </c>
      <c r="F35" s="232" t="str">
        <f t="shared" ca="1" si="0"/>
        <v/>
      </c>
      <c r="G35" s="231" t="str">
        <f t="shared" ca="1" si="2"/>
        <v/>
      </c>
      <c r="H35" s="221">
        <f t="shared" ca="1" si="3"/>
        <v>0</v>
      </c>
    </row>
    <row r="36" spans="1:8" x14ac:dyDescent="0.2">
      <c r="A36" s="225" t="e">
        <f>#REF!</f>
        <v>#REF!</v>
      </c>
      <c r="B36" s="226" t="str">
        <f ca="1">הגנה!C62</f>
        <v>מעלה</v>
      </c>
      <c r="C36" s="227">
        <f ca="1">הגנה!AV62</f>
        <v>117684.84023670986</v>
      </c>
      <c r="D36" s="228"/>
      <c r="E36" s="229">
        <f ca="1">IF(OR(C36="",H36&lt;&gt;1),"",C36-פרמטרים!$B$33*D36)</f>
        <v>117684.84023670986</v>
      </c>
      <c r="F36" s="232">
        <f t="shared" ca="1" si="0"/>
        <v>6.1714812643207752E-2</v>
      </c>
      <c r="G36" s="231" t="e">
        <f t="shared" ca="1" si="2"/>
        <v>#REF!</v>
      </c>
      <c r="H36" s="221">
        <f t="shared" ca="1" si="3"/>
        <v>1</v>
      </c>
    </row>
    <row r="37" spans="1:8" x14ac:dyDescent="0.2">
      <c r="A37" s="225" t="e">
        <f>#REF!</f>
        <v>#REF!</v>
      </c>
      <c r="B37" s="226" t="str">
        <f ca="1">הגנה!C63</f>
        <v/>
      </c>
      <c r="C37" s="227" t="str">
        <f ca="1">הגנה!AV63</f>
        <v/>
      </c>
      <c r="D37" s="228"/>
      <c r="E37" s="229" t="str">
        <f ca="1">IF(OR(C37="",H37&lt;&gt;1),"",C37-פרמטרים!$B$33*D37)</f>
        <v/>
      </c>
      <c r="F37" s="232" t="str">
        <f t="shared" ca="1" si="0"/>
        <v/>
      </c>
      <c r="G37" s="231" t="str">
        <f t="shared" ca="1" si="2"/>
        <v/>
      </c>
      <c r="H37" s="221">
        <f t="shared" ca="1" si="3"/>
        <v>0</v>
      </c>
    </row>
    <row r="38" spans="1:8" x14ac:dyDescent="0.2">
      <c r="A38" s="225" t="e">
        <f>#REF!</f>
        <v>#REF!</v>
      </c>
      <c r="B38" s="226" t="str">
        <f ca="1">הגנה!C64</f>
        <v>כתב עת ירושלמי</v>
      </c>
      <c r="C38" s="227">
        <f ca="1">הגנה!AV64</f>
        <v>59817.119980725656</v>
      </c>
      <c r="D38" s="228"/>
      <c r="E38" s="229">
        <f ca="1">IF(OR(C38="",H38&lt;&gt;1),"",C38-פרמטרים!$B$33*D38)</f>
        <v>59817.119980725656</v>
      </c>
      <c r="F38" s="232">
        <f t="shared" ca="1" si="0"/>
        <v>3.1368546237914061E-2</v>
      </c>
      <c r="G38" s="231" t="e">
        <f t="shared" ca="1" si="2"/>
        <v>#REF!</v>
      </c>
      <c r="H38" s="221">
        <f t="shared" ca="1" si="3"/>
        <v>1</v>
      </c>
    </row>
    <row r="39" spans="1:8" x14ac:dyDescent="0.2">
      <c r="A39" s="225" t="e">
        <f>#REF!</f>
        <v>#REF!</v>
      </c>
      <c r="B39" s="226" t="str">
        <f ca="1">הגנה!C65</f>
        <v/>
      </c>
      <c r="C39" s="227" t="str">
        <f ca="1">הגנה!AV65</f>
        <v/>
      </c>
      <c r="D39" s="228"/>
      <c r="E39" s="229" t="str">
        <f ca="1">IF(OR(C39="",H39&lt;&gt;1),"",C39-פרמטרים!$B$33*D39)</f>
        <v/>
      </c>
      <c r="F39" s="232" t="str">
        <f t="shared" ca="1" si="0"/>
        <v/>
      </c>
      <c r="G39" s="231" t="str">
        <f t="shared" ca="1" si="2"/>
        <v/>
      </c>
      <c r="H39" s="221">
        <f t="shared" ca="1" si="3"/>
        <v>0</v>
      </c>
    </row>
    <row r="40" spans="1:8" x14ac:dyDescent="0.2">
      <c r="A40" s="225" t="e">
        <f>#REF!</f>
        <v>#REF!</v>
      </c>
      <c r="B40" s="226" t="str">
        <f ca="1">הגנה!C66</f>
        <v>העמותה ליצירה פנטסטית- אוטופיה</v>
      </c>
      <c r="C40" s="227">
        <f ca="1">הגנה!AV66</f>
        <v>75151.057113558767</v>
      </c>
      <c r="D40" s="228"/>
      <c r="E40" s="229">
        <f ca="1">IF(OR(C40="",H40&lt;&gt;1),"",C40-פרמטרים!$B$33*D40)</f>
        <v>75151.057113558767</v>
      </c>
      <c r="F40" s="232">
        <f t="shared" ca="1" si="0"/>
        <v>3.9409777847117786E-2</v>
      </c>
      <c r="G40" s="231" t="e">
        <f t="shared" ca="1" si="2"/>
        <v>#REF!</v>
      </c>
      <c r="H40" s="221">
        <f t="shared" ca="1" si="3"/>
        <v>1</v>
      </c>
    </row>
    <row r="41" spans="1:8" x14ac:dyDescent="0.2">
      <c r="A41" s="225" t="e">
        <f>#REF!</f>
        <v>#REF!</v>
      </c>
      <c r="B41" s="226" t="str">
        <f ca="1">הגנה!C67</f>
        <v/>
      </c>
      <c r="C41" s="227" t="str">
        <f ca="1">הגנה!AV67</f>
        <v/>
      </c>
      <c r="D41" s="228"/>
      <c r="E41" s="229" t="str">
        <f ca="1">IF(OR(C41="",H41&lt;&gt;1),"",C41-פרמטרים!$B$33*D41)</f>
        <v/>
      </c>
      <c r="F41" s="232" t="str">
        <f t="shared" ca="1" si="0"/>
        <v/>
      </c>
      <c r="G41" s="231" t="str">
        <f t="shared" ca="1" si="2"/>
        <v/>
      </c>
      <c r="H41" s="221">
        <f t="shared" ca="1" si="3"/>
        <v>0</v>
      </c>
    </row>
    <row r="42" spans="1:8" x14ac:dyDescent="0.2">
      <c r="A42" s="225" t="e">
        <f>#REF!</f>
        <v>#REF!</v>
      </c>
      <c r="B42" s="226" t="str">
        <f ca="1">הגנה!C68</f>
        <v/>
      </c>
      <c r="C42" s="227" t="str">
        <f ca="1">הגנה!AV68</f>
        <v/>
      </c>
      <c r="D42" s="228"/>
      <c r="E42" s="229" t="str">
        <f ca="1">IF(OR(C42="",H42&lt;&gt;1),"",C42-פרמטרים!$B$33*D42)</f>
        <v/>
      </c>
      <c r="F42" s="232" t="str">
        <f t="shared" ca="1" si="0"/>
        <v/>
      </c>
      <c r="G42" s="231" t="str">
        <f t="shared" ca="1" si="2"/>
        <v/>
      </c>
      <c r="H42" s="221">
        <f t="shared" ca="1" si="3"/>
        <v>0</v>
      </c>
    </row>
    <row r="43" spans="1:8" x14ac:dyDescent="0.2">
      <c r="A43" s="225" t="e">
        <f>#REF!</f>
        <v>#REF!</v>
      </c>
      <c r="B43" s="226" t="str">
        <f ca="1">הגנה!C69</f>
        <v/>
      </c>
      <c r="C43" s="227" t="str">
        <f ca="1">הגנה!AV69</f>
        <v/>
      </c>
      <c r="D43" s="228"/>
      <c r="E43" s="229" t="str">
        <f ca="1">IF(OR(C43="",H43&lt;&gt;1),"",C43-פרמטרים!$B$33*D43)</f>
        <v/>
      </c>
      <c r="F43" s="232" t="str">
        <f t="shared" ca="1" si="0"/>
        <v/>
      </c>
      <c r="G43" s="231" t="str">
        <f t="shared" ca="1" si="2"/>
        <v/>
      </c>
      <c r="H43" s="221">
        <f t="shared" ca="1" si="3"/>
        <v>0</v>
      </c>
    </row>
    <row r="44" spans="1:8" ht="13.5" thickBot="1" x14ac:dyDescent="0.25">
      <c r="A44" s="225" t="e">
        <f>#REF!</f>
        <v>#REF!</v>
      </c>
      <c r="B44" s="226" t="str">
        <f ca="1">הגנה!C70</f>
        <v/>
      </c>
      <c r="C44" s="227" t="str">
        <f ca="1">הגנה!AV70</f>
        <v/>
      </c>
      <c r="D44" s="228"/>
      <c r="E44" s="229" t="str">
        <f ca="1">IF(OR(C44="",H44&lt;&gt;1),"",C44-פרמטרים!$B$33*D44)</f>
        <v/>
      </c>
      <c r="F44" s="232" t="str">
        <f t="shared" ca="1" si="0"/>
        <v/>
      </c>
      <c r="G44" s="231" t="str">
        <f t="shared" ca="1" si="2"/>
        <v/>
      </c>
      <c r="H44" s="221">
        <f t="shared" ca="1" si="3"/>
        <v>0</v>
      </c>
    </row>
    <row r="45" spans="1:8" ht="14.25" thickTop="1" thickBot="1" x14ac:dyDescent="0.25">
      <c r="A45" s="654" t="s">
        <v>54</v>
      </c>
      <c r="B45" s="655"/>
      <c r="C45" s="233">
        <f ca="1">SUM(C5:C44)</f>
        <v>1906914</v>
      </c>
      <c r="D45" s="233">
        <f>SUM(D5:D44)</f>
        <v>0</v>
      </c>
      <c r="E45" s="233">
        <f ca="1">SUM(E5:E44)</f>
        <v>1906914</v>
      </c>
      <c r="F45" s="234">
        <f ca="1">SUM(F5:F44)</f>
        <v>1</v>
      </c>
      <c r="G45" s="233" t="e">
        <f ca="1">SUM(G5:G44)</f>
        <v>#REF!</v>
      </c>
    </row>
    <row r="46" spans="1:8" ht="13.5" thickTop="1" x14ac:dyDescent="0.2"/>
  </sheetData>
  <sheetProtection algorithmName="SHA-512" hashValue="sDBw9HxwBHvrgG1vkMdeHlxVy0RUe3dk5ciDfamUMUNcdong6HhMJzcmoCpdfk9AIYczqPAUErvO3sqo4iDzqQ==" saltValue="9yI3WG9kAu1OUjV2y/pHiw==" spinCount="100000" sheet="1" scenarios="1" formatColumns="0" formatRows="0"/>
  <mergeCells count="2">
    <mergeCell ref="A3:G3"/>
    <mergeCell ref="A45:B45"/>
  </mergeCells>
  <conditionalFormatting sqref="D5:D44">
    <cfRule type="expression" dxfId="1006" priority="13" stopIfTrue="1">
      <formula>H5=0</formula>
    </cfRule>
    <cfRule type="expression" dxfId="1005" priority="14" stopIfTrue="1">
      <formula>#REF!=""</formula>
    </cfRule>
  </conditionalFormatting>
  <dataValidations count="1">
    <dataValidation type="custom" errorStyle="warning" allowBlank="1" showInputMessage="1" showErrorMessage="1" errorTitle="טעות בהזנה" error="יש לוודא כי הוזן שם ללהקה_x000a__x000a_יש להזין סכום שאינו שלילי" sqref="WVL983055:WVL983084 IZ5:IZ44 SV5:SV44 ACR5:ACR44 AMN5:AMN44 AWJ5:AWJ44 BGF5:BGF44 BQB5:BQB44 BZX5:BZX44 CJT5:CJT44 CTP5:CTP44 DDL5:DDL44 DNH5:DNH44 DXD5:DXD44 EGZ5:EGZ44 EQV5:EQV44 FAR5:FAR44 FKN5:FKN44 FUJ5:FUJ44 GEF5:GEF44 GOB5:GOB44 GXX5:GXX44 HHT5:HHT44 HRP5:HRP44 IBL5:IBL44 ILH5:ILH44 IVD5:IVD44 JEZ5:JEZ44 JOV5:JOV44 JYR5:JYR44 KIN5:KIN44 KSJ5:KSJ44 LCF5:LCF44 LMB5:LMB44 LVX5:LVX44 MFT5:MFT44 MPP5:MPP44 MZL5:MZL44 NJH5:NJH44 NTD5:NTD44 OCZ5:OCZ44 OMV5:OMV44 OWR5:OWR44 PGN5:PGN44 PQJ5:PQJ44 QAF5:QAF44 QKB5:QKB44 QTX5:QTX44 RDT5:RDT44 RNP5:RNP44 RXL5:RXL44 SHH5:SHH44 SRD5:SRD44 TAZ5:TAZ44 TKV5:TKV44 TUR5:TUR44 UEN5:UEN44 UOJ5:UOJ44 UYF5:UYF44 VIB5:VIB44 VRX5:VRX44 WBT5:WBT44 WLP5:WLP44 WVL5:WVL44 D65551:D65580 IZ65551:IZ65580 SV65551:SV65580 ACR65551:ACR65580 AMN65551:AMN65580 AWJ65551:AWJ65580 BGF65551:BGF65580 BQB65551:BQB65580 BZX65551:BZX65580 CJT65551:CJT65580 CTP65551:CTP65580 DDL65551:DDL65580 DNH65551:DNH65580 DXD65551:DXD65580 EGZ65551:EGZ65580 EQV65551:EQV65580 FAR65551:FAR65580 FKN65551:FKN65580 FUJ65551:FUJ65580 GEF65551:GEF65580 GOB65551:GOB65580 GXX65551:GXX65580 HHT65551:HHT65580 HRP65551:HRP65580 IBL65551:IBL65580 ILH65551:ILH65580 IVD65551:IVD65580 JEZ65551:JEZ65580 JOV65551:JOV65580 JYR65551:JYR65580 KIN65551:KIN65580 KSJ65551:KSJ65580 LCF65551:LCF65580 LMB65551:LMB65580 LVX65551:LVX65580 MFT65551:MFT65580 MPP65551:MPP65580 MZL65551:MZL65580 NJH65551:NJH65580 NTD65551:NTD65580 OCZ65551:OCZ65580 OMV65551:OMV65580 OWR65551:OWR65580 PGN65551:PGN65580 PQJ65551:PQJ65580 QAF65551:QAF65580 QKB65551:QKB65580 QTX65551:QTX65580 RDT65551:RDT65580 RNP65551:RNP65580 RXL65551:RXL65580 SHH65551:SHH65580 SRD65551:SRD65580 TAZ65551:TAZ65580 TKV65551:TKV65580 TUR65551:TUR65580 UEN65551:UEN65580 UOJ65551:UOJ65580 UYF65551:UYF65580 VIB65551:VIB65580 VRX65551:VRX65580 WBT65551:WBT65580 WLP65551:WLP65580 WVL65551:WVL65580 D131087:D131116 IZ131087:IZ131116 SV131087:SV131116 ACR131087:ACR131116 AMN131087:AMN131116 AWJ131087:AWJ131116 BGF131087:BGF131116 BQB131087:BQB131116 BZX131087:BZX131116 CJT131087:CJT131116 CTP131087:CTP131116 DDL131087:DDL131116 DNH131087:DNH131116 DXD131087:DXD131116 EGZ131087:EGZ131116 EQV131087:EQV131116 FAR131087:FAR131116 FKN131087:FKN131116 FUJ131087:FUJ131116 GEF131087:GEF131116 GOB131087:GOB131116 GXX131087:GXX131116 HHT131087:HHT131116 HRP131087:HRP131116 IBL131087:IBL131116 ILH131087:ILH131116 IVD131087:IVD131116 JEZ131087:JEZ131116 JOV131087:JOV131116 JYR131087:JYR131116 KIN131087:KIN131116 KSJ131087:KSJ131116 LCF131087:LCF131116 LMB131087:LMB131116 LVX131087:LVX131116 MFT131087:MFT131116 MPP131087:MPP131116 MZL131087:MZL131116 NJH131087:NJH131116 NTD131087:NTD131116 OCZ131087:OCZ131116 OMV131087:OMV131116 OWR131087:OWR131116 PGN131087:PGN131116 PQJ131087:PQJ131116 QAF131087:QAF131116 QKB131087:QKB131116 QTX131087:QTX131116 RDT131087:RDT131116 RNP131087:RNP131116 RXL131087:RXL131116 SHH131087:SHH131116 SRD131087:SRD131116 TAZ131087:TAZ131116 TKV131087:TKV131116 TUR131087:TUR131116 UEN131087:UEN131116 UOJ131087:UOJ131116 UYF131087:UYF131116 VIB131087:VIB131116 VRX131087:VRX131116 WBT131087:WBT131116 WLP131087:WLP131116 WVL131087:WVL131116 D196623:D196652 IZ196623:IZ196652 SV196623:SV196652 ACR196623:ACR196652 AMN196623:AMN196652 AWJ196623:AWJ196652 BGF196623:BGF196652 BQB196623:BQB196652 BZX196623:BZX196652 CJT196623:CJT196652 CTP196623:CTP196652 DDL196623:DDL196652 DNH196623:DNH196652 DXD196623:DXD196652 EGZ196623:EGZ196652 EQV196623:EQV196652 FAR196623:FAR196652 FKN196623:FKN196652 FUJ196623:FUJ196652 GEF196623:GEF196652 GOB196623:GOB196652 GXX196623:GXX196652 HHT196623:HHT196652 HRP196623:HRP196652 IBL196623:IBL196652 ILH196623:ILH196652 IVD196623:IVD196652 JEZ196623:JEZ196652 JOV196623:JOV196652 JYR196623:JYR196652 KIN196623:KIN196652 KSJ196623:KSJ196652 LCF196623:LCF196652 LMB196623:LMB196652 LVX196623:LVX196652 MFT196623:MFT196652 MPP196623:MPP196652 MZL196623:MZL196652 NJH196623:NJH196652 NTD196623:NTD196652 OCZ196623:OCZ196652 OMV196623:OMV196652 OWR196623:OWR196652 PGN196623:PGN196652 PQJ196623:PQJ196652 QAF196623:QAF196652 QKB196623:QKB196652 QTX196623:QTX196652 RDT196623:RDT196652 RNP196623:RNP196652 RXL196623:RXL196652 SHH196623:SHH196652 SRD196623:SRD196652 TAZ196623:TAZ196652 TKV196623:TKV196652 TUR196623:TUR196652 UEN196623:UEN196652 UOJ196623:UOJ196652 UYF196623:UYF196652 VIB196623:VIB196652 VRX196623:VRX196652 WBT196623:WBT196652 WLP196623:WLP196652 WVL196623:WVL196652 D262159:D262188 IZ262159:IZ262188 SV262159:SV262188 ACR262159:ACR262188 AMN262159:AMN262188 AWJ262159:AWJ262188 BGF262159:BGF262188 BQB262159:BQB262188 BZX262159:BZX262188 CJT262159:CJT262188 CTP262159:CTP262188 DDL262159:DDL262188 DNH262159:DNH262188 DXD262159:DXD262188 EGZ262159:EGZ262188 EQV262159:EQV262188 FAR262159:FAR262188 FKN262159:FKN262188 FUJ262159:FUJ262188 GEF262159:GEF262188 GOB262159:GOB262188 GXX262159:GXX262188 HHT262159:HHT262188 HRP262159:HRP262188 IBL262159:IBL262188 ILH262159:ILH262188 IVD262159:IVD262188 JEZ262159:JEZ262188 JOV262159:JOV262188 JYR262159:JYR262188 KIN262159:KIN262188 KSJ262159:KSJ262188 LCF262159:LCF262188 LMB262159:LMB262188 LVX262159:LVX262188 MFT262159:MFT262188 MPP262159:MPP262188 MZL262159:MZL262188 NJH262159:NJH262188 NTD262159:NTD262188 OCZ262159:OCZ262188 OMV262159:OMV262188 OWR262159:OWR262188 PGN262159:PGN262188 PQJ262159:PQJ262188 QAF262159:QAF262188 QKB262159:QKB262188 QTX262159:QTX262188 RDT262159:RDT262188 RNP262159:RNP262188 RXL262159:RXL262188 SHH262159:SHH262188 SRD262159:SRD262188 TAZ262159:TAZ262188 TKV262159:TKV262188 TUR262159:TUR262188 UEN262159:UEN262188 UOJ262159:UOJ262188 UYF262159:UYF262188 VIB262159:VIB262188 VRX262159:VRX262188 WBT262159:WBT262188 WLP262159:WLP262188 WVL262159:WVL262188 D327695:D327724 IZ327695:IZ327724 SV327695:SV327724 ACR327695:ACR327724 AMN327695:AMN327724 AWJ327695:AWJ327724 BGF327695:BGF327724 BQB327695:BQB327724 BZX327695:BZX327724 CJT327695:CJT327724 CTP327695:CTP327724 DDL327695:DDL327724 DNH327695:DNH327724 DXD327695:DXD327724 EGZ327695:EGZ327724 EQV327695:EQV327724 FAR327695:FAR327724 FKN327695:FKN327724 FUJ327695:FUJ327724 GEF327695:GEF327724 GOB327695:GOB327724 GXX327695:GXX327724 HHT327695:HHT327724 HRP327695:HRP327724 IBL327695:IBL327724 ILH327695:ILH327724 IVD327695:IVD327724 JEZ327695:JEZ327724 JOV327695:JOV327724 JYR327695:JYR327724 KIN327695:KIN327724 KSJ327695:KSJ327724 LCF327695:LCF327724 LMB327695:LMB327724 LVX327695:LVX327724 MFT327695:MFT327724 MPP327695:MPP327724 MZL327695:MZL327724 NJH327695:NJH327724 NTD327695:NTD327724 OCZ327695:OCZ327724 OMV327695:OMV327724 OWR327695:OWR327724 PGN327695:PGN327724 PQJ327695:PQJ327724 QAF327695:QAF327724 QKB327695:QKB327724 QTX327695:QTX327724 RDT327695:RDT327724 RNP327695:RNP327724 RXL327695:RXL327724 SHH327695:SHH327724 SRD327695:SRD327724 TAZ327695:TAZ327724 TKV327695:TKV327724 TUR327695:TUR327724 UEN327695:UEN327724 UOJ327695:UOJ327724 UYF327695:UYF327724 VIB327695:VIB327724 VRX327695:VRX327724 WBT327695:WBT327724 WLP327695:WLP327724 WVL327695:WVL327724 D393231:D393260 IZ393231:IZ393260 SV393231:SV393260 ACR393231:ACR393260 AMN393231:AMN393260 AWJ393231:AWJ393260 BGF393231:BGF393260 BQB393231:BQB393260 BZX393231:BZX393260 CJT393231:CJT393260 CTP393231:CTP393260 DDL393231:DDL393260 DNH393231:DNH393260 DXD393231:DXD393260 EGZ393231:EGZ393260 EQV393231:EQV393260 FAR393231:FAR393260 FKN393231:FKN393260 FUJ393231:FUJ393260 GEF393231:GEF393260 GOB393231:GOB393260 GXX393231:GXX393260 HHT393231:HHT393260 HRP393231:HRP393260 IBL393231:IBL393260 ILH393231:ILH393260 IVD393231:IVD393260 JEZ393231:JEZ393260 JOV393231:JOV393260 JYR393231:JYR393260 KIN393231:KIN393260 KSJ393231:KSJ393260 LCF393231:LCF393260 LMB393231:LMB393260 LVX393231:LVX393260 MFT393231:MFT393260 MPP393231:MPP393260 MZL393231:MZL393260 NJH393231:NJH393260 NTD393231:NTD393260 OCZ393231:OCZ393260 OMV393231:OMV393260 OWR393231:OWR393260 PGN393231:PGN393260 PQJ393231:PQJ393260 QAF393231:QAF393260 QKB393231:QKB393260 QTX393231:QTX393260 RDT393231:RDT393260 RNP393231:RNP393260 RXL393231:RXL393260 SHH393231:SHH393260 SRD393231:SRD393260 TAZ393231:TAZ393260 TKV393231:TKV393260 TUR393231:TUR393260 UEN393231:UEN393260 UOJ393231:UOJ393260 UYF393231:UYF393260 VIB393231:VIB393260 VRX393231:VRX393260 WBT393231:WBT393260 WLP393231:WLP393260 WVL393231:WVL393260 D458767:D458796 IZ458767:IZ458796 SV458767:SV458796 ACR458767:ACR458796 AMN458767:AMN458796 AWJ458767:AWJ458796 BGF458767:BGF458796 BQB458767:BQB458796 BZX458767:BZX458796 CJT458767:CJT458796 CTP458767:CTP458796 DDL458767:DDL458796 DNH458767:DNH458796 DXD458767:DXD458796 EGZ458767:EGZ458796 EQV458767:EQV458796 FAR458767:FAR458796 FKN458767:FKN458796 FUJ458767:FUJ458796 GEF458767:GEF458796 GOB458767:GOB458796 GXX458767:GXX458796 HHT458767:HHT458796 HRP458767:HRP458796 IBL458767:IBL458796 ILH458767:ILH458796 IVD458767:IVD458796 JEZ458767:JEZ458796 JOV458767:JOV458796 JYR458767:JYR458796 KIN458767:KIN458796 KSJ458767:KSJ458796 LCF458767:LCF458796 LMB458767:LMB458796 LVX458767:LVX458796 MFT458767:MFT458796 MPP458767:MPP458796 MZL458767:MZL458796 NJH458767:NJH458796 NTD458767:NTD458796 OCZ458767:OCZ458796 OMV458767:OMV458796 OWR458767:OWR458796 PGN458767:PGN458796 PQJ458767:PQJ458796 QAF458767:QAF458796 QKB458767:QKB458796 QTX458767:QTX458796 RDT458767:RDT458796 RNP458767:RNP458796 RXL458767:RXL458796 SHH458767:SHH458796 SRD458767:SRD458796 TAZ458767:TAZ458796 TKV458767:TKV458796 TUR458767:TUR458796 UEN458767:UEN458796 UOJ458767:UOJ458796 UYF458767:UYF458796 VIB458767:VIB458796 VRX458767:VRX458796 WBT458767:WBT458796 WLP458767:WLP458796 WVL458767:WVL458796 D524303:D524332 IZ524303:IZ524332 SV524303:SV524332 ACR524303:ACR524332 AMN524303:AMN524332 AWJ524303:AWJ524332 BGF524303:BGF524332 BQB524303:BQB524332 BZX524303:BZX524332 CJT524303:CJT524332 CTP524303:CTP524332 DDL524303:DDL524332 DNH524303:DNH524332 DXD524303:DXD524332 EGZ524303:EGZ524332 EQV524303:EQV524332 FAR524303:FAR524332 FKN524303:FKN524332 FUJ524303:FUJ524332 GEF524303:GEF524332 GOB524303:GOB524332 GXX524303:GXX524332 HHT524303:HHT524332 HRP524303:HRP524332 IBL524303:IBL524332 ILH524303:ILH524332 IVD524303:IVD524332 JEZ524303:JEZ524332 JOV524303:JOV524332 JYR524303:JYR524332 KIN524303:KIN524332 KSJ524303:KSJ524332 LCF524303:LCF524332 LMB524303:LMB524332 LVX524303:LVX524332 MFT524303:MFT524332 MPP524303:MPP524332 MZL524303:MZL524332 NJH524303:NJH524332 NTD524303:NTD524332 OCZ524303:OCZ524332 OMV524303:OMV524332 OWR524303:OWR524332 PGN524303:PGN524332 PQJ524303:PQJ524332 QAF524303:QAF524332 QKB524303:QKB524332 QTX524303:QTX524332 RDT524303:RDT524332 RNP524303:RNP524332 RXL524303:RXL524332 SHH524303:SHH524332 SRD524303:SRD524332 TAZ524303:TAZ524332 TKV524303:TKV524332 TUR524303:TUR524332 UEN524303:UEN524332 UOJ524303:UOJ524332 UYF524303:UYF524332 VIB524303:VIB524332 VRX524303:VRX524332 WBT524303:WBT524332 WLP524303:WLP524332 WVL524303:WVL524332 D589839:D589868 IZ589839:IZ589868 SV589839:SV589868 ACR589839:ACR589868 AMN589839:AMN589868 AWJ589839:AWJ589868 BGF589839:BGF589868 BQB589839:BQB589868 BZX589839:BZX589868 CJT589839:CJT589868 CTP589839:CTP589868 DDL589839:DDL589868 DNH589839:DNH589868 DXD589839:DXD589868 EGZ589839:EGZ589868 EQV589839:EQV589868 FAR589839:FAR589868 FKN589839:FKN589868 FUJ589839:FUJ589868 GEF589839:GEF589868 GOB589839:GOB589868 GXX589839:GXX589868 HHT589839:HHT589868 HRP589839:HRP589868 IBL589839:IBL589868 ILH589839:ILH589868 IVD589839:IVD589868 JEZ589839:JEZ589868 JOV589839:JOV589868 JYR589839:JYR589868 KIN589839:KIN589868 KSJ589839:KSJ589868 LCF589839:LCF589868 LMB589839:LMB589868 LVX589839:LVX589868 MFT589839:MFT589868 MPP589839:MPP589868 MZL589839:MZL589868 NJH589839:NJH589868 NTD589839:NTD589868 OCZ589839:OCZ589868 OMV589839:OMV589868 OWR589839:OWR589868 PGN589839:PGN589868 PQJ589839:PQJ589868 QAF589839:QAF589868 QKB589839:QKB589868 QTX589839:QTX589868 RDT589839:RDT589868 RNP589839:RNP589868 RXL589839:RXL589868 SHH589839:SHH589868 SRD589839:SRD589868 TAZ589839:TAZ589868 TKV589839:TKV589868 TUR589839:TUR589868 UEN589839:UEN589868 UOJ589839:UOJ589868 UYF589839:UYF589868 VIB589839:VIB589868 VRX589839:VRX589868 WBT589839:WBT589868 WLP589839:WLP589868 WVL589839:WVL589868 D655375:D655404 IZ655375:IZ655404 SV655375:SV655404 ACR655375:ACR655404 AMN655375:AMN655404 AWJ655375:AWJ655404 BGF655375:BGF655404 BQB655375:BQB655404 BZX655375:BZX655404 CJT655375:CJT655404 CTP655375:CTP655404 DDL655375:DDL655404 DNH655375:DNH655404 DXD655375:DXD655404 EGZ655375:EGZ655404 EQV655375:EQV655404 FAR655375:FAR655404 FKN655375:FKN655404 FUJ655375:FUJ655404 GEF655375:GEF655404 GOB655375:GOB655404 GXX655375:GXX655404 HHT655375:HHT655404 HRP655375:HRP655404 IBL655375:IBL655404 ILH655375:ILH655404 IVD655375:IVD655404 JEZ655375:JEZ655404 JOV655375:JOV655404 JYR655375:JYR655404 KIN655375:KIN655404 KSJ655375:KSJ655404 LCF655375:LCF655404 LMB655375:LMB655404 LVX655375:LVX655404 MFT655375:MFT655404 MPP655375:MPP655404 MZL655375:MZL655404 NJH655375:NJH655404 NTD655375:NTD655404 OCZ655375:OCZ655404 OMV655375:OMV655404 OWR655375:OWR655404 PGN655375:PGN655404 PQJ655375:PQJ655404 QAF655375:QAF655404 QKB655375:QKB655404 QTX655375:QTX655404 RDT655375:RDT655404 RNP655375:RNP655404 RXL655375:RXL655404 SHH655375:SHH655404 SRD655375:SRD655404 TAZ655375:TAZ655404 TKV655375:TKV655404 TUR655375:TUR655404 UEN655375:UEN655404 UOJ655375:UOJ655404 UYF655375:UYF655404 VIB655375:VIB655404 VRX655375:VRX655404 WBT655375:WBT655404 WLP655375:WLP655404 WVL655375:WVL655404 D720911:D720940 IZ720911:IZ720940 SV720911:SV720940 ACR720911:ACR720940 AMN720911:AMN720940 AWJ720911:AWJ720940 BGF720911:BGF720940 BQB720911:BQB720940 BZX720911:BZX720940 CJT720911:CJT720940 CTP720911:CTP720940 DDL720911:DDL720940 DNH720911:DNH720940 DXD720911:DXD720940 EGZ720911:EGZ720940 EQV720911:EQV720940 FAR720911:FAR720940 FKN720911:FKN720940 FUJ720911:FUJ720940 GEF720911:GEF720940 GOB720911:GOB720940 GXX720911:GXX720940 HHT720911:HHT720940 HRP720911:HRP720940 IBL720911:IBL720940 ILH720911:ILH720940 IVD720911:IVD720940 JEZ720911:JEZ720940 JOV720911:JOV720940 JYR720911:JYR720940 KIN720911:KIN720940 KSJ720911:KSJ720940 LCF720911:LCF720940 LMB720911:LMB720940 LVX720911:LVX720940 MFT720911:MFT720940 MPP720911:MPP720940 MZL720911:MZL720940 NJH720911:NJH720940 NTD720911:NTD720940 OCZ720911:OCZ720940 OMV720911:OMV720940 OWR720911:OWR720940 PGN720911:PGN720940 PQJ720911:PQJ720940 QAF720911:QAF720940 QKB720911:QKB720940 QTX720911:QTX720940 RDT720911:RDT720940 RNP720911:RNP720940 RXL720911:RXL720940 SHH720911:SHH720940 SRD720911:SRD720940 TAZ720911:TAZ720940 TKV720911:TKV720940 TUR720911:TUR720940 UEN720911:UEN720940 UOJ720911:UOJ720940 UYF720911:UYF720940 VIB720911:VIB720940 VRX720911:VRX720940 WBT720911:WBT720940 WLP720911:WLP720940 WVL720911:WVL720940 D786447:D786476 IZ786447:IZ786476 SV786447:SV786476 ACR786447:ACR786476 AMN786447:AMN786476 AWJ786447:AWJ786476 BGF786447:BGF786476 BQB786447:BQB786476 BZX786447:BZX786476 CJT786447:CJT786476 CTP786447:CTP786476 DDL786447:DDL786476 DNH786447:DNH786476 DXD786447:DXD786476 EGZ786447:EGZ786476 EQV786447:EQV786476 FAR786447:FAR786476 FKN786447:FKN786476 FUJ786447:FUJ786476 GEF786447:GEF786476 GOB786447:GOB786476 GXX786447:GXX786476 HHT786447:HHT786476 HRP786447:HRP786476 IBL786447:IBL786476 ILH786447:ILH786476 IVD786447:IVD786476 JEZ786447:JEZ786476 JOV786447:JOV786476 JYR786447:JYR786476 KIN786447:KIN786476 KSJ786447:KSJ786476 LCF786447:LCF786476 LMB786447:LMB786476 LVX786447:LVX786476 MFT786447:MFT786476 MPP786447:MPP786476 MZL786447:MZL786476 NJH786447:NJH786476 NTD786447:NTD786476 OCZ786447:OCZ786476 OMV786447:OMV786476 OWR786447:OWR786476 PGN786447:PGN786476 PQJ786447:PQJ786476 QAF786447:QAF786476 QKB786447:QKB786476 QTX786447:QTX786476 RDT786447:RDT786476 RNP786447:RNP786476 RXL786447:RXL786476 SHH786447:SHH786476 SRD786447:SRD786476 TAZ786447:TAZ786476 TKV786447:TKV786476 TUR786447:TUR786476 UEN786447:UEN786476 UOJ786447:UOJ786476 UYF786447:UYF786476 VIB786447:VIB786476 VRX786447:VRX786476 WBT786447:WBT786476 WLP786447:WLP786476 WVL786447:WVL786476 D851983:D852012 IZ851983:IZ852012 SV851983:SV852012 ACR851983:ACR852012 AMN851983:AMN852012 AWJ851983:AWJ852012 BGF851983:BGF852012 BQB851983:BQB852012 BZX851983:BZX852012 CJT851983:CJT852012 CTP851983:CTP852012 DDL851983:DDL852012 DNH851983:DNH852012 DXD851983:DXD852012 EGZ851983:EGZ852012 EQV851983:EQV852012 FAR851983:FAR852012 FKN851983:FKN852012 FUJ851983:FUJ852012 GEF851983:GEF852012 GOB851983:GOB852012 GXX851983:GXX852012 HHT851983:HHT852012 HRP851983:HRP852012 IBL851983:IBL852012 ILH851983:ILH852012 IVD851983:IVD852012 JEZ851983:JEZ852012 JOV851983:JOV852012 JYR851983:JYR852012 KIN851983:KIN852012 KSJ851983:KSJ852012 LCF851983:LCF852012 LMB851983:LMB852012 LVX851983:LVX852012 MFT851983:MFT852012 MPP851983:MPP852012 MZL851983:MZL852012 NJH851983:NJH852012 NTD851983:NTD852012 OCZ851983:OCZ852012 OMV851983:OMV852012 OWR851983:OWR852012 PGN851983:PGN852012 PQJ851983:PQJ852012 QAF851983:QAF852012 QKB851983:QKB852012 QTX851983:QTX852012 RDT851983:RDT852012 RNP851983:RNP852012 RXL851983:RXL852012 SHH851983:SHH852012 SRD851983:SRD852012 TAZ851983:TAZ852012 TKV851983:TKV852012 TUR851983:TUR852012 UEN851983:UEN852012 UOJ851983:UOJ852012 UYF851983:UYF852012 VIB851983:VIB852012 VRX851983:VRX852012 WBT851983:WBT852012 WLP851983:WLP852012 WVL851983:WVL852012 D917519:D917548 IZ917519:IZ917548 SV917519:SV917548 ACR917519:ACR917548 AMN917519:AMN917548 AWJ917519:AWJ917548 BGF917519:BGF917548 BQB917519:BQB917548 BZX917519:BZX917548 CJT917519:CJT917548 CTP917519:CTP917548 DDL917519:DDL917548 DNH917519:DNH917548 DXD917519:DXD917548 EGZ917519:EGZ917548 EQV917519:EQV917548 FAR917519:FAR917548 FKN917519:FKN917548 FUJ917519:FUJ917548 GEF917519:GEF917548 GOB917519:GOB917548 GXX917519:GXX917548 HHT917519:HHT917548 HRP917519:HRP917548 IBL917519:IBL917548 ILH917519:ILH917548 IVD917519:IVD917548 JEZ917519:JEZ917548 JOV917519:JOV917548 JYR917519:JYR917548 KIN917519:KIN917548 KSJ917519:KSJ917548 LCF917519:LCF917548 LMB917519:LMB917548 LVX917519:LVX917548 MFT917519:MFT917548 MPP917519:MPP917548 MZL917519:MZL917548 NJH917519:NJH917548 NTD917519:NTD917548 OCZ917519:OCZ917548 OMV917519:OMV917548 OWR917519:OWR917548 PGN917519:PGN917548 PQJ917519:PQJ917548 QAF917519:QAF917548 QKB917519:QKB917548 QTX917519:QTX917548 RDT917519:RDT917548 RNP917519:RNP917548 RXL917519:RXL917548 SHH917519:SHH917548 SRD917519:SRD917548 TAZ917519:TAZ917548 TKV917519:TKV917548 TUR917519:TUR917548 UEN917519:UEN917548 UOJ917519:UOJ917548 UYF917519:UYF917548 VIB917519:VIB917548 VRX917519:VRX917548 WBT917519:WBT917548 WLP917519:WLP917548 WVL917519:WVL917548 D983055:D983084 IZ983055:IZ983084 SV983055:SV983084 ACR983055:ACR983084 AMN983055:AMN983084 AWJ983055:AWJ983084 BGF983055:BGF983084 BQB983055:BQB983084 BZX983055:BZX983084 CJT983055:CJT983084 CTP983055:CTP983084 DDL983055:DDL983084 DNH983055:DNH983084 DXD983055:DXD983084 EGZ983055:EGZ983084 EQV983055:EQV983084 FAR983055:FAR983084 FKN983055:FKN983084 FUJ983055:FUJ983084 GEF983055:GEF983084 GOB983055:GOB983084 GXX983055:GXX983084 HHT983055:HHT983084 HRP983055:HRP983084 IBL983055:IBL983084 ILH983055:ILH983084 IVD983055:IVD983084 JEZ983055:JEZ983084 JOV983055:JOV983084 JYR983055:JYR983084 KIN983055:KIN983084 KSJ983055:KSJ983084 LCF983055:LCF983084 LMB983055:LMB983084 LVX983055:LVX983084 MFT983055:MFT983084 MPP983055:MPP983084 MZL983055:MZL983084 NJH983055:NJH983084 NTD983055:NTD983084 OCZ983055:OCZ983084 OMV983055:OMV983084 OWR983055:OWR983084 PGN983055:PGN983084 PQJ983055:PQJ983084 QAF983055:QAF983084 QKB983055:QKB983084 QTX983055:QTX983084 RDT983055:RDT983084 RNP983055:RNP983084 RXL983055:RXL983084 SHH983055:SHH983084 SRD983055:SRD983084 TAZ983055:TAZ983084 TKV983055:TKV983084 TUR983055:TUR983084 UEN983055:UEN983084 UOJ983055:UOJ983084 UYF983055:UYF983084 VIB983055:VIB983084 VRX983055:VRX983084 WBT983055:WBT983084 WLP983055:WLP983084 D5:D44" xr:uid="{00000000-0002-0000-0E00-000000000000}">
      <formula1>H5</formula1>
    </dataValidation>
  </dataValidations>
  <printOptions horizontalCentered="1"/>
  <pageMargins left="0.19685039370078741" right="0.19685039370078741" top="0.62992125984251968" bottom="0.51181102362204722" header="0.19685039370078741" footer="0.19685039370078741"/>
  <pageSetup paperSize="9" scale="82" orientation="landscape" cellComments="asDisplayed" horizontalDpi="1200" verticalDpi="1200" r:id="rId1"/>
  <headerFooter alignWithMargins="0">
    <oddHeader>&amp;L
גרסא 2.9&amp;C&amp;12מבחנים לחלוקת כספי תמיכות של משרד החינוך התרבות והספורט למוסדות ציבור לפי חוק יסודות התקציב, התשמ"ה  - 1985
&amp;Uתמיכה במוסדות תרבות בתחום להקות מחול</oddHeader>
    <oddFooter>&amp;L&amp;"Arial,מודגש"&amp;12א. חפץ ושות'
יעוץ כלכלי&amp;Cעמוד &amp;P מתוך &amp;N&amp;R&amp;A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4">
    <tabColor indexed="44"/>
    <pageSetUpPr fitToPage="1"/>
  </sheetPr>
  <dimension ref="A1:AV52"/>
  <sheetViews>
    <sheetView rightToLeft="1" view="pageBreakPreview" zoomScaleNormal="100" zoomScaleSheetLayoutView="100" workbookViewId="0"/>
  </sheetViews>
  <sheetFormatPr defaultColWidth="9.140625" defaultRowHeight="12.75" x14ac:dyDescent="0.2"/>
  <cols>
    <col min="1" max="1" width="10" bestFit="1" customWidth="1"/>
    <col min="2" max="2" width="34" bestFit="1" customWidth="1"/>
    <col min="3" max="3" width="17" bestFit="1" customWidth="1"/>
    <col min="4" max="4" width="20.140625" bestFit="1" customWidth="1"/>
    <col min="5" max="5" width="18.28515625" customWidth="1"/>
    <col min="6" max="7" width="23.7109375" customWidth="1"/>
    <col min="8" max="8" width="17" customWidth="1"/>
    <col min="9" max="9" width="2.42578125" hidden="1" customWidth="1"/>
    <col min="10" max="200" width="0" hidden="1" customWidth="1"/>
  </cols>
  <sheetData>
    <row r="1" spans="1:48" ht="20.25" thickTop="1" thickBot="1" x14ac:dyDescent="0.25">
      <c r="C1" s="88" t="str">
        <f>פרמטרים!B1</f>
        <v>שנת התקציב</v>
      </c>
      <c r="D1" s="89">
        <f>פרמטרים!C1</f>
        <v>2025</v>
      </c>
      <c r="E1" s="90"/>
    </row>
    <row r="2" spans="1:48" ht="19.5" thickBot="1" x14ac:dyDescent="0.25">
      <c r="C2" s="91" t="str">
        <f>פרמטרים!B2</f>
        <v>תקציב</v>
      </c>
      <c r="D2" s="92">
        <f>פרמטרים!C2</f>
        <v>1906914</v>
      </c>
      <c r="E2" s="90"/>
      <c r="F2" s="573" t="str">
        <f>פרמטרים!A36</f>
        <v>פרמטרים לחישוב הרכב חברי הוועדה</v>
      </c>
      <c r="G2" s="574">
        <f>פרמטרים!B36</f>
        <v>0</v>
      </c>
    </row>
    <row r="3" spans="1:48" ht="17.25" thickTop="1" thickBot="1" x14ac:dyDescent="0.3">
      <c r="F3" s="580" t="str">
        <f>פרמטרים!A37</f>
        <v>סעיף</v>
      </c>
      <c r="G3" s="581" t="str">
        <f>פרמטרים!B37</f>
        <v>ערך</v>
      </c>
    </row>
    <row r="4" spans="1:48" ht="32.25" thickBot="1" x14ac:dyDescent="0.25">
      <c r="F4" s="255" t="str">
        <f>פרמטרים!A38</f>
        <v>30% מכלל חברי הוועדה נשים</v>
      </c>
      <c r="G4" s="349">
        <f>פרמטרים!B38</f>
        <v>0.02</v>
      </c>
    </row>
    <row r="8" spans="1:48" ht="13.5" thickBot="1" x14ac:dyDescent="0.25"/>
    <row r="9" spans="1:48" ht="17.25" thickTop="1" thickBot="1" x14ac:dyDescent="0.3">
      <c r="A9" s="609" t="s">
        <v>207</v>
      </c>
      <c r="B9" s="610"/>
      <c r="C9" s="610"/>
      <c r="D9" s="610"/>
      <c r="E9" s="610"/>
      <c r="F9" s="610"/>
      <c r="G9" s="610"/>
      <c r="H9" s="611"/>
    </row>
    <row r="10" spans="1:48" ht="81" customHeight="1" thickTop="1" thickBot="1" x14ac:dyDescent="0.25">
      <c r="A10" s="3" t="str">
        <f>'התחשיב הבסיסי'!A9</f>
        <v>מספר סידורי</v>
      </c>
      <c r="B10" s="1" t="str">
        <f>'התחשיב הבסיסי'!B9</f>
        <v>שם כתב העת</v>
      </c>
      <c r="C10" s="1" t="s">
        <v>208</v>
      </c>
      <c r="D10" s="1" t="s">
        <v>209</v>
      </c>
      <c r="E10" s="1" t="s">
        <v>210</v>
      </c>
      <c r="F10" s="1" t="s">
        <v>211</v>
      </c>
      <c r="G10" s="1" t="s">
        <v>212</v>
      </c>
      <c r="H10" s="1" t="s">
        <v>212</v>
      </c>
      <c r="I10" s="4"/>
      <c r="K10" t="s">
        <v>162</v>
      </c>
      <c r="L10" t="s">
        <v>163</v>
      </c>
      <c r="M10" t="s">
        <v>164</v>
      </c>
      <c r="N10" t="s">
        <v>165</v>
      </c>
      <c r="O10" t="s">
        <v>166</v>
      </c>
      <c r="P10" t="s">
        <v>167</v>
      </c>
      <c r="Q10" t="s">
        <v>168</v>
      </c>
      <c r="R10" t="s">
        <v>169</v>
      </c>
      <c r="S10" t="s">
        <v>170</v>
      </c>
      <c r="T10" t="s">
        <v>171</v>
      </c>
      <c r="U10" t="s">
        <v>172</v>
      </c>
      <c r="V10" t="s">
        <v>173</v>
      </c>
      <c r="W10" t="s">
        <v>174</v>
      </c>
      <c r="X10" t="s">
        <v>175</v>
      </c>
      <c r="Y10" t="s">
        <v>176</v>
      </c>
      <c r="Z10" t="s">
        <v>177</v>
      </c>
      <c r="AA10" t="s">
        <v>178</v>
      </c>
      <c r="AB10" t="s">
        <v>179</v>
      </c>
      <c r="AC10" t="s">
        <v>180</v>
      </c>
      <c r="AD10" t="s">
        <v>181</v>
      </c>
      <c r="AE10" t="s">
        <v>182</v>
      </c>
      <c r="AF10" t="s">
        <v>183</v>
      </c>
      <c r="AG10" t="s">
        <v>184</v>
      </c>
      <c r="AH10" t="s">
        <v>185</v>
      </c>
      <c r="AI10" t="s">
        <v>186</v>
      </c>
      <c r="AJ10" t="s">
        <v>187</v>
      </c>
      <c r="AK10" t="s">
        <v>188</v>
      </c>
      <c r="AL10" t="s">
        <v>189</v>
      </c>
      <c r="AM10" t="s">
        <v>190</v>
      </c>
      <c r="AN10" t="s">
        <v>191</v>
      </c>
      <c r="AO10" t="s">
        <v>192</v>
      </c>
      <c r="AP10" t="s">
        <v>193</v>
      </c>
      <c r="AQ10" t="s">
        <v>194</v>
      </c>
      <c r="AR10" t="s">
        <v>195</v>
      </c>
      <c r="AS10" t="s">
        <v>196</v>
      </c>
      <c r="AT10" t="s">
        <v>197</v>
      </c>
      <c r="AV10" t="s">
        <v>213</v>
      </c>
    </row>
    <row r="11" spans="1:48" ht="13.5" customHeight="1" x14ac:dyDescent="0.2">
      <c r="A11" s="48">
        <f>'התחשיב הבסיסי'!A11</f>
        <v>1</v>
      </c>
      <c r="B11" s="30" t="str">
        <f ca="1">הגנה!C31</f>
        <v>1280 מעלות (אמנים יוצרים)</v>
      </c>
      <c r="C11" s="15">
        <f ca="1">הגנה!AU31</f>
        <v>3.3985441070425441E-2</v>
      </c>
      <c r="D11" s="342">
        <v>5</v>
      </c>
      <c r="E11" s="342">
        <v>5</v>
      </c>
      <c r="F11" s="16">
        <f t="shared" ref="F11:F14" ca="1" si="0">IF(B11="","",IFERROR(E11/D11,"בדוק נתוני הזנה"))</f>
        <v>1</v>
      </c>
      <c r="G11" s="16">
        <f ca="1">IF(C11="","",IFERROR(IF(F11/1&gt;=30%,(1+$G$4)*C11,C11),C11))</f>
        <v>3.4665149891833953E-2</v>
      </c>
      <c r="H11" s="86">
        <f t="shared" ref="H11:H14" ca="1" si="1">IF(OR(G11="",F11=""),"",G11/$G$51)</f>
        <v>3.4136989294792967E-2</v>
      </c>
      <c r="I11" s="49">
        <f t="shared" ref="I11:I14" ca="1" si="2">IF(OR(B11="",E11="",F11=""),"",H11*$D$2)</f>
        <v>65096.302804090839</v>
      </c>
      <c r="J11">
        <f ca="1">IF(OR('תנאי סף'!AL11&lt;&gt;1,B11="",C11&lt;0,ISERR(C11/3)),0,1)</f>
        <v>1</v>
      </c>
    </row>
    <row r="12" spans="1:48" x14ac:dyDescent="0.2">
      <c r="A12" s="48">
        <f>'התחשיב הבסיסי'!A12</f>
        <v>2</v>
      </c>
      <c r="B12" s="30" t="str">
        <f ca="1">הגנה!C32</f>
        <v>יהי (אורי צבי גרינברג)</v>
      </c>
      <c r="C12" s="15">
        <f ca="1">הגנה!AU32</f>
        <v>2.9028690949750847E-2</v>
      </c>
      <c r="D12" s="342">
        <v>3</v>
      </c>
      <c r="E12" s="342">
        <v>0</v>
      </c>
      <c r="F12" s="16">
        <f t="shared" ca="1" si="0"/>
        <v>0</v>
      </c>
      <c r="G12" s="16">
        <f t="shared" ref="G12:G40" ca="1" si="3">IF(C12="","",IFERROR(IF(F12/1&gt;=30%,(1+$G$4)*C12,C12),C12))</f>
        <v>2.9028690949750847E-2</v>
      </c>
      <c r="H12" s="86">
        <f t="shared" ca="1" si="1"/>
        <v>2.8586407827041766E-2</v>
      </c>
      <c r="I12" s="49">
        <f t="shared" ca="1" si="2"/>
        <v>54511.82129509552</v>
      </c>
      <c r="J12">
        <f ca="1">IF(OR('תנאי סף'!AL12&lt;&gt;1,B12="",C12&lt;0,ISERR(C12/3)),0,1)</f>
        <v>1</v>
      </c>
    </row>
    <row r="13" spans="1:48" x14ac:dyDescent="0.2">
      <c r="A13" s="48">
        <f>'התחשיב הבסיסי'!A13</f>
        <v>3</v>
      </c>
      <c r="B13" s="30" t="str">
        <f ca="1">הגנה!C33</f>
        <v/>
      </c>
      <c r="C13" s="15" t="str">
        <f ca="1">הגנה!AU33</f>
        <v/>
      </c>
      <c r="D13" s="342"/>
      <c r="E13" s="342"/>
      <c r="F13" s="16" t="str">
        <f t="shared" ca="1" si="0"/>
        <v/>
      </c>
      <c r="G13" s="16" t="str">
        <f t="shared" ca="1" si="3"/>
        <v/>
      </c>
      <c r="H13" s="86" t="str">
        <f t="shared" ca="1" si="1"/>
        <v/>
      </c>
      <c r="I13" s="49" t="str">
        <f t="shared" ca="1" si="2"/>
        <v/>
      </c>
      <c r="J13">
        <f ca="1">IF(OR('תנאי סף'!AL13&lt;&gt;1,B13="",C13&lt;0,ISERR(C13/3)),0,1)</f>
        <v>0</v>
      </c>
    </row>
    <row r="14" spans="1:48" x14ac:dyDescent="0.2">
      <c r="A14" s="48">
        <f>'התחשיב הבסיסי'!A14</f>
        <v>4</v>
      </c>
      <c r="B14" s="30" t="str">
        <f ca="1">הגנה!C34</f>
        <v>דעות (ברית נאמני תורה ועבודה)</v>
      </c>
      <c r="C14" s="15">
        <f ca="1">הגנה!AU34</f>
        <v>4.7982832401599534E-2</v>
      </c>
      <c r="D14" s="342">
        <v>8</v>
      </c>
      <c r="E14" s="342">
        <v>4</v>
      </c>
      <c r="F14" s="16">
        <f t="shared" ca="1" si="0"/>
        <v>0.5</v>
      </c>
      <c r="G14" s="16">
        <f t="shared" ca="1" si="3"/>
        <v>4.8942489049631527E-2</v>
      </c>
      <c r="H14" s="86">
        <f t="shared" ca="1" si="1"/>
        <v>4.8196797935709218E-2</v>
      </c>
      <c r="I14" s="49">
        <f t="shared" ca="1" si="2"/>
        <v>91907.148738775009</v>
      </c>
      <c r="J14">
        <f ca="1">IF(OR('תנאי סף'!AL14&lt;&gt;1,B14="",C14&lt;0,ISERR(C14/3)),0,1)</f>
        <v>1</v>
      </c>
    </row>
    <row r="15" spans="1:48" x14ac:dyDescent="0.2">
      <c r="A15" s="48">
        <f>'התחשיב הבסיסי'!A15</f>
        <v>5</v>
      </c>
      <c r="B15" s="30" t="str">
        <f ca="1">הגנה!C35</f>
        <v>הליקון</v>
      </c>
      <c r="C15" s="15">
        <f ca="1">הגנה!AU35</f>
        <v>5.9350111713416524E-2</v>
      </c>
      <c r="D15" s="342">
        <v>8</v>
      </c>
      <c r="E15" s="342">
        <v>4</v>
      </c>
      <c r="F15" s="16">
        <f t="shared" ref="F15:F40" ca="1" si="4">IF(B15="","",IFERROR(E15/D15,"בדוק נתוני הזנה"))</f>
        <v>0.5</v>
      </c>
      <c r="G15" s="16">
        <f t="shared" ca="1" si="3"/>
        <v>6.0537113947684858E-2</v>
      </c>
      <c r="H15" s="86">
        <f t="shared" ref="H15:H40" ca="1" si="5">IF(OR(G15="",F15=""),"",G15/$G$51)</f>
        <v>5.9614766335010047E-2</v>
      </c>
      <c r="I15" s="49">
        <f t="shared" ref="I15:I50" ca="1" si="6">IF(OR(B15="",E15="",F15=""),"",H15*$D$2)</f>
        <v>113680.23253095934</v>
      </c>
      <c r="J15">
        <f ca="1">IF(OR('תנאי סף'!AL15&lt;&gt;1,B15="",C15&lt;0,ISERR(C15/3)),0,1)</f>
        <v>1</v>
      </c>
    </row>
    <row r="16" spans="1:48" x14ac:dyDescent="0.2">
      <c r="A16" s="48">
        <f>'התחשיב הבסיסי'!A16</f>
        <v>6</v>
      </c>
      <c r="B16" s="30" t="str">
        <f ca="1">הגנה!C36</f>
        <v/>
      </c>
      <c r="C16" s="15" t="str">
        <f ca="1">הגנה!AU36</f>
        <v/>
      </c>
      <c r="D16" s="342"/>
      <c r="E16" s="342"/>
      <c r="F16" s="16" t="str">
        <f t="shared" ca="1" si="4"/>
        <v/>
      </c>
      <c r="G16" s="16" t="str">
        <f t="shared" ca="1" si="3"/>
        <v/>
      </c>
      <c r="H16" s="86" t="str">
        <f t="shared" ca="1" si="5"/>
        <v/>
      </c>
      <c r="I16" s="49" t="str">
        <f t="shared" ca="1" si="6"/>
        <v/>
      </c>
      <c r="J16">
        <f ca="1">IF(OR('תנאי סף'!AL16&lt;&gt;1,B16="",C16&lt;0,ISERR(C16/3)),0,1)</f>
        <v>0</v>
      </c>
    </row>
    <row r="17" spans="1:10" x14ac:dyDescent="0.2">
      <c r="A17" s="48">
        <f>'התחשיב הבסיסי'!A17</f>
        <v>7</v>
      </c>
      <c r="B17" s="30" t="str">
        <f ca="1">הגנה!C37</f>
        <v/>
      </c>
      <c r="C17" s="15" t="str">
        <f ca="1">הגנה!AU37</f>
        <v/>
      </c>
      <c r="D17" s="342"/>
      <c r="E17" s="342"/>
      <c r="F17" s="16" t="str">
        <f t="shared" ca="1" si="4"/>
        <v/>
      </c>
      <c r="G17" s="16" t="str">
        <f t="shared" ca="1" si="3"/>
        <v/>
      </c>
      <c r="H17" s="86" t="str">
        <f t="shared" ca="1" si="5"/>
        <v/>
      </c>
      <c r="I17" s="49" t="str">
        <f t="shared" ca="1" si="6"/>
        <v/>
      </c>
      <c r="J17">
        <f ca="1">IF(OR('תנאי סף'!AL17&lt;&gt;1,B17="",C17&lt;0,ISERR(C17/3)),0,1)</f>
        <v>0</v>
      </c>
    </row>
    <row r="18" spans="1:10" x14ac:dyDescent="0.2">
      <c r="A18" s="48">
        <f>'התחשיב הבסיסי'!A18</f>
        <v>8</v>
      </c>
      <c r="B18" s="30" t="str">
        <f ca="1">הגנה!C38</f>
        <v>ננפואטיקה (עמותת מקום לשירה)</v>
      </c>
      <c r="C18" s="15">
        <f ca="1">הגנה!AU38</f>
        <v>7.2944434929907681E-2</v>
      </c>
      <c r="D18" s="342">
        <v>3</v>
      </c>
      <c r="E18" s="342">
        <v>1</v>
      </c>
      <c r="F18" s="16">
        <f t="shared" ca="1" si="4"/>
        <v>0.33333333333333331</v>
      </c>
      <c r="G18" s="16">
        <f t="shared" ca="1" si="3"/>
        <v>7.4403323628505838E-2</v>
      </c>
      <c r="H18" s="86">
        <f t="shared" ca="1" si="5"/>
        <v>7.3269709495808188E-2</v>
      </c>
      <c r="I18" s="49">
        <f t="shared" ca="1" si="6"/>
        <v>139719.03481348959</v>
      </c>
      <c r="J18">
        <f ca="1">IF(OR('תנאי סף'!AL18&lt;&gt;1,B18="",C18&lt;0,ISERR(C18/3)),0,1)</f>
        <v>1</v>
      </c>
    </row>
    <row r="19" spans="1:10" x14ac:dyDescent="0.2">
      <c r="A19" s="48">
        <f>'התחשיב הבסיסי'!A19</f>
        <v>9</v>
      </c>
      <c r="B19" s="30" t="str">
        <f ca="1">הגנה!C39</f>
        <v>מאזניים (אגודת הסופרים העבריים)</v>
      </c>
      <c r="C19" s="15">
        <f ca="1">הגנה!AU39</f>
        <v>8.1662297794135238E-2</v>
      </c>
      <c r="D19" s="342">
        <v>13</v>
      </c>
      <c r="E19" s="342">
        <v>7</v>
      </c>
      <c r="F19" s="16">
        <f t="shared" ca="1" si="4"/>
        <v>0.53846153846153844</v>
      </c>
      <c r="G19" s="16">
        <f t="shared" ca="1" si="3"/>
        <v>8.329554375001795E-2</v>
      </c>
      <c r="H19" s="86">
        <f t="shared" ca="1" si="5"/>
        <v>8.2026447142758599E-2</v>
      </c>
      <c r="I19" s="49">
        <f t="shared" ca="1" si="6"/>
        <v>156417.38042678637</v>
      </c>
      <c r="J19">
        <f ca="1">IF(OR('תנאי סף'!AL19&lt;&gt;1,B19="",C19&lt;0,ISERR(C19/3)),0,1)</f>
        <v>1</v>
      </c>
    </row>
    <row r="20" spans="1:10" x14ac:dyDescent="0.2">
      <c r="A20" s="48">
        <f>'התחשיב הבסיסי'!A20</f>
        <v>10</v>
      </c>
      <c r="B20" s="30" t="str">
        <f ca="1">הגנה!C40</f>
        <v>משיב הרוח</v>
      </c>
      <c r="C20" s="15">
        <f ca="1">הגנה!AU40</f>
        <v>7.6422233853087163E-2</v>
      </c>
      <c r="D20" s="342">
        <v>2</v>
      </c>
      <c r="E20" s="342">
        <v>1</v>
      </c>
      <c r="F20" s="16">
        <f t="shared" ca="1" si="4"/>
        <v>0.5</v>
      </c>
      <c r="G20" s="16">
        <f t="shared" ca="1" si="3"/>
        <v>7.7950678530148906E-2</v>
      </c>
      <c r="H20" s="86">
        <f t="shared" ca="1" si="5"/>
        <v>7.6763016655306354E-2</v>
      </c>
      <c r="I20" s="49">
        <f t="shared" ca="1" si="6"/>
        <v>146380.47114223687</v>
      </c>
      <c r="J20">
        <f ca="1">IF(OR('תנאי סף'!AL20&lt;&gt;1,B20="",C20&lt;0,ISERR(C20/3)),0,1)</f>
        <v>1</v>
      </c>
    </row>
    <row r="21" spans="1:10" x14ac:dyDescent="0.2">
      <c r="A21" s="48">
        <f>'התחשיב הבסיסי'!A21</f>
        <v>11</v>
      </c>
      <c r="B21" s="30" t="str">
        <f ca="1">הגנה!C41</f>
        <v>עמדה (עמותת מונטן)</v>
      </c>
      <c r="C21" s="15">
        <f ca="1">הגנה!AU41</f>
        <v>2.2392799941743518E-2</v>
      </c>
      <c r="D21" s="342">
        <v>3</v>
      </c>
      <c r="E21" s="342">
        <v>0</v>
      </c>
      <c r="F21" s="16">
        <f t="shared" ca="1" si="4"/>
        <v>0</v>
      </c>
      <c r="G21" s="16">
        <f t="shared" ca="1" si="3"/>
        <v>2.2392799941743518E-2</v>
      </c>
      <c r="H21" s="86">
        <f t="shared" ca="1" si="5"/>
        <v>2.2051621708747134E-2</v>
      </c>
      <c r="I21" s="49">
        <f t="shared" ca="1" si="6"/>
        <v>42050.54615911383</v>
      </c>
      <c r="J21">
        <f ca="1">IF(OR('תנאי סף'!AL21&lt;&gt;1,B21="",C21&lt;0,ISERR(C21/3)),0,1)</f>
        <v>1</v>
      </c>
    </row>
    <row r="22" spans="1:10" x14ac:dyDescent="0.2">
      <c r="A22" s="48">
        <f>'התחשיב הבסיסי'!A22</f>
        <v>12</v>
      </c>
      <c r="B22" s="30" t="str">
        <f ca="1">הגנה!C42</f>
        <v>עתון 77 (אגודת סופרים ואמנים)</v>
      </c>
      <c r="C22" s="15">
        <f ca="1">הגנה!AU42</f>
        <v>7.0368067766060069E-2</v>
      </c>
      <c r="D22" s="342">
        <v>4</v>
      </c>
      <c r="E22" s="342">
        <v>1</v>
      </c>
      <c r="F22" s="16">
        <f t="shared" ca="1" si="4"/>
        <v>0.25</v>
      </c>
      <c r="G22" s="16">
        <f t="shared" ca="1" si="3"/>
        <v>7.0368067766060069E-2</v>
      </c>
      <c r="H22" s="86">
        <f t="shared" ca="1" si="5"/>
        <v>6.9295935067949399E-2</v>
      </c>
      <c r="I22" s="49">
        <f t="shared" ca="1" si="6"/>
        <v>132141.38872416367</v>
      </c>
      <c r="J22">
        <f ca="1">IF(OR('תנאי סף'!AL22&lt;&gt;1,B22="",C22&lt;0,ISERR(C22/3)),0,1)</f>
        <v>1</v>
      </c>
    </row>
    <row r="23" spans="1:10" x14ac:dyDescent="0.2">
      <c r="A23" s="48">
        <f>'התחשיב הבסיסי'!A23</f>
        <v>13</v>
      </c>
      <c r="B23" s="30" t="str">
        <f ca="1">הגנה!C43</f>
        <v/>
      </c>
      <c r="C23" s="15" t="str">
        <f ca="1">הגנה!AU43</f>
        <v/>
      </c>
      <c r="D23" s="342">
        <v>3</v>
      </c>
      <c r="E23" s="342">
        <v>1</v>
      </c>
      <c r="F23" s="16" t="str">
        <f t="shared" ca="1" si="4"/>
        <v/>
      </c>
      <c r="G23" s="16" t="str">
        <f t="shared" ca="1" si="3"/>
        <v/>
      </c>
      <c r="H23" s="86" t="str">
        <f t="shared" ca="1" si="5"/>
        <v/>
      </c>
      <c r="I23" s="49" t="str">
        <f t="shared" ca="1" si="6"/>
        <v/>
      </c>
      <c r="J23">
        <f ca="1">IF(OR('תנאי סף'!AL23&lt;&gt;1,B23="",C23&lt;0,ISERR(C23/3)),0,1)</f>
        <v>0</v>
      </c>
    </row>
    <row r="24" spans="1:10" x14ac:dyDescent="0.2">
      <c r="A24" s="48">
        <f>'התחשיב הבסיסי'!A24</f>
        <v>14</v>
      </c>
      <c r="B24" s="30" t="str">
        <f ca="1">הגנה!C44</f>
        <v>פסיפס</v>
      </c>
      <c r="C24" s="15">
        <f ca="1">הגנה!AU44</f>
        <v>1.9810264815710049E-2</v>
      </c>
      <c r="D24" s="342">
        <v>3</v>
      </c>
      <c r="E24" s="342">
        <v>1</v>
      </c>
      <c r="F24" s="16">
        <f t="shared" ca="1" si="4"/>
        <v>0.33333333333333331</v>
      </c>
      <c r="G24" s="16">
        <f t="shared" ca="1" si="3"/>
        <v>2.0206470112024252E-2</v>
      </c>
      <c r="H24" s="86">
        <f t="shared" ca="1" si="5"/>
        <v>1.9898602949996728E-2</v>
      </c>
      <c r="I24" s="49">
        <f t="shared" ca="1" si="6"/>
        <v>37944.924545790062</v>
      </c>
      <c r="J24">
        <f ca="1">IF(OR('תנאי סף'!AL24&lt;&gt;1,B24="",C24&lt;0,ISERR(C24/3)),0,1)</f>
        <v>1</v>
      </c>
    </row>
    <row r="25" spans="1:10" x14ac:dyDescent="0.2">
      <c r="A25" s="48">
        <f>'התחשיב הבסיסי'!A25</f>
        <v>15</v>
      </c>
      <c r="B25" s="30" t="str">
        <f ca="1">הגנה!C45</f>
        <v>קתרזיס ( עמותת מצרף)</v>
      </c>
      <c r="C25" s="15">
        <f ca="1">הגנה!AU45</f>
        <v>1.8281414232702509E-2</v>
      </c>
      <c r="D25" s="342">
        <v>2</v>
      </c>
      <c r="E25" s="342">
        <v>1</v>
      </c>
      <c r="F25" s="16">
        <f t="shared" ca="1" si="4"/>
        <v>0.5</v>
      </c>
      <c r="G25" s="16">
        <f t="shared" ca="1" si="3"/>
        <v>1.8647042517356559E-2</v>
      </c>
      <c r="H25" s="86">
        <f t="shared" ca="1" si="5"/>
        <v>1.8362934900924884E-2</v>
      </c>
      <c r="I25" s="49">
        <f t="shared" ca="1" si="6"/>
        <v>35016.537643662276</v>
      </c>
      <c r="J25">
        <f ca="1">IF(OR('תנאי סף'!AL25&lt;&gt;1,B25="",C25&lt;0,ISERR(C25/3)),0,1)</f>
        <v>1</v>
      </c>
    </row>
    <row r="26" spans="1:10" x14ac:dyDescent="0.2">
      <c r="A26" s="48">
        <f>'התחשיב הבסיסי'!A26</f>
        <v>16</v>
      </c>
      <c r="B26" s="30" t="str">
        <f ca="1">הגנה!C46</f>
        <v/>
      </c>
      <c r="C26" s="15" t="str">
        <f ca="1">הגנה!AU46</f>
        <v/>
      </c>
      <c r="D26" s="342"/>
      <c r="E26" s="342"/>
      <c r="F26" s="16" t="str">
        <f t="shared" ca="1" si="4"/>
        <v/>
      </c>
      <c r="G26" s="16" t="str">
        <f t="shared" ca="1" si="3"/>
        <v/>
      </c>
      <c r="H26" s="86" t="str">
        <f t="shared" ca="1" si="5"/>
        <v/>
      </c>
      <c r="I26" s="49" t="str">
        <f t="shared" ca="1" si="6"/>
        <v/>
      </c>
      <c r="J26">
        <f ca="1">IF(OR('תנאי סף'!AL26&lt;&gt;1,B26="",C26&lt;0,ISERR(C26/3)),0,1)</f>
        <v>0</v>
      </c>
    </row>
    <row r="27" spans="1:10" x14ac:dyDescent="0.2">
      <c r="A27" s="48">
        <f>'התחשיב הבסיסי'!A27</f>
        <v>17</v>
      </c>
      <c r="B27" s="30" t="str">
        <f ca="1">הגנה!C47</f>
        <v>הכיוון מזרח (עמותת אחותי)</v>
      </c>
      <c r="C27" s="15">
        <f ca="1">הגנה!AU47</f>
        <v>5.0488110505417988E-2</v>
      </c>
      <c r="D27" s="342">
        <v>8</v>
      </c>
      <c r="E27" s="342">
        <v>8</v>
      </c>
      <c r="F27" s="16">
        <f t="shared" ca="1" si="4"/>
        <v>1</v>
      </c>
      <c r="G27" s="16">
        <f t="shared" ca="1" si="3"/>
        <v>5.1497872715526347E-2</v>
      </c>
      <c r="H27" s="86">
        <f t="shared" ca="1" si="5"/>
        <v>5.071324760112058E-2</v>
      </c>
      <c r="I27" s="49">
        <f t="shared" ca="1" si="6"/>
        <v>96705.801836043247</v>
      </c>
      <c r="J27">
        <f ca="1">IF(OR('תנאי סף'!AL27&lt;&gt;1,B27="",C27&lt;0,ISERR(C27/3)),0,1)</f>
        <v>1</v>
      </c>
    </row>
    <row r="28" spans="1:10" x14ac:dyDescent="0.2">
      <c r="A28" s="48">
        <f>'התחשיב הבסיסי'!A28</f>
        <v>18</v>
      </c>
      <c r="B28" s="30" t="str">
        <f ca="1">הגנה!C48</f>
        <v/>
      </c>
      <c r="C28" s="15" t="str">
        <f ca="1">הגנה!AU48</f>
        <v/>
      </c>
      <c r="D28" s="342"/>
      <c r="E28" s="342"/>
      <c r="F28" s="16" t="str">
        <f t="shared" ca="1" si="4"/>
        <v/>
      </c>
      <c r="G28" s="16" t="str">
        <f t="shared" ca="1" si="3"/>
        <v/>
      </c>
      <c r="H28" s="86" t="str">
        <f t="shared" ca="1" si="5"/>
        <v/>
      </c>
      <c r="I28" s="49" t="str">
        <f t="shared" ca="1" si="6"/>
        <v/>
      </c>
      <c r="J28">
        <f ca="1">IF(OR('תנאי סף'!AL28&lt;&gt;1,B28="",C28&lt;0,ISERR(C28/3)),0,1)</f>
        <v>0</v>
      </c>
    </row>
    <row r="29" spans="1:10" x14ac:dyDescent="0.2">
      <c r="A29" s="48">
        <f>'התחשיב הבסיסי'!A29</f>
        <v>19</v>
      </c>
      <c r="B29" s="30" t="str">
        <f ca="1">הגנה!C49</f>
        <v>הו</v>
      </c>
      <c r="C29" s="15">
        <f ca="1">הגנה!AU49</f>
        <v>5.1452882567054381E-2</v>
      </c>
      <c r="D29" s="342">
        <v>2</v>
      </c>
      <c r="E29" s="342">
        <v>1</v>
      </c>
      <c r="F29" s="16">
        <f t="shared" ca="1" si="4"/>
        <v>0.5</v>
      </c>
      <c r="G29" s="16">
        <f t="shared" ca="1" si="3"/>
        <v>5.2481940218395466E-2</v>
      </c>
      <c r="H29" s="86">
        <f t="shared" ca="1" si="5"/>
        <v>5.1682321784143524E-2</v>
      </c>
      <c r="I29" s="49">
        <f t="shared" ca="1" si="6"/>
        <v>98553.742962688266</v>
      </c>
      <c r="J29">
        <f ca="1">IF(OR('תנאי סף'!AL29&lt;&gt;1,B29="",C29&lt;0,ISERR(C29/3)),0,1)</f>
        <v>1</v>
      </c>
    </row>
    <row r="30" spans="1:10" x14ac:dyDescent="0.2">
      <c r="A30" s="48">
        <f>'התחשיב הבסיסי'!A30</f>
        <v>20</v>
      </c>
      <c r="B30" s="30" t="str">
        <f ca="1">הגנה!C50</f>
        <v>הבא להבא (עמותת מקום לשירה)</v>
      </c>
      <c r="C30" s="15">
        <f ca="1">הגנה!AU50</f>
        <v>3.8999121618170506E-2</v>
      </c>
      <c r="D30" s="342">
        <v>3</v>
      </c>
      <c r="E30" s="342">
        <v>1</v>
      </c>
      <c r="F30" s="16">
        <f t="shared" ca="1" si="4"/>
        <v>0.33333333333333331</v>
      </c>
      <c r="G30" s="16">
        <f t="shared" ca="1" si="3"/>
        <v>3.9779104050533913E-2</v>
      </c>
      <c r="H30" s="86">
        <f t="shared" ca="1" si="5"/>
        <v>3.9173026897813025E-2</v>
      </c>
      <c r="I30" s="49">
        <f t="shared" ca="1" si="6"/>
        <v>74699.593413816227</v>
      </c>
      <c r="J30">
        <f ca="1">IF(OR('תנאי סף'!AL30&lt;&gt;1,B30="",C30&lt;0,ISERR(C30/3)),0,1)</f>
        <v>1</v>
      </c>
    </row>
    <row r="31" spans="1:10" x14ac:dyDescent="0.2">
      <c r="A31" s="48">
        <f>'התחשיב הבסיסי'!A31</f>
        <v>21</v>
      </c>
      <c r="B31" s="30" t="str">
        <f ca="1">הגנה!C51</f>
        <v>היסטוריה (החברה ההיסטורית הישרא</v>
      </c>
      <c r="C31" s="15">
        <f ca="1">הגנה!AU51</f>
        <v>2.6363878930589172E-2</v>
      </c>
      <c r="D31" s="342">
        <v>13</v>
      </c>
      <c r="E31" s="342">
        <v>4</v>
      </c>
      <c r="F31" s="16">
        <f t="shared" ca="1" si="4"/>
        <v>0.30769230769230771</v>
      </c>
      <c r="G31" s="16">
        <f t="shared" ca="1" si="3"/>
        <v>2.6891156509200955E-2</v>
      </c>
      <c r="H31" s="86">
        <f t="shared" ca="1" si="5"/>
        <v>2.6481441007570657E-2</v>
      </c>
      <c r="I31" s="49">
        <f t="shared" ca="1" si="6"/>
        <v>50497.83059751059</v>
      </c>
      <c r="J31">
        <f ca="1">IF(OR('תנאי סף'!AL31&lt;&gt;1,B31="",C31&lt;0,ISERR(C31/3)),0,1)</f>
        <v>1</v>
      </c>
    </row>
    <row r="32" spans="1:10" x14ac:dyDescent="0.2">
      <c r="A32" s="48">
        <f>'התחשיב הבסיסי'!A32</f>
        <v>22</v>
      </c>
      <c r="B32" s="30" t="str">
        <f ca="1">הגנה!C52</f>
        <v>מחול עכשיו (תמונע)</v>
      </c>
      <c r="C32" s="15">
        <f ca="1">הגנה!AU52</f>
        <v>3.2753936841008684E-2</v>
      </c>
      <c r="D32" s="342">
        <v>7</v>
      </c>
      <c r="E32" s="342">
        <v>3</v>
      </c>
      <c r="F32" s="16">
        <f t="shared" ca="1" si="4"/>
        <v>0.42857142857142855</v>
      </c>
      <c r="G32" s="16">
        <f t="shared" ca="1" si="3"/>
        <v>3.3409015577828861E-2</v>
      </c>
      <c r="H32" s="86">
        <f t="shared" ca="1" si="5"/>
        <v>3.28999935291951E-2</v>
      </c>
      <c r="I32" s="49">
        <f t="shared" ca="1" si="6"/>
        <v>62737.458260731546</v>
      </c>
      <c r="J32">
        <f ca="1">IF(OR('תנאי סף'!AL32&lt;&gt;1,B32="",C32&lt;0,ISERR(C32/3)),0,1)</f>
        <v>1</v>
      </c>
    </row>
    <row r="33" spans="1:10" x14ac:dyDescent="0.2">
      <c r="A33" s="48">
        <f>'התחשיב הבסיסי'!A33</f>
        <v>23</v>
      </c>
      <c r="B33" s="30" t="str">
        <f ca="1">הגנה!C53</f>
        <v>קול אישה שירה (תואר)</v>
      </c>
      <c r="C33" s="15">
        <f ca="1">הגנה!AU53</f>
        <v>4.4520928664377887E-2</v>
      </c>
      <c r="D33" s="342">
        <v>6</v>
      </c>
      <c r="E33" s="342">
        <v>4</v>
      </c>
      <c r="F33" s="16">
        <f t="shared" ca="1" si="4"/>
        <v>0.66666666666666663</v>
      </c>
      <c r="G33" s="16">
        <f t="shared" ca="1" si="3"/>
        <v>4.5411347237665448E-2</v>
      </c>
      <c r="H33" s="86">
        <f t="shared" ca="1" si="5"/>
        <v>4.4719456842143721E-2</v>
      </c>
      <c r="I33" s="49">
        <f t="shared" ca="1" si="6"/>
        <v>85276.158324679651</v>
      </c>
      <c r="J33">
        <f ca="1">IF(OR('תנאי סף'!AL33&lt;&gt;1,B33="",C33&lt;0,ISERR(C33/3)),0,1)</f>
        <v>1</v>
      </c>
    </row>
    <row r="34" spans="1:10" x14ac:dyDescent="0.2">
      <c r="A34" s="48">
        <f>'התחשיב הבסיסי'!A34</f>
        <v>24</v>
      </c>
      <c r="B34" s="30" t="str">
        <f ca="1">הגנה!C54</f>
        <v>האיגוד העולמי למדעי היהדות</v>
      </c>
      <c r="C34" s="15">
        <f ca="1">הגנה!AU54</f>
        <v>3.384222554199004E-2</v>
      </c>
      <c r="D34" s="342">
        <v>10</v>
      </c>
      <c r="E34" s="342">
        <v>2</v>
      </c>
      <c r="F34" s="16">
        <f t="shared" ca="1" si="4"/>
        <v>0.2</v>
      </c>
      <c r="G34" s="16">
        <f t="shared" ca="1" si="3"/>
        <v>3.384222554199004E-2</v>
      </c>
      <c r="H34" s="86">
        <f t="shared" ca="1" si="5"/>
        <v>3.3326603076683357E-2</v>
      </c>
      <c r="I34" s="49">
        <f t="shared" ca="1" si="6"/>
        <v>63550.965979370565</v>
      </c>
      <c r="J34">
        <f ca="1">IF(OR('תנאי סף'!AL34&lt;&gt;1,B34="",C34&lt;0,ISERR(C34/3)),0,1)</f>
        <v>1</v>
      </c>
    </row>
    <row r="35" spans="1:10" x14ac:dyDescent="0.2">
      <c r="A35" s="48">
        <f>'התחשיב הבסיסי'!A35</f>
        <v>25</v>
      </c>
      <c r="B35" s="30" t="str">
        <f ca="1">הגנה!C55</f>
        <v/>
      </c>
      <c r="C35" s="15" t="str">
        <f ca="1">הגנה!AU55</f>
        <v/>
      </c>
      <c r="D35" s="342"/>
      <c r="E35" s="342"/>
      <c r="F35" s="16" t="str">
        <f t="shared" ca="1" si="4"/>
        <v/>
      </c>
      <c r="G35" s="16" t="str">
        <f t="shared" ca="1" si="3"/>
        <v/>
      </c>
      <c r="H35" s="86" t="str">
        <f t="shared" ca="1" si="5"/>
        <v/>
      </c>
      <c r="I35" s="49" t="str">
        <f t="shared" ca="1" si="6"/>
        <v/>
      </c>
      <c r="J35">
        <f ca="1">IF(OR('תנאי סף'!AL35&lt;&gt;1,B35="",C35&lt;0,ISERR(C35/3)),0,1)</f>
        <v>0</v>
      </c>
    </row>
    <row r="36" spans="1:10" x14ac:dyDescent="0.2">
      <c r="A36" s="48">
        <f>'התחשיב הבסיסי'!A36</f>
        <v>26</v>
      </c>
      <c r="B36" s="30" t="str">
        <f ca="1">הגנה!C56</f>
        <v/>
      </c>
      <c r="C36" s="15" t="str">
        <f ca="1">הגנה!AU56</f>
        <v/>
      </c>
      <c r="D36" s="342"/>
      <c r="E36" s="342"/>
      <c r="F36" s="16" t="str">
        <f t="shared" ca="1" si="4"/>
        <v/>
      </c>
      <c r="G36" s="16" t="str">
        <f t="shared" ca="1" si="3"/>
        <v/>
      </c>
      <c r="H36" s="86" t="str">
        <f t="shared" ca="1" si="5"/>
        <v/>
      </c>
      <c r="I36" s="49" t="str">
        <f t="shared" ca="1" si="6"/>
        <v/>
      </c>
      <c r="J36">
        <f ca="1">IF(OR('תנאי סף'!AL36&lt;&gt;1,B36="",C36&lt;0,ISERR(C36/3)),0,1)</f>
        <v>0</v>
      </c>
    </row>
    <row r="37" spans="1:10" x14ac:dyDescent="0.2">
      <c r="A37" s="48">
        <f>'התחשיב הבסיסי'!A37</f>
        <v>27</v>
      </c>
      <c r="B37" s="30" t="str">
        <f ca="1">הגנה!C57</f>
        <v/>
      </c>
      <c r="C37" s="15" t="str">
        <f ca="1">הגנה!AU57</f>
        <v/>
      </c>
      <c r="D37" s="342"/>
      <c r="E37" s="342"/>
      <c r="F37" s="16" t="str">
        <f t="shared" ca="1" si="4"/>
        <v/>
      </c>
      <c r="G37" s="16" t="str">
        <f t="shared" ca="1" si="3"/>
        <v/>
      </c>
      <c r="H37" s="86" t="str">
        <f t="shared" ca="1" si="5"/>
        <v/>
      </c>
      <c r="I37" s="49" t="str">
        <f t="shared" ca="1" si="6"/>
        <v/>
      </c>
      <c r="J37">
        <f ca="1">IF(OR('תנאי סף'!AL37&lt;&gt;1,B37="",C37&lt;0,ISERR(C37/3)),0,1)</f>
        <v>0</v>
      </c>
    </row>
    <row r="38" spans="1:10" x14ac:dyDescent="0.2">
      <c r="A38" s="48">
        <f>'התחשיב הבסיסי'!A38</f>
        <v>28</v>
      </c>
      <c r="B38" s="30" t="str">
        <f ca="1">הגנה!C58</f>
        <v/>
      </c>
      <c r="C38" s="15" t="str">
        <f ca="1">הגנה!AU58</f>
        <v/>
      </c>
      <c r="D38" s="342"/>
      <c r="E38" s="342"/>
      <c r="F38" s="16" t="str">
        <f t="shared" ca="1" si="4"/>
        <v/>
      </c>
      <c r="G38" s="16" t="str">
        <f t="shared" ca="1" si="3"/>
        <v/>
      </c>
      <c r="H38" s="86" t="str">
        <f t="shared" ca="1" si="5"/>
        <v/>
      </c>
      <c r="I38" s="49" t="str">
        <f t="shared" ca="1" si="6"/>
        <v/>
      </c>
      <c r="J38">
        <f ca="1">IF(OR('תנאי סף'!AL38&lt;&gt;1,B38="",C38&lt;0,ISERR(C38/3)),0,1)</f>
        <v>0</v>
      </c>
    </row>
    <row r="39" spans="1:10" x14ac:dyDescent="0.2">
      <c r="A39" s="48">
        <f>'התחשיב הבסיסי'!A39</f>
        <v>29</v>
      </c>
      <c r="B39" s="30" t="str">
        <f ca="1">הגנה!C59</f>
        <v>גופא (נתיב האומן )</v>
      </c>
      <c r="C39" s="15">
        <f ca="1">הגנה!AU59</f>
        <v>2.3006633978589368E-2</v>
      </c>
      <c r="D39" s="342">
        <v>6</v>
      </c>
      <c r="E39" s="342">
        <v>3</v>
      </c>
      <c r="F39" s="16">
        <f t="shared" ca="1" si="4"/>
        <v>0.5</v>
      </c>
      <c r="G39" s="16">
        <f t="shared" ca="1" si="3"/>
        <v>2.3466766658161154E-2</v>
      </c>
      <c r="H39" s="86">
        <f t="shared" ca="1" si="5"/>
        <v>2.3109225394746174E-2</v>
      </c>
      <c r="I39" s="49">
        <f t="shared" ca="1" si="6"/>
        <v>44067.305434397007</v>
      </c>
      <c r="J39">
        <f ca="1">IF(OR('תנאי סף'!AL39&lt;&gt;1,B39="",C39&lt;0,ISERR(C39/3)),0,1)</f>
        <v>1</v>
      </c>
    </row>
    <row r="40" spans="1:10" x14ac:dyDescent="0.2">
      <c r="A40" s="48">
        <f>'התחשיב הבסיסי'!A40</f>
        <v>30</v>
      </c>
      <c r="B40" s="30" t="str">
        <f ca="1">הגנה!C60</f>
        <v>ערב רב (בר קיימא)</v>
      </c>
      <c r="C40" s="15">
        <f ca="1">הגנה!AU60</f>
        <v>3.3850555156023782E-2</v>
      </c>
      <c r="D40" s="342">
        <v>4</v>
      </c>
      <c r="E40" s="342">
        <v>2</v>
      </c>
      <c r="F40" s="16">
        <f t="shared" ca="1" si="4"/>
        <v>0.5</v>
      </c>
      <c r="G40" s="16">
        <f t="shared" ca="1" si="3"/>
        <v>3.4527566259144257E-2</v>
      </c>
      <c r="H40" s="86">
        <f t="shared" ca="1" si="5"/>
        <v>3.4001501895750352E-2</v>
      </c>
      <c r="I40" s="49">
        <f t="shared" ca="1" si="6"/>
        <v>64837.939986032885</v>
      </c>
      <c r="J40">
        <f ca="1">IF(OR('תנאי סף'!AL40&lt;&gt;1,B40="",C40&lt;0,ISERR(C40/3)),0,1)</f>
        <v>1</v>
      </c>
    </row>
    <row r="41" spans="1:10" x14ac:dyDescent="0.2">
      <c r="A41" s="48">
        <f>'התחשיב הבסיסי'!A41</f>
        <v>31</v>
      </c>
      <c r="B41" s="30" t="str">
        <f ca="1">הגנה!C61</f>
        <v/>
      </c>
      <c r="C41" s="15" t="str">
        <f ca="1">הגנה!AU61</f>
        <v/>
      </c>
      <c r="D41" s="342"/>
      <c r="E41" s="342"/>
      <c r="F41" s="16" t="str">
        <f t="shared" ref="F41:F50" ca="1" si="7">IF(B41="","",IFERROR(E41/D41,"בדוק נתוני הזנה"))</f>
        <v/>
      </c>
      <c r="G41" s="16" t="str">
        <f t="shared" ref="G41:G50" ca="1" si="8">IF(C41="","",IFERROR(IF(F41/1&gt;=30%,(1+$G$4)*C41,C41),C41))</f>
        <v/>
      </c>
      <c r="H41" s="86" t="str">
        <f t="shared" ref="H41:H50" ca="1" si="9">IF(OR(G41="",F41=""),"",G41/$G$51)</f>
        <v/>
      </c>
      <c r="I41" s="49" t="str">
        <f t="shared" ca="1" si="6"/>
        <v/>
      </c>
      <c r="J41">
        <f ca="1">IF(OR('תנאי סף'!AL41&lt;&gt;1,B41="",C41&lt;0,ISERR(C41/3)),0,1)</f>
        <v>0</v>
      </c>
    </row>
    <row r="42" spans="1:10" x14ac:dyDescent="0.2">
      <c r="A42" s="48">
        <f>'התחשיב הבסיסי'!A42</f>
        <v>32</v>
      </c>
      <c r="B42" s="30" t="str">
        <f ca="1">הגנה!C62</f>
        <v>מעלה</v>
      </c>
      <c r="C42" s="15">
        <f ca="1">הגנה!AU62</f>
        <v>6.1714812643207745E-2</v>
      </c>
      <c r="D42" s="342">
        <v>3</v>
      </c>
      <c r="E42" s="342">
        <v>1</v>
      </c>
      <c r="F42" s="16">
        <f t="shared" ca="1" si="7"/>
        <v>0.33333333333333331</v>
      </c>
      <c r="G42" s="16">
        <f t="shared" ca="1" si="8"/>
        <v>6.2949108896071901E-2</v>
      </c>
      <c r="H42" s="86">
        <f t="shared" ca="1" si="9"/>
        <v>6.1990011963230437E-2</v>
      </c>
      <c r="I42" s="49">
        <f t="shared" ca="1" si="6"/>
        <v>118209.6216728516</v>
      </c>
      <c r="J42">
        <f ca="1">IF(OR('תנאי סף'!AL42&lt;&gt;1,B42="",C42&lt;0,ISERR(C42/3)),0,1)</f>
        <v>1</v>
      </c>
    </row>
    <row r="43" spans="1:10" x14ac:dyDescent="0.2">
      <c r="A43" s="48">
        <f>'התחשיב הבסיסי'!A43</f>
        <v>33</v>
      </c>
      <c r="B43" s="30" t="str">
        <f ca="1">הגנה!C63</f>
        <v/>
      </c>
      <c r="C43" s="15" t="str">
        <f ca="1">הגנה!AU63</f>
        <v/>
      </c>
      <c r="D43" s="342"/>
      <c r="E43" s="342"/>
      <c r="F43" s="16" t="str">
        <f t="shared" ca="1" si="7"/>
        <v/>
      </c>
      <c r="G43" s="16" t="str">
        <f t="shared" ca="1" si="8"/>
        <v/>
      </c>
      <c r="H43" s="86" t="str">
        <f t="shared" ca="1" si="9"/>
        <v/>
      </c>
      <c r="I43" s="49" t="str">
        <f t="shared" ca="1" si="6"/>
        <v/>
      </c>
      <c r="J43">
        <f ca="1">IF(OR('תנאי סף'!AL43&lt;&gt;1,B43="",C43&lt;0,ISERR(C43/3)),0,1)</f>
        <v>0</v>
      </c>
    </row>
    <row r="44" spans="1:10" x14ac:dyDescent="0.2">
      <c r="A44" s="48">
        <f>'התחשיב הבסיסי'!A44</f>
        <v>34</v>
      </c>
      <c r="B44" s="30" t="str">
        <f ca="1">הגנה!C64</f>
        <v>כתב עת ירושלמי</v>
      </c>
      <c r="C44" s="15">
        <f ca="1">הגנה!AU64</f>
        <v>3.1368546237914061E-2</v>
      </c>
      <c r="D44" s="342">
        <v>3</v>
      </c>
      <c r="E44" s="342">
        <v>0</v>
      </c>
      <c r="F44" s="16">
        <f t="shared" ca="1" si="7"/>
        <v>0</v>
      </c>
      <c r="G44" s="16">
        <f t="shared" ca="1" si="8"/>
        <v>3.1368546237914061E-2</v>
      </c>
      <c r="H44" s="86">
        <f t="shared" ca="1" si="9"/>
        <v>3.0890612919840413E-2</v>
      </c>
      <c r="I44" s="49">
        <f t="shared" ca="1" si="6"/>
        <v>58905.742245424561</v>
      </c>
      <c r="J44">
        <f ca="1">IF(OR('תנאי סף'!AL44&lt;&gt;1,B44="",C44&lt;0,ISERR(C44/3)),0,1)</f>
        <v>1</v>
      </c>
    </row>
    <row r="45" spans="1:10" x14ac:dyDescent="0.2">
      <c r="A45" s="48">
        <f>'התחשיב הבסיסי'!A45</f>
        <v>35</v>
      </c>
      <c r="B45" s="30" t="str">
        <f ca="1">הגנה!C65</f>
        <v/>
      </c>
      <c r="C45" s="15" t="str">
        <f ca="1">הגנה!AU65</f>
        <v/>
      </c>
      <c r="D45" s="342"/>
      <c r="E45" s="342"/>
      <c r="F45" s="16" t="str">
        <f t="shared" ca="1" si="7"/>
        <v/>
      </c>
      <c r="G45" s="16" t="str">
        <f t="shared" ca="1" si="8"/>
        <v/>
      </c>
      <c r="H45" s="86" t="str">
        <f t="shared" ca="1" si="9"/>
        <v/>
      </c>
      <c r="I45" s="49" t="str">
        <f t="shared" ca="1" si="6"/>
        <v/>
      </c>
      <c r="J45">
        <f ca="1">IF(OR('תנאי סף'!AL45&lt;&gt;1,B45="",C45&lt;0,ISERR(C45/3)),0,1)</f>
        <v>0</v>
      </c>
    </row>
    <row r="46" spans="1:10" x14ac:dyDescent="0.2">
      <c r="A46" s="48">
        <f>'התחשיב הבסיסי'!A46</f>
        <v>36</v>
      </c>
      <c r="B46" s="30" t="str">
        <f ca="1">הגנה!C66</f>
        <v>העמותה ליצירה פנטסטית- אוטופיה</v>
      </c>
      <c r="C46" s="15">
        <f ca="1">הגנה!AU66</f>
        <v>3.9409777847117786E-2</v>
      </c>
      <c r="D46" s="342">
        <v>8</v>
      </c>
      <c r="E46" s="342">
        <v>2</v>
      </c>
      <c r="F46" s="16">
        <f t="shared" ca="1" si="7"/>
        <v>0.25</v>
      </c>
      <c r="G46" s="16">
        <f t="shared" ca="1" si="8"/>
        <v>3.9409777847117786E-2</v>
      </c>
      <c r="H46" s="86">
        <f t="shared" ca="1" si="9"/>
        <v>3.8809327773717421E-2</v>
      </c>
      <c r="I46" s="49">
        <f t="shared" ca="1" si="6"/>
        <v>74006.050462290586</v>
      </c>
      <c r="J46">
        <f ca="1">IF(OR('תנאי סף'!AL46&lt;&gt;1,B46="",C46&lt;0,ISERR(C46/3)),0,1)</f>
        <v>1</v>
      </c>
    </row>
    <row r="47" spans="1:10" x14ac:dyDescent="0.2">
      <c r="A47" s="48">
        <f>'התחשיב הבסיסי'!A47</f>
        <v>37</v>
      </c>
      <c r="B47" s="30" t="str">
        <f ca="1">הגנה!C67</f>
        <v/>
      </c>
      <c r="C47" s="15" t="str">
        <f ca="1">הגנה!AU67</f>
        <v/>
      </c>
      <c r="D47" s="342"/>
      <c r="E47" s="342"/>
      <c r="F47" s="16" t="str">
        <f t="shared" ca="1" si="7"/>
        <v/>
      </c>
      <c r="G47" s="16" t="str">
        <f t="shared" ca="1" si="8"/>
        <v/>
      </c>
      <c r="H47" s="86" t="str">
        <f t="shared" ca="1" si="9"/>
        <v/>
      </c>
      <c r="I47" s="49" t="str">
        <f t="shared" ca="1" si="6"/>
        <v/>
      </c>
      <c r="J47">
        <f ca="1">IF(OR('תנאי סף'!AL47&lt;&gt;1,B47="",C47&lt;0,ISERR(C47/3)),0,1)</f>
        <v>0</v>
      </c>
    </row>
    <row r="48" spans="1:10" x14ac:dyDescent="0.2">
      <c r="A48" s="48">
        <f>'התחשיב הבסיסי'!A48</f>
        <v>38</v>
      </c>
      <c r="B48" s="30" t="str">
        <f ca="1">הגנה!C68</f>
        <v/>
      </c>
      <c r="C48" s="15" t="str">
        <f ca="1">הגנה!AU68</f>
        <v/>
      </c>
      <c r="D48" s="342"/>
      <c r="E48" s="342"/>
      <c r="F48" s="16" t="str">
        <f t="shared" ca="1" si="7"/>
        <v/>
      </c>
      <c r="G48" s="16" t="str">
        <f t="shared" ca="1" si="8"/>
        <v/>
      </c>
      <c r="H48" s="86" t="str">
        <f t="shared" ca="1" si="9"/>
        <v/>
      </c>
      <c r="I48" s="49" t="str">
        <f t="shared" ca="1" si="6"/>
        <v/>
      </c>
      <c r="J48">
        <f ca="1">IF(OR('תנאי סף'!AL48&lt;&gt;1,B48="",C48&lt;0,ISERR(C48/3)),0,1)</f>
        <v>0</v>
      </c>
    </row>
    <row r="49" spans="1:10" x14ac:dyDescent="0.2">
      <c r="A49" s="48">
        <f>'התחשיב הבסיסי'!A49</f>
        <v>39</v>
      </c>
      <c r="B49" s="30" t="str">
        <f ca="1">הגנה!C69</f>
        <v/>
      </c>
      <c r="C49" s="15" t="str">
        <f ca="1">הגנה!AU69</f>
        <v/>
      </c>
      <c r="D49" s="342"/>
      <c r="E49" s="342"/>
      <c r="F49" s="16" t="str">
        <f t="shared" ca="1" si="7"/>
        <v/>
      </c>
      <c r="G49" s="16" t="str">
        <f t="shared" ca="1" si="8"/>
        <v/>
      </c>
      <c r="H49" s="86" t="str">
        <f t="shared" ca="1" si="9"/>
        <v/>
      </c>
      <c r="I49" s="49" t="str">
        <f t="shared" ca="1" si="6"/>
        <v/>
      </c>
      <c r="J49">
        <f ca="1">IF(OR('תנאי סף'!AL49&lt;&gt;1,B49="",C49&lt;0,ISERR(C49/3)),0,1)</f>
        <v>0</v>
      </c>
    </row>
    <row r="50" spans="1:10" ht="13.5" thickBot="1" x14ac:dyDescent="0.25">
      <c r="A50" s="48">
        <f>'התחשיב הבסיסי'!A50</f>
        <v>40</v>
      </c>
      <c r="B50" s="30" t="str">
        <f ca="1">הגנה!C70</f>
        <v/>
      </c>
      <c r="C50" s="15" t="str">
        <f ca="1">הגנה!AU70</f>
        <v/>
      </c>
      <c r="D50" s="342"/>
      <c r="E50" s="342"/>
      <c r="F50" s="16" t="str">
        <f t="shared" ca="1" si="7"/>
        <v/>
      </c>
      <c r="G50" s="16" t="str">
        <f t="shared" ca="1" si="8"/>
        <v/>
      </c>
      <c r="H50" s="86" t="str">
        <f t="shared" ca="1" si="9"/>
        <v/>
      </c>
      <c r="I50" s="49" t="str">
        <f t="shared" ca="1" si="6"/>
        <v/>
      </c>
      <c r="J50">
        <f ca="1">IF(OR('תנאי סף'!AL50&lt;&gt;1,B50="",C50&lt;0,ISERR(C50/3)),0,1)</f>
        <v>0</v>
      </c>
    </row>
    <row r="51" spans="1:10" ht="14.25" thickTop="1" thickBot="1" x14ac:dyDescent="0.25">
      <c r="A51" s="629" t="s">
        <v>54</v>
      </c>
      <c r="B51" s="630"/>
      <c r="C51" s="348">
        <f ca="1">SUM(C11:C50)-SUMIF(B11:B50,"",C11:C50)</f>
        <v>1</v>
      </c>
      <c r="D51" s="460">
        <f>SUM(D11:D50)</f>
        <v>130</v>
      </c>
      <c r="E51" s="460">
        <f>SUM(E11:E50)</f>
        <v>57</v>
      </c>
      <c r="F51" s="11">
        <f>E51/D51</f>
        <v>0.43846153846153846</v>
      </c>
      <c r="G51" s="11">
        <f ca="1">SUM(G11:G50)</f>
        <v>1.0154717978343084</v>
      </c>
      <c r="H51" s="11">
        <f ca="1">SUM(H11:H50)</f>
        <v>1</v>
      </c>
      <c r="I51" s="12">
        <f ca="1">SUM(I11:I50)</f>
        <v>1906913.9999999998</v>
      </c>
    </row>
    <row r="52" spans="1:10" ht="13.5" thickTop="1" x14ac:dyDescent="0.2"/>
  </sheetData>
  <sheetProtection algorithmName="SHA-512" hashValue="IkcaOwfkS+5Bu+3XKoJKRqrIkX5oUywc0q6y/f2t//4rKtaUN/ZFS1ADBnbaE/YN5TTX4ryZy6hzms/KLqStcw==" saltValue="6jvfGoM95uenM9MV98IM5Q==" spinCount="100000" sheet="1" scenarios="1" formatColumns="0" formatRows="0"/>
  <mergeCells count="4">
    <mergeCell ref="A9:H9"/>
    <mergeCell ref="A51:B51"/>
    <mergeCell ref="F2:G2"/>
    <mergeCell ref="F3:G3"/>
  </mergeCells>
  <dataValidations count="1">
    <dataValidation type="custom" errorStyle="warning" operator="greaterThanOrEqual" allowBlank="1" showInputMessage="1" showErrorMessage="1" errorTitle="נתון לא חוקי" error="יש לוודא כי הוזן שם כתב העת_x000a__x000a_יש להזין סכום שאינו שלילי" sqref="D11:E50" xr:uid="{00000000-0002-0000-0F00-000001000000}">
      <formula1>K11</formula1>
    </dataValidation>
  </dataValidations>
  <pageMargins left="0.27559055118110237" right="0.19685039370078741" top="0.51181102362204722" bottom="0.39370078740157483" header="0.15748031496062992" footer="0.19685039370078741"/>
  <pageSetup paperSize="9" scale="70" orientation="landscape" horizontalDpi="1200"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&amp;L&amp;"Arial,מודגש"&amp;12א. חפץ ושות'
יעוץ כלכלי&amp;Cעמוד &amp;P מתוך &amp;N&amp;R&amp;A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גיליון5">
    <tabColor indexed="44"/>
    <pageSetUpPr fitToPage="1"/>
  </sheetPr>
  <dimension ref="A1:U49"/>
  <sheetViews>
    <sheetView rightToLeft="1" view="pageBreakPreview" zoomScale="91" zoomScaleNormal="100" zoomScaleSheetLayoutView="91" workbookViewId="0">
      <selection activeCell="C8" sqref="C8:C47"/>
    </sheetView>
  </sheetViews>
  <sheetFormatPr defaultRowHeight="12.75" outlineLevelRow="1" x14ac:dyDescent="0.2"/>
  <cols>
    <col min="1" max="1" width="7.85546875" style="221" customWidth="1"/>
    <col min="2" max="2" width="35.7109375" style="221" bestFit="1" customWidth="1"/>
    <col min="3" max="3" width="10.28515625" style="221" customWidth="1"/>
    <col min="4" max="4" width="19.7109375" style="221" bestFit="1" customWidth="1"/>
    <col min="5" max="5" width="18.140625" style="221" customWidth="1"/>
    <col min="6" max="6" width="18.42578125" style="221" bestFit="1" customWidth="1"/>
    <col min="7" max="8" width="14.140625" style="221" customWidth="1"/>
    <col min="9" max="9" width="18.140625" style="221" customWidth="1"/>
    <col min="10" max="10" width="19.140625" style="221" customWidth="1"/>
    <col min="11" max="11" width="16.5703125" style="221" customWidth="1"/>
    <col min="12" max="12" width="10.5703125" style="221" customWidth="1"/>
    <col min="13" max="13" width="13.28515625" style="221" customWidth="1"/>
    <col min="14" max="14" width="13.5703125" style="221" customWidth="1"/>
    <col min="15" max="15" width="14" style="221" customWidth="1"/>
    <col min="16" max="16" width="15.28515625" style="221" customWidth="1"/>
    <col min="17" max="19" width="2.42578125" style="221" hidden="1" customWidth="1"/>
    <col min="20" max="20" width="9.5703125" style="221" bestFit="1" customWidth="1"/>
    <col min="21" max="21" width="9.7109375" style="221" bestFit="1" customWidth="1"/>
    <col min="22" max="256" width="9.140625" style="221"/>
    <col min="257" max="257" width="7.85546875" style="221" customWidth="1"/>
    <col min="258" max="258" width="23.140625" style="221" customWidth="1"/>
    <col min="259" max="259" width="10.28515625" style="221" customWidth="1"/>
    <col min="260" max="260" width="19.7109375" style="221" bestFit="1" customWidth="1"/>
    <col min="261" max="261" width="18.140625" style="221" customWidth="1"/>
    <col min="262" max="264" width="14.140625" style="221" customWidth="1"/>
    <col min="265" max="265" width="18.140625" style="221" customWidth="1"/>
    <col min="266" max="266" width="19.140625" style="221" customWidth="1"/>
    <col min="267" max="267" width="16.5703125" style="221" customWidth="1"/>
    <col min="268" max="268" width="10.5703125" style="221" customWidth="1"/>
    <col min="269" max="269" width="13.28515625" style="221" customWidth="1"/>
    <col min="270" max="270" width="13.5703125" style="221" customWidth="1"/>
    <col min="271" max="271" width="14" style="221" customWidth="1"/>
    <col min="272" max="272" width="15.28515625" style="221" customWidth="1"/>
    <col min="273" max="275" width="0" style="221" hidden="1" customWidth="1"/>
    <col min="276" max="276" width="9.5703125" style="221" bestFit="1" customWidth="1"/>
    <col min="277" max="277" width="9.7109375" style="221" bestFit="1" customWidth="1"/>
    <col min="278" max="512" width="9.140625" style="221"/>
    <col min="513" max="513" width="7.85546875" style="221" customWidth="1"/>
    <col min="514" max="514" width="23.140625" style="221" customWidth="1"/>
    <col min="515" max="515" width="10.28515625" style="221" customWidth="1"/>
    <col min="516" max="516" width="19.7109375" style="221" bestFit="1" customWidth="1"/>
    <col min="517" max="517" width="18.140625" style="221" customWidth="1"/>
    <col min="518" max="520" width="14.140625" style="221" customWidth="1"/>
    <col min="521" max="521" width="18.140625" style="221" customWidth="1"/>
    <col min="522" max="522" width="19.140625" style="221" customWidth="1"/>
    <col min="523" max="523" width="16.5703125" style="221" customWidth="1"/>
    <col min="524" max="524" width="10.5703125" style="221" customWidth="1"/>
    <col min="525" max="525" width="13.28515625" style="221" customWidth="1"/>
    <col min="526" max="526" width="13.5703125" style="221" customWidth="1"/>
    <col min="527" max="527" width="14" style="221" customWidth="1"/>
    <col min="528" max="528" width="15.28515625" style="221" customWidth="1"/>
    <col min="529" max="531" width="0" style="221" hidden="1" customWidth="1"/>
    <col min="532" max="532" width="9.5703125" style="221" bestFit="1" customWidth="1"/>
    <col min="533" max="533" width="9.7109375" style="221" bestFit="1" customWidth="1"/>
    <col min="534" max="768" width="9.140625" style="221"/>
    <col min="769" max="769" width="7.85546875" style="221" customWidth="1"/>
    <col min="770" max="770" width="23.140625" style="221" customWidth="1"/>
    <col min="771" max="771" width="10.28515625" style="221" customWidth="1"/>
    <col min="772" max="772" width="19.7109375" style="221" bestFit="1" customWidth="1"/>
    <col min="773" max="773" width="18.140625" style="221" customWidth="1"/>
    <col min="774" max="776" width="14.140625" style="221" customWidth="1"/>
    <col min="777" max="777" width="18.140625" style="221" customWidth="1"/>
    <col min="778" max="778" width="19.140625" style="221" customWidth="1"/>
    <col min="779" max="779" width="16.5703125" style="221" customWidth="1"/>
    <col min="780" max="780" width="10.5703125" style="221" customWidth="1"/>
    <col min="781" max="781" width="13.28515625" style="221" customWidth="1"/>
    <col min="782" max="782" width="13.5703125" style="221" customWidth="1"/>
    <col min="783" max="783" width="14" style="221" customWidth="1"/>
    <col min="784" max="784" width="15.28515625" style="221" customWidth="1"/>
    <col min="785" max="787" width="0" style="221" hidden="1" customWidth="1"/>
    <col min="788" max="788" width="9.5703125" style="221" bestFit="1" customWidth="1"/>
    <col min="789" max="789" width="9.7109375" style="221" bestFit="1" customWidth="1"/>
    <col min="790" max="1024" width="9.140625" style="221"/>
    <col min="1025" max="1025" width="7.85546875" style="221" customWidth="1"/>
    <col min="1026" max="1026" width="23.140625" style="221" customWidth="1"/>
    <col min="1027" max="1027" width="10.28515625" style="221" customWidth="1"/>
    <col min="1028" max="1028" width="19.7109375" style="221" bestFit="1" customWidth="1"/>
    <col min="1029" max="1029" width="18.140625" style="221" customWidth="1"/>
    <col min="1030" max="1032" width="14.140625" style="221" customWidth="1"/>
    <col min="1033" max="1033" width="18.140625" style="221" customWidth="1"/>
    <col min="1034" max="1034" width="19.140625" style="221" customWidth="1"/>
    <col min="1035" max="1035" width="16.5703125" style="221" customWidth="1"/>
    <col min="1036" max="1036" width="10.5703125" style="221" customWidth="1"/>
    <col min="1037" max="1037" width="13.28515625" style="221" customWidth="1"/>
    <col min="1038" max="1038" width="13.5703125" style="221" customWidth="1"/>
    <col min="1039" max="1039" width="14" style="221" customWidth="1"/>
    <col min="1040" max="1040" width="15.28515625" style="221" customWidth="1"/>
    <col min="1041" max="1043" width="0" style="221" hidden="1" customWidth="1"/>
    <col min="1044" max="1044" width="9.5703125" style="221" bestFit="1" customWidth="1"/>
    <col min="1045" max="1045" width="9.7109375" style="221" bestFit="1" customWidth="1"/>
    <col min="1046" max="1280" width="9.140625" style="221"/>
    <col min="1281" max="1281" width="7.85546875" style="221" customWidth="1"/>
    <col min="1282" max="1282" width="23.140625" style="221" customWidth="1"/>
    <col min="1283" max="1283" width="10.28515625" style="221" customWidth="1"/>
    <col min="1284" max="1284" width="19.7109375" style="221" bestFit="1" customWidth="1"/>
    <col min="1285" max="1285" width="18.140625" style="221" customWidth="1"/>
    <col min="1286" max="1288" width="14.140625" style="221" customWidth="1"/>
    <col min="1289" max="1289" width="18.140625" style="221" customWidth="1"/>
    <col min="1290" max="1290" width="19.140625" style="221" customWidth="1"/>
    <col min="1291" max="1291" width="16.5703125" style="221" customWidth="1"/>
    <col min="1292" max="1292" width="10.5703125" style="221" customWidth="1"/>
    <col min="1293" max="1293" width="13.28515625" style="221" customWidth="1"/>
    <col min="1294" max="1294" width="13.5703125" style="221" customWidth="1"/>
    <col min="1295" max="1295" width="14" style="221" customWidth="1"/>
    <col min="1296" max="1296" width="15.28515625" style="221" customWidth="1"/>
    <col min="1297" max="1299" width="0" style="221" hidden="1" customWidth="1"/>
    <col min="1300" max="1300" width="9.5703125" style="221" bestFit="1" customWidth="1"/>
    <col min="1301" max="1301" width="9.7109375" style="221" bestFit="1" customWidth="1"/>
    <col min="1302" max="1536" width="9.140625" style="221"/>
    <col min="1537" max="1537" width="7.85546875" style="221" customWidth="1"/>
    <col min="1538" max="1538" width="23.140625" style="221" customWidth="1"/>
    <col min="1539" max="1539" width="10.28515625" style="221" customWidth="1"/>
    <col min="1540" max="1540" width="19.7109375" style="221" bestFit="1" customWidth="1"/>
    <col min="1541" max="1541" width="18.140625" style="221" customWidth="1"/>
    <col min="1542" max="1544" width="14.140625" style="221" customWidth="1"/>
    <col min="1545" max="1545" width="18.140625" style="221" customWidth="1"/>
    <col min="1546" max="1546" width="19.140625" style="221" customWidth="1"/>
    <col min="1547" max="1547" width="16.5703125" style="221" customWidth="1"/>
    <col min="1548" max="1548" width="10.5703125" style="221" customWidth="1"/>
    <col min="1549" max="1549" width="13.28515625" style="221" customWidth="1"/>
    <col min="1550" max="1550" width="13.5703125" style="221" customWidth="1"/>
    <col min="1551" max="1551" width="14" style="221" customWidth="1"/>
    <col min="1552" max="1552" width="15.28515625" style="221" customWidth="1"/>
    <col min="1553" max="1555" width="0" style="221" hidden="1" customWidth="1"/>
    <col min="1556" max="1556" width="9.5703125" style="221" bestFit="1" customWidth="1"/>
    <col min="1557" max="1557" width="9.7109375" style="221" bestFit="1" customWidth="1"/>
    <col min="1558" max="1792" width="9.140625" style="221"/>
    <col min="1793" max="1793" width="7.85546875" style="221" customWidth="1"/>
    <col min="1794" max="1794" width="23.140625" style="221" customWidth="1"/>
    <col min="1795" max="1795" width="10.28515625" style="221" customWidth="1"/>
    <col min="1796" max="1796" width="19.7109375" style="221" bestFit="1" customWidth="1"/>
    <col min="1797" max="1797" width="18.140625" style="221" customWidth="1"/>
    <col min="1798" max="1800" width="14.140625" style="221" customWidth="1"/>
    <col min="1801" max="1801" width="18.140625" style="221" customWidth="1"/>
    <col min="1802" max="1802" width="19.140625" style="221" customWidth="1"/>
    <col min="1803" max="1803" width="16.5703125" style="221" customWidth="1"/>
    <col min="1804" max="1804" width="10.5703125" style="221" customWidth="1"/>
    <col min="1805" max="1805" width="13.28515625" style="221" customWidth="1"/>
    <col min="1806" max="1806" width="13.5703125" style="221" customWidth="1"/>
    <col min="1807" max="1807" width="14" style="221" customWidth="1"/>
    <col min="1808" max="1808" width="15.28515625" style="221" customWidth="1"/>
    <col min="1809" max="1811" width="0" style="221" hidden="1" customWidth="1"/>
    <col min="1812" max="1812" width="9.5703125" style="221" bestFit="1" customWidth="1"/>
    <col min="1813" max="1813" width="9.7109375" style="221" bestFit="1" customWidth="1"/>
    <col min="1814" max="2048" width="9.140625" style="221"/>
    <col min="2049" max="2049" width="7.85546875" style="221" customWidth="1"/>
    <col min="2050" max="2050" width="23.140625" style="221" customWidth="1"/>
    <col min="2051" max="2051" width="10.28515625" style="221" customWidth="1"/>
    <col min="2052" max="2052" width="19.7109375" style="221" bestFit="1" customWidth="1"/>
    <col min="2053" max="2053" width="18.140625" style="221" customWidth="1"/>
    <col min="2054" max="2056" width="14.140625" style="221" customWidth="1"/>
    <col min="2057" max="2057" width="18.140625" style="221" customWidth="1"/>
    <col min="2058" max="2058" width="19.140625" style="221" customWidth="1"/>
    <col min="2059" max="2059" width="16.5703125" style="221" customWidth="1"/>
    <col min="2060" max="2060" width="10.5703125" style="221" customWidth="1"/>
    <col min="2061" max="2061" width="13.28515625" style="221" customWidth="1"/>
    <col min="2062" max="2062" width="13.5703125" style="221" customWidth="1"/>
    <col min="2063" max="2063" width="14" style="221" customWidth="1"/>
    <col min="2064" max="2064" width="15.28515625" style="221" customWidth="1"/>
    <col min="2065" max="2067" width="0" style="221" hidden="1" customWidth="1"/>
    <col min="2068" max="2068" width="9.5703125" style="221" bestFit="1" customWidth="1"/>
    <col min="2069" max="2069" width="9.7109375" style="221" bestFit="1" customWidth="1"/>
    <col min="2070" max="2304" width="9.140625" style="221"/>
    <col min="2305" max="2305" width="7.85546875" style="221" customWidth="1"/>
    <col min="2306" max="2306" width="23.140625" style="221" customWidth="1"/>
    <col min="2307" max="2307" width="10.28515625" style="221" customWidth="1"/>
    <col min="2308" max="2308" width="19.7109375" style="221" bestFit="1" customWidth="1"/>
    <col min="2309" max="2309" width="18.140625" style="221" customWidth="1"/>
    <col min="2310" max="2312" width="14.140625" style="221" customWidth="1"/>
    <col min="2313" max="2313" width="18.140625" style="221" customWidth="1"/>
    <col min="2314" max="2314" width="19.140625" style="221" customWidth="1"/>
    <col min="2315" max="2315" width="16.5703125" style="221" customWidth="1"/>
    <col min="2316" max="2316" width="10.5703125" style="221" customWidth="1"/>
    <col min="2317" max="2317" width="13.28515625" style="221" customWidth="1"/>
    <col min="2318" max="2318" width="13.5703125" style="221" customWidth="1"/>
    <col min="2319" max="2319" width="14" style="221" customWidth="1"/>
    <col min="2320" max="2320" width="15.28515625" style="221" customWidth="1"/>
    <col min="2321" max="2323" width="0" style="221" hidden="1" customWidth="1"/>
    <col min="2324" max="2324" width="9.5703125" style="221" bestFit="1" customWidth="1"/>
    <col min="2325" max="2325" width="9.7109375" style="221" bestFit="1" customWidth="1"/>
    <col min="2326" max="2560" width="9.140625" style="221"/>
    <col min="2561" max="2561" width="7.85546875" style="221" customWidth="1"/>
    <col min="2562" max="2562" width="23.140625" style="221" customWidth="1"/>
    <col min="2563" max="2563" width="10.28515625" style="221" customWidth="1"/>
    <col min="2564" max="2564" width="19.7109375" style="221" bestFit="1" customWidth="1"/>
    <col min="2565" max="2565" width="18.140625" style="221" customWidth="1"/>
    <col min="2566" max="2568" width="14.140625" style="221" customWidth="1"/>
    <col min="2569" max="2569" width="18.140625" style="221" customWidth="1"/>
    <col min="2570" max="2570" width="19.140625" style="221" customWidth="1"/>
    <col min="2571" max="2571" width="16.5703125" style="221" customWidth="1"/>
    <col min="2572" max="2572" width="10.5703125" style="221" customWidth="1"/>
    <col min="2573" max="2573" width="13.28515625" style="221" customWidth="1"/>
    <col min="2574" max="2574" width="13.5703125" style="221" customWidth="1"/>
    <col min="2575" max="2575" width="14" style="221" customWidth="1"/>
    <col min="2576" max="2576" width="15.28515625" style="221" customWidth="1"/>
    <col min="2577" max="2579" width="0" style="221" hidden="1" customWidth="1"/>
    <col min="2580" max="2580" width="9.5703125" style="221" bestFit="1" customWidth="1"/>
    <col min="2581" max="2581" width="9.7109375" style="221" bestFit="1" customWidth="1"/>
    <col min="2582" max="2816" width="9.140625" style="221"/>
    <col min="2817" max="2817" width="7.85546875" style="221" customWidth="1"/>
    <col min="2818" max="2818" width="23.140625" style="221" customWidth="1"/>
    <col min="2819" max="2819" width="10.28515625" style="221" customWidth="1"/>
    <col min="2820" max="2820" width="19.7109375" style="221" bestFit="1" customWidth="1"/>
    <col min="2821" max="2821" width="18.140625" style="221" customWidth="1"/>
    <col min="2822" max="2824" width="14.140625" style="221" customWidth="1"/>
    <col min="2825" max="2825" width="18.140625" style="221" customWidth="1"/>
    <col min="2826" max="2826" width="19.140625" style="221" customWidth="1"/>
    <col min="2827" max="2827" width="16.5703125" style="221" customWidth="1"/>
    <col min="2828" max="2828" width="10.5703125" style="221" customWidth="1"/>
    <col min="2829" max="2829" width="13.28515625" style="221" customWidth="1"/>
    <col min="2830" max="2830" width="13.5703125" style="221" customWidth="1"/>
    <col min="2831" max="2831" width="14" style="221" customWidth="1"/>
    <col min="2832" max="2832" width="15.28515625" style="221" customWidth="1"/>
    <col min="2833" max="2835" width="0" style="221" hidden="1" customWidth="1"/>
    <col min="2836" max="2836" width="9.5703125" style="221" bestFit="1" customWidth="1"/>
    <col min="2837" max="2837" width="9.7109375" style="221" bestFit="1" customWidth="1"/>
    <col min="2838" max="3072" width="9.140625" style="221"/>
    <col min="3073" max="3073" width="7.85546875" style="221" customWidth="1"/>
    <col min="3074" max="3074" width="23.140625" style="221" customWidth="1"/>
    <col min="3075" max="3075" width="10.28515625" style="221" customWidth="1"/>
    <col min="3076" max="3076" width="19.7109375" style="221" bestFit="1" customWidth="1"/>
    <col min="3077" max="3077" width="18.140625" style="221" customWidth="1"/>
    <col min="3078" max="3080" width="14.140625" style="221" customWidth="1"/>
    <col min="3081" max="3081" width="18.140625" style="221" customWidth="1"/>
    <col min="3082" max="3082" width="19.140625" style="221" customWidth="1"/>
    <col min="3083" max="3083" width="16.5703125" style="221" customWidth="1"/>
    <col min="3084" max="3084" width="10.5703125" style="221" customWidth="1"/>
    <col min="3085" max="3085" width="13.28515625" style="221" customWidth="1"/>
    <col min="3086" max="3086" width="13.5703125" style="221" customWidth="1"/>
    <col min="3087" max="3087" width="14" style="221" customWidth="1"/>
    <col min="3088" max="3088" width="15.28515625" style="221" customWidth="1"/>
    <col min="3089" max="3091" width="0" style="221" hidden="1" customWidth="1"/>
    <col min="3092" max="3092" width="9.5703125" style="221" bestFit="1" customWidth="1"/>
    <col min="3093" max="3093" width="9.7109375" style="221" bestFit="1" customWidth="1"/>
    <col min="3094" max="3328" width="9.140625" style="221"/>
    <col min="3329" max="3329" width="7.85546875" style="221" customWidth="1"/>
    <col min="3330" max="3330" width="23.140625" style="221" customWidth="1"/>
    <col min="3331" max="3331" width="10.28515625" style="221" customWidth="1"/>
    <col min="3332" max="3332" width="19.7109375" style="221" bestFit="1" customWidth="1"/>
    <col min="3333" max="3333" width="18.140625" style="221" customWidth="1"/>
    <col min="3334" max="3336" width="14.140625" style="221" customWidth="1"/>
    <col min="3337" max="3337" width="18.140625" style="221" customWidth="1"/>
    <col min="3338" max="3338" width="19.140625" style="221" customWidth="1"/>
    <col min="3339" max="3339" width="16.5703125" style="221" customWidth="1"/>
    <col min="3340" max="3340" width="10.5703125" style="221" customWidth="1"/>
    <col min="3341" max="3341" width="13.28515625" style="221" customWidth="1"/>
    <col min="3342" max="3342" width="13.5703125" style="221" customWidth="1"/>
    <col min="3343" max="3343" width="14" style="221" customWidth="1"/>
    <col min="3344" max="3344" width="15.28515625" style="221" customWidth="1"/>
    <col min="3345" max="3347" width="0" style="221" hidden="1" customWidth="1"/>
    <col min="3348" max="3348" width="9.5703125" style="221" bestFit="1" customWidth="1"/>
    <col min="3349" max="3349" width="9.7109375" style="221" bestFit="1" customWidth="1"/>
    <col min="3350" max="3584" width="9.140625" style="221"/>
    <col min="3585" max="3585" width="7.85546875" style="221" customWidth="1"/>
    <col min="3586" max="3586" width="23.140625" style="221" customWidth="1"/>
    <col min="3587" max="3587" width="10.28515625" style="221" customWidth="1"/>
    <col min="3588" max="3588" width="19.7109375" style="221" bestFit="1" customWidth="1"/>
    <col min="3589" max="3589" width="18.140625" style="221" customWidth="1"/>
    <col min="3590" max="3592" width="14.140625" style="221" customWidth="1"/>
    <col min="3593" max="3593" width="18.140625" style="221" customWidth="1"/>
    <col min="3594" max="3594" width="19.140625" style="221" customWidth="1"/>
    <col min="3595" max="3595" width="16.5703125" style="221" customWidth="1"/>
    <col min="3596" max="3596" width="10.5703125" style="221" customWidth="1"/>
    <col min="3597" max="3597" width="13.28515625" style="221" customWidth="1"/>
    <col min="3598" max="3598" width="13.5703125" style="221" customWidth="1"/>
    <col min="3599" max="3599" width="14" style="221" customWidth="1"/>
    <col min="3600" max="3600" width="15.28515625" style="221" customWidth="1"/>
    <col min="3601" max="3603" width="0" style="221" hidden="1" customWidth="1"/>
    <col min="3604" max="3604" width="9.5703125" style="221" bestFit="1" customWidth="1"/>
    <col min="3605" max="3605" width="9.7109375" style="221" bestFit="1" customWidth="1"/>
    <col min="3606" max="3840" width="9.140625" style="221"/>
    <col min="3841" max="3841" width="7.85546875" style="221" customWidth="1"/>
    <col min="3842" max="3842" width="23.140625" style="221" customWidth="1"/>
    <col min="3843" max="3843" width="10.28515625" style="221" customWidth="1"/>
    <col min="3844" max="3844" width="19.7109375" style="221" bestFit="1" customWidth="1"/>
    <col min="3845" max="3845" width="18.140625" style="221" customWidth="1"/>
    <col min="3846" max="3848" width="14.140625" style="221" customWidth="1"/>
    <col min="3849" max="3849" width="18.140625" style="221" customWidth="1"/>
    <col min="3850" max="3850" width="19.140625" style="221" customWidth="1"/>
    <col min="3851" max="3851" width="16.5703125" style="221" customWidth="1"/>
    <col min="3852" max="3852" width="10.5703125" style="221" customWidth="1"/>
    <col min="3853" max="3853" width="13.28515625" style="221" customWidth="1"/>
    <col min="3854" max="3854" width="13.5703125" style="221" customWidth="1"/>
    <col min="3855" max="3855" width="14" style="221" customWidth="1"/>
    <col min="3856" max="3856" width="15.28515625" style="221" customWidth="1"/>
    <col min="3857" max="3859" width="0" style="221" hidden="1" customWidth="1"/>
    <col min="3860" max="3860" width="9.5703125" style="221" bestFit="1" customWidth="1"/>
    <col min="3861" max="3861" width="9.7109375" style="221" bestFit="1" customWidth="1"/>
    <col min="3862" max="4096" width="9.140625" style="221"/>
    <col min="4097" max="4097" width="7.85546875" style="221" customWidth="1"/>
    <col min="4098" max="4098" width="23.140625" style="221" customWidth="1"/>
    <col min="4099" max="4099" width="10.28515625" style="221" customWidth="1"/>
    <col min="4100" max="4100" width="19.7109375" style="221" bestFit="1" customWidth="1"/>
    <col min="4101" max="4101" width="18.140625" style="221" customWidth="1"/>
    <col min="4102" max="4104" width="14.140625" style="221" customWidth="1"/>
    <col min="4105" max="4105" width="18.140625" style="221" customWidth="1"/>
    <col min="4106" max="4106" width="19.140625" style="221" customWidth="1"/>
    <col min="4107" max="4107" width="16.5703125" style="221" customWidth="1"/>
    <col min="4108" max="4108" width="10.5703125" style="221" customWidth="1"/>
    <col min="4109" max="4109" width="13.28515625" style="221" customWidth="1"/>
    <col min="4110" max="4110" width="13.5703125" style="221" customWidth="1"/>
    <col min="4111" max="4111" width="14" style="221" customWidth="1"/>
    <col min="4112" max="4112" width="15.28515625" style="221" customWidth="1"/>
    <col min="4113" max="4115" width="0" style="221" hidden="1" customWidth="1"/>
    <col min="4116" max="4116" width="9.5703125" style="221" bestFit="1" customWidth="1"/>
    <col min="4117" max="4117" width="9.7109375" style="221" bestFit="1" customWidth="1"/>
    <col min="4118" max="4352" width="9.140625" style="221"/>
    <col min="4353" max="4353" width="7.85546875" style="221" customWidth="1"/>
    <col min="4354" max="4354" width="23.140625" style="221" customWidth="1"/>
    <col min="4355" max="4355" width="10.28515625" style="221" customWidth="1"/>
    <col min="4356" max="4356" width="19.7109375" style="221" bestFit="1" customWidth="1"/>
    <col min="4357" max="4357" width="18.140625" style="221" customWidth="1"/>
    <col min="4358" max="4360" width="14.140625" style="221" customWidth="1"/>
    <col min="4361" max="4361" width="18.140625" style="221" customWidth="1"/>
    <col min="4362" max="4362" width="19.140625" style="221" customWidth="1"/>
    <col min="4363" max="4363" width="16.5703125" style="221" customWidth="1"/>
    <col min="4364" max="4364" width="10.5703125" style="221" customWidth="1"/>
    <col min="4365" max="4365" width="13.28515625" style="221" customWidth="1"/>
    <col min="4366" max="4366" width="13.5703125" style="221" customWidth="1"/>
    <col min="4367" max="4367" width="14" style="221" customWidth="1"/>
    <col min="4368" max="4368" width="15.28515625" style="221" customWidth="1"/>
    <col min="4369" max="4371" width="0" style="221" hidden="1" customWidth="1"/>
    <col min="4372" max="4372" width="9.5703125" style="221" bestFit="1" customWidth="1"/>
    <col min="4373" max="4373" width="9.7109375" style="221" bestFit="1" customWidth="1"/>
    <col min="4374" max="4608" width="9.140625" style="221"/>
    <col min="4609" max="4609" width="7.85546875" style="221" customWidth="1"/>
    <col min="4610" max="4610" width="23.140625" style="221" customWidth="1"/>
    <col min="4611" max="4611" width="10.28515625" style="221" customWidth="1"/>
    <col min="4612" max="4612" width="19.7109375" style="221" bestFit="1" customWidth="1"/>
    <col min="4613" max="4613" width="18.140625" style="221" customWidth="1"/>
    <col min="4614" max="4616" width="14.140625" style="221" customWidth="1"/>
    <col min="4617" max="4617" width="18.140625" style="221" customWidth="1"/>
    <col min="4618" max="4618" width="19.140625" style="221" customWidth="1"/>
    <col min="4619" max="4619" width="16.5703125" style="221" customWidth="1"/>
    <col min="4620" max="4620" width="10.5703125" style="221" customWidth="1"/>
    <col min="4621" max="4621" width="13.28515625" style="221" customWidth="1"/>
    <col min="4622" max="4622" width="13.5703125" style="221" customWidth="1"/>
    <col min="4623" max="4623" width="14" style="221" customWidth="1"/>
    <col min="4624" max="4624" width="15.28515625" style="221" customWidth="1"/>
    <col min="4625" max="4627" width="0" style="221" hidden="1" customWidth="1"/>
    <col min="4628" max="4628" width="9.5703125" style="221" bestFit="1" customWidth="1"/>
    <col min="4629" max="4629" width="9.7109375" style="221" bestFit="1" customWidth="1"/>
    <col min="4630" max="4864" width="9.140625" style="221"/>
    <col min="4865" max="4865" width="7.85546875" style="221" customWidth="1"/>
    <col min="4866" max="4866" width="23.140625" style="221" customWidth="1"/>
    <col min="4867" max="4867" width="10.28515625" style="221" customWidth="1"/>
    <col min="4868" max="4868" width="19.7109375" style="221" bestFit="1" customWidth="1"/>
    <col min="4869" max="4869" width="18.140625" style="221" customWidth="1"/>
    <col min="4870" max="4872" width="14.140625" style="221" customWidth="1"/>
    <col min="4873" max="4873" width="18.140625" style="221" customWidth="1"/>
    <col min="4874" max="4874" width="19.140625" style="221" customWidth="1"/>
    <col min="4875" max="4875" width="16.5703125" style="221" customWidth="1"/>
    <col min="4876" max="4876" width="10.5703125" style="221" customWidth="1"/>
    <col min="4877" max="4877" width="13.28515625" style="221" customWidth="1"/>
    <col min="4878" max="4878" width="13.5703125" style="221" customWidth="1"/>
    <col min="4879" max="4879" width="14" style="221" customWidth="1"/>
    <col min="4880" max="4880" width="15.28515625" style="221" customWidth="1"/>
    <col min="4881" max="4883" width="0" style="221" hidden="1" customWidth="1"/>
    <col min="4884" max="4884" width="9.5703125" style="221" bestFit="1" customWidth="1"/>
    <col min="4885" max="4885" width="9.7109375" style="221" bestFit="1" customWidth="1"/>
    <col min="4886" max="5120" width="9.140625" style="221"/>
    <col min="5121" max="5121" width="7.85546875" style="221" customWidth="1"/>
    <col min="5122" max="5122" width="23.140625" style="221" customWidth="1"/>
    <col min="5123" max="5123" width="10.28515625" style="221" customWidth="1"/>
    <col min="5124" max="5124" width="19.7109375" style="221" bestFit="1" customWidth="1"/>
    <col min="5125" max="5125" width="18.140625" style="221" customWidth="1"/>
    <col min="5126" max="5128" width="14.140625" style="221" customWidth="1"/>
    <col min="5129" max="5129" width="18.140625" style="221" customWidth="1"/>
    <col min="5130" max="5130" width="19.140625" style="221" customWidth="1"/>
    <col min="5131" max="5131" width="16.5703125" style="221" customWidth="1"/>
    <col min="5132" max="5132" width="10.5703125" style="221" customWidth="1"/>
    <col min="5133" max="5133" width="13.28515625" style="221" customWidth="1"/>
    <col min="5134" max="5134" width="13.5703125" style="221" customWidth="1"/>
    <col min="5135" max="5135" width="14" style="221" customWidth="1"/>
    <col min="5136" max="5136" width="15.28515625" style="221" customWidth="1"/>
    <col min="5137" max="5139" width="0" style="221" hidden="1" customWidth="1"/>
    <col min="5140" max="5140" width="9.5703125" style="221" bestFit="1" customWidth="1"/>
    <col min="5141" max="5141" width="9.7109375" style="221" bestFit="1" customWidth="1"/>
    <col min="5142" max="5376" width="9.140625" style="221"/>
    <col min="5377" max="5377" width="7.85546875" style="221" customWidth="1"/>
    <col min="5378" max="5378" width="23.140625" style="221" customWidth="1"/>
    <col min="5379" max="5379" width="10.28515625" style="221" customWidth="1"/>
    <col min="5380" max="5380" width="19.7109375" style="221" bestFit="1" customWidth="1"/>
    <col min="5381" max="5381" width="18.140625" style="221" customWidth="1"/>
    <col min="5382" max="5384" width="14.140625" style="221" customWidth="1"/>
    <col min="5385" max="5385" width="18.140625" style="221" customWidth="1"/>
    <col min="5386" max="5386" width="19.140625" style="221" customWidth="1"/>
    <col min="5387" max="5387" width="16.5703125" style="221" customWidth="1"/>
    <col min="5388" max="5388" width="10.5703125" style="221" customWidth="1"/>
    <col min="5389" max="5389" width="13.28515625" style="221" customWidth="1"/>
    <col min="5390" max="5390" width="13.5703125" style="221" customWidth="1"/>
    <col min="5391" max="5391" width="14" style="221" customWidth="1"/>
    <col min="5392" max="5392" width="15.28515625" style="221" customWidth="1"/>
    <col min="5393" max="5395" width="0" style="221" hidden="1" customWidth="1"/>
    <col min="5396" max="5396" width="9.5703125" style="221" bestFit="1" customWidth="1"/>
    <col min="5397" max="5397" width="9.7109375" style="221" bestFit="1" customWidth="1"/>
    <col min="5398" max="5632" width="9.140625" style="221"/>
    <col min="5633" max="5633" width="7.85546875" style="221" customWidth="1"/>
    <col min="5634" max="5634" width="23.140625" style="221" customWidth="1"/>
    <col min="5635" max="5635" width="10.28515625" style="221" customWidth="1"/>
    <col min="5636" max="5636" width="19.7109375" style="221" bestFit="1" customWidth="1"/>
    <col min="5637" max="5637" width="18.140625" style="221" customWidth="1"/>
    <col min="5638" max="5640" width="14.140625" style="221" customWidth="1"/>
    <col min="5641" max="5641" width="18.140625" style="221" customWidth="1"/>
    <col min="5642" max="5642" width="19.140625" style="221" customWidth="1"/>
    <col min="5643" max="5643" width="16.5703125" style="221" customWidth="1"/>
    <col min="5644" max="5644" width="10.5703125" style="221" customWidth="1"/>
    <col min="5645" max="5645" width="13.28515625" style="221" customWidth="1"/>
    <col min="5646" max="5646" width="13.5703125" style="221" customWidth="1"/>
    <col min="5647" max="5647" width="14" style="221" customWidth="1"/>
    <col min="5648" max="5648" width="15.28515625" style="221" customWidth="1"/>
    <col min="5649" max="5651" width="0" style="221" hidden="1" customWidth="1"/>
    <col min="5652" max="5652" width="9.5703125" style="221" bestFit="1" customWidth="1"/>
    <col min="5653" max="5653" width="9.7109375" style="221" bestFit="1" customWidth="1"/>
    <col min="5654" max="5888" width="9.140625" style="221"/>
    <col min="5889" max="5889" width="7.85546875" style="221" customWidth="1"/>
    <col min="5890" max="5890" width="23.140625" style="221" customWidth="1"/>
    <col min="5891" max="5891" width="10.28515625" style="221" customWidth="1"/>
    <col min="5892" max="5892" width="19.7109375" style="221" bestFit="1" customWidth="1"/>
    <col min="5893" max="5893" width="18.140625" style="221" customWidth="1"/>
    <col min="5894" max="5896" width="14.140625" style="221" customWidth="1"/>
    <col min="5897" max="5897" width="18.140625" style="221" customWidth="1"/>
    <col min="5898" max="5898" width="19.140625" style="221" customWidth="1"/>
    <col min="5899" max="5899" width="16.5703125" style="221" customWidth="1"/>
    <col min="5900" max="5900" width="10.5703125" style="221" customWidth="1"/>
    <col min="5901" max="5901" width="13.28515625" style="221" customWidth="1"/>
    <col min="5902" max="5902" width="13.5703125" style="221" customWidth="1"/>
    <col min="5903" max="5903" width="14" style="221" customWidth="1"/>
    <col min="5904" max="5904" width="15.28515625" style="221" customWidth="1"/>
    <col min="5905" max="5907" width="0" style="221" hidden="1" customWidth="1"/>
    <col min="5908" max="5908" width="9.5703125" style="221" bestFit="1" customWidth="1"/>
    <col min="5909" max="5909" width="9.7109375" style="221" bestFit="1" customWidth="1"/>
    <col min="5910" max="6144" width="9.140625" style="221"/>
    <col min="6145" max="6145" width="7.85546875" style="221" customWidth="1"/>
    <col min="6146" max="6146" width="23.140625" style="221" customWidth="1"/>
    <col min="6147" max="6147" width="10.28515625" style="221" customWidth="1"/>
    <col min="6148" max="6148" width="19.7109375" style="221" bestFit="1" customWidth="1"/>
    <col min="6149" max="6149" width="18.140625" style="221" customWidth="1"/>
    <col min="6150" max="6152" width="14.140625" style="221" customWidth="1"/>
    <col min="6153" max="6153" width="18.140625" style="221" customWidth="1"/>
    <col min="6154" max="6154" width="19.140625" style="221" customWidth="1"/>
    <col min="6155" max="6155" width="16.5703125" style="221" customWidth="1"/>
    <col min="6156" max="6156" width="10.5703125" style="221" customWidth="1"/>
    <col min="6157" max="6157" width="13.28515625" style="221" customWidth="1"/>
    <col min="6158" max="6158" width="13.5703125" style="221" customWidth="1"/>
    <col min="6159" max="6159" width="14" style="221" customWidth="1"/>
    <col min="6160" max="6160" width="15.28515625" style="221" customWidth="1"/>
    <col min="6161" max="6163" width="0" style="221" hidden="1" customWidth="1"/>
    <col min="6164" max="6164" width="9.5703125" style="221" bestFit="1" customWidth="1"/>
    <col min="6165" max="6165" width="9.7109375" style="221" bestFit="1" customWidth="1"/>
    <col min="6166" max="6400" width="9.140625" style="221"/>
    <col min="6401" max="6401" width="7.85546875" style="221" customWidth="1"/>
    <col min="6402" max="6402" width="23.140625" style="221" customWidth="1"/>
    <col min="6403" max="6403" width="10.28515625" style="221" customWidth="1"/>
    <col min="6404" max="6404" width="19.7109375" style="221" bestFit="1" customWidth="1"/>
    <col min="6405" max="6405" width="18.140625" style="221" customWidth="1"/>
    <col min="6406" max="6408" width="14.140625" style="221" customWidth="1"/>
    <col min="6409" max="6409" width="18.140625" style="221" customWidth="1"/>
    <col min="6410" max="6410" width="19.140625" style="221" customWidth="1"/>
    <col min="6411" max="6411" width="16.5703125" style="221" customWidth="1"/>
    <col min="6412" max="6412" width="10.5703125" style="221" customWidth="1"/>
    <col min="6413" max="6413" width="13.28515625" style="221" customWidth="1"/>
    <col min="6414" max="6414" width="13.5703125" style="221" customWidth="1"/>
    <col min="6415" max="6415" width="14" style="221" customWidth="1"/>
    <col min="6416" max="6416" width="15.28515625" style="221" customWidth="1"/>
    <col min="6417" max="6419" width="0" style="221" hidden="1" customWidth="1"/>
    <col min="6420" max="6420" width="9.5703125" style="221" bestFit="1" customWidth="1"/>
    <col min="6421" max="6421" width="9.7109375" style="221" bestFit="1" customWidth="1"/>
    <col min="6422" max="6656" width="9.140625" style="221"/>
    <col min="6657" max="6657" width="7.85546875" style="221" customWidth="1"/>
    <col min="6658" max="6658" width="23.140625" style="221" customWidth="1"/>
    <col min="6659" max="6659" width="10.28515625" style="221" customWidth="1"/>
    <col min="6660" max="6660" width="19.7109375" style="221" bestFit="1" customWidth="1"/>
    <col min="6661" max="6661" width="18.140625" style="221" customWidth="1"/>
    <col min="6662" max="6664" width="14.140625" style="221" customWidth="1"/>
    <col min="6665" max="6665" width="18.140625" style="221" customWidth="1"/>
    <col min="6666" max="6666" width="19.140625" style="221" customWidth="1"/>
    <col min="6667" max="6667" width="16.5703125" style="221" customWidth="1"/>
    <col min="6668" max="6668" width="10.5703125" style="221" customWidth="1"/>
    <col min="6669" max="6669" width="13.28515625" style="221" customWidth="1"/>
    <col min="6670" max="6670" width="13.5703125" style="221" customWidth="1"/>
    <col min="6671" max="6671" width="14" style="221" customWidth="1"/>
    <col min="6672" max="6672" width="15.28515625" style="221" customWidth="1"/>
    <col min="6673" max="6675" width="0" style="221" hidden="1" customWidth="1"/>
    <col min="6676" max="6676" width="9.5703125" style="221" bestFit="1" customWidth="1"/>
    <col min="6677" max="6677" width="9.7109375" style="221" bestFit="1" customWidth="1"/>
    <col min="6678" max="6912" width="9.140625" style="221"/>
    <col min="6913" max="6913" width="7.85546875" style="221" customWidth="1"/>
    <col min="6914" max="6914" width="23.140625" style="221" customWidth="1"/>
    <col min="6915" max="6915" width="10.28515625" style="221" customWidth="1"/>
    <col min="6916" max="6916" width="19.7109375" style="221" bestFit="1" customWidth="1"/>
    <col min="6917" max="6917" width="18.140625" style="221" customWidth="1"/>
    <col min="6918" max="6920" width="14.140625" style="221" customWidth="1"/>
    <col min="6921" max="6921" width="18.140625" style="221" customWidth="1"/>
    <col min="6922" max="6922" width="19.140625" style="221" customWidth="1"/>
    <col min="6923" max="6923" width="16.5703125" style="221" customWidth="1"/>
    <col min="6924" max="6924" width="10.5703125" style="221" customWidth="1"/>
    <col min="6925" max="6925" width="13.28515625" style="221" customWidth="1"/>
    <col min="6926" max="6926" width="13.5703125" style="221" customWidth="1"/>
    <col min="6927" max="6927" width="14" style="221" customWidth="1"/>
    <col min="6928" max="6928" width="15.28515625" style="221" customWidth="1"/>
    <col min="6929" max="6931" width="0" style="221" hidden="1" customWidth="1"/>
    <col min="6932" max="6932" width="9.5703125" style="221" bestFit="1" customWidth="1"/>
    <col min="6933" max="6933" width="9.7109375" style="221" bestFit="1" customWidth="1"/>
    <col min="6934" max="7168" width="9.140625" style="221"/>
    <col min="7169" max="7169" width="7.85546875" style="221" customWidth="1"/>
    <col min="7170" max="7170" width="23.140625" style="221" customWidth="1"/>
    <col min="7171" max="7171" width="10.28515625" style="221" customWidth="1"/>
    <col min="7172" max="7172" width="19.7109375" style="221" bestFit="1" customWidth="1"/>
    <col min="7173" max="7173" width="18.140625" style="221" customWidth="1"/>
    <col min="7174" max="7176" width="14.140625" style="221" customWidth="1"/>
    <col min="7177" max="7177" width="18.140625" style="221" customWidth="1"/>
    <col min="7178" max="7178" width="19.140625" style="221" customWidth="1"/>
    <col min="7179" max="7179" width="16.5703125" style="221" customWidth="1"/>
    <col min="7180" max="7180" width="10.5703125" style="221" customWidth="1"/>
    <col min="7181" max="7181" width="13.28515625" style="221" customWidth="1"/>
    <col min="7182" max="7182" width="13.5703125" style="221" customWidth="1"/>
    <col min="7183" max="7183" width="14" style="221" customWidth="1"/>
    <col min="7184" max="7184" width="15.28515625" style="221" customWidth="1"/>
    <col min="7185" max="7187" width="0" style="221" hidden="1" customWidth="1"/>
    <col min="7188" max="7188" width="9.5703125" style="221" bestFit="1" customWidth="1"/>
    <col min="7189" max="7189" width="9.7109375" style="221" bestFit="1" customWidth="1"/>
    <col min="7190" max="7424" width="9.140625" style="221"/>
    <col min="7425" max="7425" width="7.85546875" style="221" customWidth="1"/>
    <col min="7426" max="7426" width="23.140625" style="221" customWidth="1"/>
    <col min="7427" max="7427" width="10.28515625" style="221" customWidth="1"/>
    <col min="7428" max="7428" width="19.7109375" style="221" bestFit="1" customWidth="1"/>
    <col min="7429" max="7429" width="18.140625" style="221" customWidth="1"/>
    <col min="7430" max="7432" width="14.140625" style="221" customWidth="1"/>
    <col min="7433" max="7433" width="18.140625" style="221" customWidth="1"/>
    <col min="7434" max="7434" width="19.140625" style="221" customWidth="1"/>
    <col min="7435" max="7435" width="16.5703125" style="221" customWidth="1"/>
    <col min="7436" max="7436" width="10.5703125" style="221" customWidth="1"/>
    <col min="7437" max="7437" width="13.28515625" style="221" customWidth="1"/>
    <col min="7438" max="7438" width="13.5703125" style="221" customWidth="1"/>
    <col min="7439" max="7439" width="14" style="221" customWidth="1"/>
    <col min="7440" max="7440" width="15.28515625" style="221" customWidth="1"/>
    <col min="7441" max="7443" width="0" style="221" hidden="1" customWidth="1"/>
    <col min="7444" max="7444" width="9.5703125" style="221" bestFit="1" customWidth="1"/>
    <col min="7445" max="7445" width="9.7109375" style="221" bestFit="1" customWidth="1"/>
    <col min="7446" max="7680" width="9.140625" style="221"/>
    <col min="7681" max="7681" width="7.85546875" style="221" customWidth="1"/>
    <col min="7682" max="7682" width="23.140625" style="221" customWidth="1"/>
    <col min="7683" max="7683" width="10.28515625" style="221" customWidth="1"/>
    <col min="7684" max="7684" width="19.7109375" style="221" bestFit="1" customWidth="1"/>
    <col min="7685" max="7685" width="18.140625" style="221" customWidth="1"/>
    <col min="7686" max="7688" width="14.140625" style="221" customWidth="1"/>
    <col min="7689" max="7689" width="18.140625" style="221" customWidth="1"/>
    <col min="7690" max="7690" width="19.140625" style="221" customWidth="1"/>
    <col min="7691" max="7691" width="16.5703125" style="221" customWidth="1"/>
    <col min="7692" max="7692" width="10.5703125" style="221" customWidth="1"/>
    <col min="7693" max="7693" width="13.28515625" style="221" customWidth="1"/>
    <col min="7694" max="7694" width="13.5703125" style="221" customWidth="1"/>
    <col min="7695" max="7695" width="14" style="221" customWidth="1"/>
    <col min="7696" max="7696" width="15.28515625" style="221" customWidth="1"/>
    <col min="7697" max="7699" width="0" style="221" hidden="1" customWidth="1"/>
    <col min="7700" max="7700" width="9.5703125" style="221" bestFit="1" customWidth="1"/>
    <col min="7701" max="7701" width="9.7109375" style="221" bestFit="1" customWidth="1"/>
    <col min="7702" max="7936" width="9.140625" style="221"/>
    <col min="7937" max="7937" width="7.85546875" style="221" customWidth="1"/>
    <col min="7938" max="7938" width="23.140625" style="221" customWidth="1"/>
    <col min="7939" max="7939" width="10.28515625" style="221" customWidth="1"/>
    <col min="7940" max="7940" width="19.7109375" style="221" bestFit="1" customWidth="1"/>
    <col min="7941" max="7941" width="18.140625" style="221" customWidth="1"/>
    <col min="7942" max="7944" width="14.140625" style="221" customWidth="1"/>
    <col min="7945" max="7945" width="18.140625" style="221" customWidth="1"/>
    <col min="7946" max="7946" width="19.140625" style="221" customWidth="1"/>
    <col min="7947" max="7947" width="16.5703125" style="221" customWidth="1"/>
    <col min="7948" max="7948" width="10.5703125" style="221" customWidth="1"/>
    <col min="7949" max="7949" width="13.28515625" style="221" customWidth="1"/>
    <col min="7950" max="7950" width="13.5703125" style="221" customWidth="1"/>
    <col min="7951" max="7951" width="14" style="221" customWidth="1"/>
    <col min="7952" max="7952" width="15.28515625" style="221" customWidth="1"/>
    <col min="7953" max="7955" width="0" style="221" hidden="1" customWidth="1"/>
    <col min="7956" max="7956" width="9.5703125" style="221" bestFit="1" customWidth="1"/>
    <col min="7957" max="7957" width="9.7109375" style="221" bestFit="1" customWidth="1"/>
    <col min="7958" max="8192" width="9.140625" style="221"/>
    <col min="8193" max="8193" width="7.85546875" style="221" customWidth="1"/>
    <col min="8194" max="8194" width="23.140625" style="221" customWidth="1"/>
    <col min="8195" max="8195" width="10.28515625" style="221" customWidth="1"/>
    <col min="8196" max="8196" width="19.7109375" style="221" bestFit="1" customWidth="1"/>
    <col min="8197" max="8197" width="18.140625" style="221" customWidth="1"/>
    <col min="8198" max="8200" width="14.140625" style="221" customWidth="1"/>
    <col min="8201" max="8201" width="18.140625" style="221" customWidth="1"/>
    <col min="8202" max="8202" width="19.140625" style="221" customWidth="1"/>
    <col min="8203" max="8203" width="16.5703125" style="221" customWidth="1"/>
    <col min="8204" max="8204" width="10.5703125" style="221" customWidth="1"/>
    <col min="8205" max="8205" width="13.28515625" style="221" customWidth="1"/>
    <col min="8206" max="8206" width="13.5703125" style="221" customWidth="1"/>
    <col min="8207" max="8207" width="14" style="221" customWidth="1"/>
    <col min="8208" max="8208" width="15.28515625" style="221" customWidth="1"/>
    <col min="8209" max="8211" width="0" style="221" hidden="1" customWidth="1"/>
    <col min="8212" max="8212" width="9.5703125" style="221" bestFit="1" customWidth="1"/>
    <col min="8213" max="8213" width="9.7109375" style="221" bestFit="1" customWidth="1"/>
    <col min="8214" max="8448" width="9.140625" style="221"/>
    <col min="8449" max="8449" width="7.85546875" style="221" customWidth="1"/>
    <col min="8450" max="8450" width="23.140625" style="221" customWidth="1"/>
    <col min="8451" max="8451" width="10.28515625" style="221" customWidth="1"/>
    <col min="8452" max="8452" width="19.7109375" style="221" bestFit="1" customWidth="1"/>
    <col min="8453" max="8453" width="18.140625" style="221" customWidth="1"/>
    <col min="8454" max="8456" width="14.140625" style="221" customWidth="1"/>
    <col min="8457" max="8457" width="18.140625" style="221" customWidth="1"/>
    <col min="8458" max="8458" width="19.140625" style="221" customWidth="1"/>
    <col min="8459" max="8459" width="16.5703125" style="221" customWidth="1"/>
    <col min="8460" max="8460" width="10.5703125" style="221" customWidth="1"/>
    <col min="8461" max="8461" width="13.28515625" style="221" customWidth="1"/>
    <col min="8462" max="8462" width="13.5703125" style="221" customWidth="1"/>
    <col min="8463" max="8463" width="14" style="221" customWidth="1"/>
    <col min="8464" max="8464" width="15.28515625" style="221" customWidth="1"/>
    <col min="8465" max="8467" width="0" style="221" hidden="1" customWidth="1"/>
    <col min="8468" max="8468" width="9.5703125" style="221" bestFit="1" customWidth="1"/>
    <col min="8469" max="8469" width="9.7109375" style="221" bestFit="1" customWidth="1"/>
    <col min="8470" max="8704" width="9.140625" style="221"/>
    <col min="8705" max="8705" width="7.85546875" style="221" customWidth="1"/>
    <col min="8706" max="8706" width="23.140625" style="221" customWidth="1"/>
    <col min="8707" max="8707" width="10.28515625" style="221" customWidth="1"/>
    <col min="8708" max="8708" width="19.7109375" style="221" bestFit="1" customWidth="1"/>
    <col min="8709" max="8709" width="18.140625" style="221" customWidth="1"/>
    <col min="8710" max="8712" width="14.140625" style="221" customWidth="1"/>
    <col min="8713" max="8713" width="18.140625" style="221" customWidth="1"/>
    <col min="8714" max="8714" width="19.140625" style="221" customWidth="1"/>
    <col min="8715" max="8715" width="16.5703125" style="221" customWidth="1"/>
    <col min="8716" max="8716" width="10.5703125" style="221" customWidth="1"/>
    <col min="8717" max="8717" width="13.28515625" style="221" customWidth="1"/>
    <col min="8718" max="8718" width="13.5703125" style="221" customWidth="1"/>
    <col min="8719" max="8719" width="14" style="221" customWidth="1"/>
    <col min="8720" max="8720" width="15.28515625" style="221" customWidth="1"/>
    <col min="8721" max="8723" width="0" style="221" hidden="1" customWidth="1"/>
    <col min="8724" max="8724" width="9.5703125" style="221" bestFit="1" customWidth="1"/>
    <col min="8725" max="8725" width="9.7109375" style="221" bestFit="1" customWidth="1"/>
    <col min="8726" max="8960" width="9.140625" style="221"/>
    <col min="8961" max="8961" width="7.85546875" style="221" customWidth="1"/>
    <col min="8962" max="8962" width="23.140625" style="221" customWidth="1"/>
    <col min="8963" max="8963" width="10.28515625" style="221" customWidth="1"/>
    <col min="8964" max="8964" width="19.7109375" style="221" bestFit="1" customWidth="1"/>
    <col min="8965" max="8965" width="18.140625" style="221" customWidth="1"/>
    <col min="8966" max="8968" width="14.140625" style="221" customWidth="1"/>
    <col min="8969" max="8969" width="18.140625" style="221" customWidth="1"/>
    <col min="8970" max="8970" width="19.140625" style="221" customWidth="1"/>
    <col min="8971" max="8971" width="16.5703125" style="221" customWidth="1"/>
    <col min="8972" max="8972" width="10.5703125" style="221" customWidth="1"/>
    <col min="8973" max="8973" width="13.28515625" style="221" customWidth="1"/>
    <col min="8974" max="8974" width="13.5703125" style="221" customWidth="1"/>
    <col min="8975" max="8975" width="14" style="221" customWidth="1"/>
    <col min="8976" max="8976" width="15.28515625" style="221" customWidth="1"/>
    <col min="8977" max="8979" width="0" style="221" hidden="1" customWidth="1"/>
    <col min="8980" max="8980" width="9.5703125" style="221" bestFit="1" customWidth="1"/>
    <col min="8981" max="8981" width="9.7109375" style="221" bestFit="1" customWidth="1"/>
    <col min="8982" max="9216" width="9.140625" style="221"/>
    <col min="9217" max="9217" width="7.85546875" style="221" customWidth="1"/>
    <col min="9218" max="9218" width="23.140625" style="221" customWidth="1"/>
    <col min="9219" max="9219" width="10.28515625" style="221" customWidth="1"/>
    <col min="9220" max="9220" width="19.7109375" style="221" bestFit="1" customWidth="1"/>
    <col min="9221" max="9221" width="18.140625" style="221" customWidth="1"/>
    <col min="9222" max="9224" width="14.140625" style="221" customWidth="1"/>
    <col min="9225" max="9225" width="18.140625" style="221" customWidth="1"/>
    <col min="9226" max="9226" width="19.140625" style="221" customWidth="1"/>
    <col min="9227" max="9227" width="16.5703125" style="221" customWidth="1"/>
    <col min="9228" max="9228" width="10.5703125" style="221" customWidth="1"/>
    <col min="9229" max="9229" width="13.28515625" style="221" customWidth="1"/>
    <col min="9230" max="9230" width="13.5703125" style="221" customWidth="1"/>
    <col min="9231" max="9231" width="14" style="221" customWidth="1"/>
    <col min="9232" max="9232" width="15.28515625" style="221" customWidth="1"/>
    <col min="9233" max="9235" width="0" style="221" hidden="1" customWidth="1"/>
    <col min="9236" max="9236" width="9.5703125" style="221" bestFit="1" customWidth="1"/>
    <col min="9237" max="9237" width="9.7109375" style="221" bestFit="1" customWidth="1"/>
    <col min="9238" max="9472" width="9.140625" style="221"/>
    <col min="9473" max="9473" width="7.85546875" style="221" customWidth="1"/>
    <col min="9474" max="9474" width="23.140625" style="221" customWidth="1"/>
    <col min="9475" max="9475" width="10.28515625" style="221" customWidth="1"/>
    <col min="9476" max="9476" width="19.7109375" style="221" bestFit="1" customWidth="1"/>
    <col min="9477" max="9477" width="18.140625" style="221" customWidth="1"/>
    <col min="9478" max="9480" width="14.140625" style="221" customWidth="1"/>
    <col min="9481" max="9481" width="18.140625" style="221" customWidth="1"/>
    <col min="9482" max="9482" width="19.140625" style="221" customWidth="1"/>
    <col min="9483" max="9483" width="16.5703125" style="221" customWidth="1"/>
    <col min="9484" max="9484" width="10.5703125" style="221" customWidth="1"/>
    <col min="9485" max="9485" width="13.28515625" style="221" customWidth="1"/>
    <col min="9486" max="9486" width="13.5703125" style="221" customWidth="1"/>
    <col min="9487" max="9487" width="14" style="221" customWidth="1"/>
    <col min="9488" max="9488" width="15.28515625" style="221" customWidth="1"/>
    <col min="9489" max="9491" width="0" style="221" hidden="1" customWidth="1"/>
    <col min="9492" max="9492" width="9.5703125" style="221" bestFit="1" customWidth="1"/>
    <col min="9493" max="9493" width="9.7109375" style="221" bestFit="1" customWidth="1"/>
    <col min="9494" max="9728" width="9.140625" style="221"/>
    <col min="9729" max="9729" width="7.85546875" style="221" customWidth="1"/>
    <col min="9730" max="9730" width="23.140625" style="221" customWidth="1"/>
    <col min="9731" max="9731" width="10.28515625" style="221" customWidth="1"/>
    <col min="9732" max="9732" width="19.7109375" style="221" bestFit="1" customWidth="1"/>
    <col min="9733" max="9733" width="18.140625" style="221" customWidth="1"/>
    <col min="9734" max="9736" width="14.140625" style="221" customWidth="1"/>
    <col min="9737" max="9737" width="18.140625" style="221" customWidth="1"/>
    <col min="9738" max="9738" width="19.140625" style="221" customWidth="1"/>
    <col min="9739" max="9739" width="16.5703125" style="221" customWidth="1"/>
    <col min="9740" max="9740" width="10.5703125" style="221" customWidth="1"/>
    <col min="9741" max="9741" width="13.28515625" style="221" customWidth="1"/>
    <col min="9742" max="9742" width="13.5703125" style="221" customWidth="1"/>
    <col min="9743" max="9743" width="14" style="221" customWidth="1"/>
    <col min="9744" max="9744" width="15.28515625" style="221" customWidth="1"/>
    <col min="9745" max="9747" width="0" style="221" hidden="1" customWidth="1"/>
    <col min="9748" max="9748" width="9.5703125" style="221" bestFit="1" customWidth="1"/>
    <col min="9749" max="9749" width="9.7109375" style="221" bestFit="1" customWidth="1"/>
    <col min="9750" max="9984" width="9.140625" style="221"/>
    <col min="9985" max="9985" width="7.85546875" style="221" customWidth="1"/>
    <col min="9986" max="9986" width="23.140625" style="221" customWidth="1"/>
    <col min="9987" max="9987" width="10.28515625" style="221" customWidth="1"/>
    <col min="9988" max="9988" width="19.7109375" style="221" bestFit="1" customWidth="1"/>
    <col min="9989" max="9989" width="18.140625" style="221" customWidth="1"/>
    <col min="9990" max="9992" width="14.140625" style="221" customWidth="1"/>
    <col min="9993" max="9993" width="18.140625" style="221" customWidth="1"/>
    <col min="9994" max="9994" width="19.140625" style="221" customWidth="1"/>
    <col min="9995" max="9995" width="16.5703125" style="221" customWidth="1"/>
    <col min="9996" max="9996" width="10.5703125" style="221" customWidth="1"/>
    <col min="9997" max="9997" width="13.28515625" style="221" customWidth="1"/>
    <col min="9998" max="9998" width="13.5703125" style="221" customWidth="1"/>
    <col min="9999" max="9999" width="14" style="221" customWidth="1"/>
    <col min="10000" max="10000" width="15.28515625" style="221" customWidth="1"/>
    <col min="10001" max="10003" width="0" style="221" hidden="1" customWidth="1"/>
    <col min="10004" max="10004" width="9.5703125" style="221" bestFit="1" customWidth="1"/>
    <col min="10005" max="10005" width="9.7109375" style="221" bestFit="1" customWidth="1"/>
    <col min="10006" max="10240" width="9.140625" style="221"/>
    <col min="10241" max="10241" width="7.85546875" style="221" customWidth="1"/>
    <col min="10242" max="10242" width="23.140625" style="221" customWidth="1"/>
    <col min="10243" max="10243" width="10.28515625" style="221" customWidth="1"/>
    <col min="10244" max="10244" width="19.7109375" style="221" bestFit="1" customWidth="1"/>
    <col min="10245" max="10245" width="18.140625" style="221" customWidth="1"/>
    <col min="10246" max="10248" width="14.140625" style="221" customWidth="1"/>
    <col min="10249" max="10249" width="18.140625" style="221" customWidth="1"/>
    <col min="10250" max="10250" width="19.140625" style="221" customWidth="1"/>
    <col min="10251" max="10251" width="16.5703125" style="221" customWidth="1"/>
    <col min="10252" max="10252" width="10.5703125" style="221" customWidth="1"/>
    <col min="10253" max="10253" width="13.28515625" style="221" customWidth="1"/>
    <col min="10254" max="10254" width="13.5703125" style="221" customWidth="1"/>
    <col min="10255" max="10255" width="14" style="221" customWidth="1"/>
    <col min="10256" max="10256" width="15.28515625" style="221" customWidth="1"/>
    <col min="10257" max="10259" width="0" style="221" hidden="1" customWidth="1"/>
    <col min="10260" max="10260" width="9.5703125" style="221" bestFit="1" customWidth="1"/>
    <col min="10261" max="10261" width="9.7109375" style="221" bestFit="1" customWidth="1"/>
    <col min="10262" max="10496" width="9.140625" style="221"/>
    <col min="10497" max="10497" width="7.85546875" style="221" customWidth="1"/>
    <col min="10498" max="10498" width="23.140625" style="221" customWidth="1"/>
    <col min="10499" max="10499" width="10.28515625" style="221" customWidth="1"/>
    <col min="10500" max="10500" width="19.7109375" style="221" bestFit="1" customWidth="1"/>
    <col min="10501" max="10501" width="18.140625" style="221" customWidth="1"/>
    <col min="10502" max="10504" width="14.140625" style="221" customWidth="1"/>
    <col min="10505" max="10505" width="18.140625" style="221" customWidth="1"/>
    <col min="10506" max="10506" width="19.140625" style="221" customWidth="1"/>
    <col min="10507" max="10507" width="16.5703125" style="221" customWidth="1"/>
    <col min="10508" max="10508" width="10.5703125" style="221" customWidth="1"/>
    <col min="10509" max="10509" width="13.28515625" style="221" customWidth="1"/>
    <col min="10510" max="10510" width="13.5703125" style="221" customWidth="1"/>
    <col min="10511" max="10511" width="14" style="221" customWidth="1"/>
    <col min="10512" max="10512" width="15.28515625" style="221" customWidth="1"/>
    <col min="10513" max="10515" width="0" style="221" hidden="1" customWidth="1"/>
    <col min="10516" max="10516" width="9.5703125" style="221" bestFit="1" customWidth="1"/>
    <col min="10517" max="10517" width="9.7109375" style="221" bestFit="1" customWidth="1"/>
    <col min="10518" max="10752" width="9.140625" style="221"/>
    <col min="10753" max="10753" width="7.85546875" style="221" customWidth="1"/>
    <col min="10754" max="10754" width="23.140625" style="221" customWidth="1"/>
    <col min="10755" max="10755" width="10.28515625" style="221" customWidth="1"/>
    <col min="10756" max="10756" width="19.7109375" style="221" bestFit="1" customWidth="1"/>
    <col min="10757" max="10757" width="18.140625" style="221" customWidth="1"/>
    <col min="10758" max="10760" width="14.140625" style="221" customWidth="1"/>
    <col min="10761" max="10761" width="18.140625" style="221" customWidth="1"/>
    <col min="10762" max="10762" width="19.140625" style="221" customWidth="1"/>
    <col min="10763" max="10763" width="16.5703125" style="221" customWidth="1"/>
    <col min="10764" max="10764" width="10.5703125" style="221" customWidth="1"/>
    <col min="10765" max="10765" width="13.28515625" style="221" customWidth="1"/>
    <col min="10766" max="10766" width="13.5703125" style="221" customWidth="1"/>
    <col min="10767" max="10767" width="14" style="221" customWidth="1"/>
    <col min="10768" max="10768" width="15.28515625" style="221" customWidth="1"/>
    <col min="10769" max="10771" width="0" style="221" hidden="1" customWidth="1"/>
    <col min="10772" max="10772" width="9.5703125" style="221" bestFit="1" customWidth="1"/>
    <col min="10773" max="10773" width="9.7109375" style="221" bestFit="1" customWidth="1"/>
    <col min="10774" max="11008" width="9.140625" style="221"/>
    <col min="11009" max="11009" width="7.85546875" style="221" customWidth="1"/>
    <col min="11010" max="11010" width="23.140625" style="221" customWidth="1"/>
    <col min="11011" max="11011" width="10.28515625" style="221" customWidth="1"/>
    <col min="11012" max="11012" width="19.7109375" style="221" bestFit="1" customWidth="1"/>
    <col min="11013" max="11013" width="18.140625" style="221" customWidth="1"/>
    <col min="11014" max="11016" width="14.140625" style="221" customWidth="1"/>
    <col min="11017" max="11017" width="18.140625" style="221" customWidth="1"/>
    <col min="11018" max="11018" width="19.140625" style="221" customWidth="1"/>
    <col min="11019" max="11019" width="16.5703125" style="221" customWidth="1"/>
    <col min="11020" max="11020" width="10.5703125" style="221" customWidth="1"/>
    <col min="11021" max="11021" width="13.28515625" style="221" customWidth="1"/>
    <col min="11022" max="11022" width="13.5703125" style="221" customWidth="1"/>
    <col min="11023" max="11023" width="14" style="221" customWidth="1"/>
    <col min="11024" max="11024" width="15.28515625" style="221" customWidth="1"/>
    <col min="11025" max="11027" width="0" style="221" hidden="1" customWidth="1"/>
    <col min="11028" max="11028" width="9.5703125" style="221" bestFit="1" customWidth="1"/>
    <col min="11029" max="11029" width="9.7109375" style="221" bestFit="1" customWidth="1"/>
    <col min="11030" max="11264" width="9.140625" style="221"/>
    <col min="11265" max="11265" width="7.85546875" style="221" customWidth="1"/>
    <col min="11266" max="11266" width="23.140625" style="221" customWidth="1"/>
    <col min="11267" max="11267" width="10.28515625" style="221" customWidth="1"/>
    <col min="11268" max="11268" width="19.7109375" style="221" bestFit="1" customWidth="1"/>
    <col min="11269" max="11269" width="18.140625" style="221" customWidth="1"/>
    <col min="11270" max="11272" width="14.140625" style="221" customWidth="1"/>
    <col min="11273" max="11273" width="18.140625" style="221" customWidth="1"/>
    <col min="11274" max="11274" width="19.140625" style="221" customWidth="1"/>
    <col min="11275" max="11275" width="16.5703125" style="221" customWidth="1"/>
    <col min="11276" max="11276" width="10.5703125" style="221" customWidth="1"/>
    <col min="11277" max="11277" width="13.28515625" style="221" customWidth="1"/>
    <col min="11278" max="11278" width="13.5703125" style="221" customWidth="1"/>
    <col min="11279" max="11279" width="14" style="221" customWidth="1"/>
    <col min="11280" max="11280" width="15.28515625" style="221" customWidth="1"/>
    <col min="11281" max="11283" width="0" style="221" hidden="1" customWidth="1"/>
    <col min="11284" max="11284" width="9.5703125" style="221" bestFit="1" customWidth="1"/>
    <col min="11285" max="11285" width="9.7109375" style="221" bestFit="1" customWidth="1"/>
    <col min="11286" max="11520" width="9.140625" style="221"/>
    <col min="11521" max="11521" width="7.85546875" style="221" customWidth="1"/>
    <col min="11522" max="11522" width="23.140625" style="221" customWidth="1"/>
    <col min="11523" max="11523" width="10.28515625" style="221" customWidth="1"/>
    <col min="11524" max="11524" width="19.7109375" style="221" bestFit="1" customWidth="1"/>
    <col min="11525" max="11525" width="18.140625" style="221" customWidth="1"/>
    <col min="11526" max="11528" width="14.140625" style="221" customWidth="1"/>
    <col min="11529" max="11529" width="18.140625" style="221" customWidth="1"/>
    <col min="11530" max="11530" width="19.140625" style="221" customWidth="1"/>
    <col min="11531" max="11531" width="16.5703125" style="221" customWidth="1"/>
    <col min="11532" max="11532" width="10.5703125" style="221" customWidth="1"/>
    <col min="11533" max="11533" width="13.28515625" style="221" customWidth="1"/>
    <col min="11534" max="11534" width="13.5703125" style="221" customWidth="1"/>
    <col min="11535" max="11535" width="14" style="221" customWidth="1"/>
    <col min="11536" max="11536" width="15.28515625" style="221" customWidth="1"/>
    <col min="11537" max="11539" width="0" style="221" hidden="1" customWidth="1"/>
    <col min="11540" max="11540" width="9.5703125" style="221" bestFit="1" customWidth="1"/>
    <col min="11541" max="11541" width="9.7109375" style="221" bestFit="1" customWidth="1"/>
    <col min="11542" max="11776" width="9.140625" style="221"/>
    <col min="11777" max="11777" width="7.85546875" style="221" customWidth="1"/>
    <col min="11778" max="11778" width="23.140625" style="221" customWidth="1"/>
    <col min="11779" max="11779" width="10.28515625" style="221" customWidth="1"/>
    <col min="11780" max="11780" width="19.7109375" style="221" bestFit="1" customWidth="1"/>
    <col min="11781" max="11781" width="18.140625" style="221" customWidth="1"/>
    <col min="11782" max="11784" width="14.140625" style="221" customWidth="1"/>
    <col min="11785" max="11785" width="18.140625" style="221" customWidth="1"/>
    <col min="11786" max="11786" width="19.140625" style="221" customWidth="1"/>
    <col min="11787" max="11787" width="16.5703125" style="221" customWidth="1"/>
    <col min="11788" max="11788" width="10.5703125" style="221" customWidth="1"/>
    <col min="11789" max="11789" width="13.28515625" style="221" customWidth="1"/>
    <col min="11790" max="11790" width="13.5703125" style="221" customWidth="1"/>
    <col min="11791" max="11791" width="14" style="221" customWidth="1"/>
    <col min="11792" max="11792" width="15.28515625" style="221" customWidth="1"/>
    <col min="11793" max="11795" width="0" style="221" hidden="1" customWidth="1"/>
    <col min="11796" max="11796" width="9.5703125" style="221" bestFit="1" customWidth="1"/>
    <col min="11797" max="11797" width="9.7109375" style="221" bestFit="1" customWidth="1"/>
    <col min="11798" max="12032" width="9.140625" style="221"/>
    <col min="12033" max="12033" width="7.85546875" style="221" customWidth="1"/>
    <col min="12034" max="12034" width="23.140625" style="221" customWidth="1"/>
    <col min="12035" max="12035" width="10.28515625" style="221" customWidth="1"/>
    <col min="12036" max="12036" width="19.7109375" style="221" bestFit="1" customWidth="1"/>
    <col min="12037" max="12037" width="18.140625" style="221" customWidth="1"/>
    <col min="12038" max="12040" width="14.140625" style="221" customWidth="1"/>
    <col min="12041" max="12041" width="18.140625" style="221" customWidth="1"/>
    <col min="12042" max="12042" width="19.140625" style="221" customWidth="1"/>
    <col min="12043" max="12043" width="16.5703125" style="221" customWidth="1"/>
    <col min="12044" max="12044" width="10.5703125" style="221" customWidth="1"/>
    <col min="12045" max="12045" width="13.28515625" style="221" customWidth="1"/>
    <col min="12046" max="12046" width="13.5703125" style="221" customWidth="1"/>
    <col min="12047" max="12047" width="14" style="221" customWidth="1"/>
    <col min="12048" max="12048" width="15.28515625" style="221" customWidth="1"/>
    <col min="12049" max="12051" width="0" style="221" hidden="1" customWidth="1"/>
    <col min="12052" max="12052" width="9.5703125" style="221" bestFit="1" customWidth="1"/>
    <col min="12053" max="12053" width="9.7109375" style="221" bestFit="1" customWidth="1"/>
    <col min="12054" max="12288" width="9.140625" style="221"/>
    <col min="12289" max="12289" width="7.85546875" style="221" customWidth="1"/>
    <col min="12290" max="12290" width="23.140625" style="221" customWidth="1"/>
    <col min="12291" max="12291" width="10.28515625" style="221" customWidth="1"/>
    <col min="12292" max="12292" width="19.7109375" style="221" bestFit="1" customWidth="1"/>
    <col min="12293" max="12293" width="18.140625" style="221" customWidth="1"/>
    <col min="12294" max="12296" width="14.140625" style="221" customWidth="1"/>
    <col min="12297" max="12297" width="18.140625" style="221" customWidth="1"/>
    <col min="12298" max="12298" width="19.140625" style="221" customWidth="1"/>
    <col min="12299" max="12299" width="16.5703125" style="221" customWidth="1"/>
    <col min="12300" max="12300" width="10.5703125" style="221" customWidth="1"/>
    <col min="12301" max="12301" width="13.28515625" style="221" customWidth="1"/>
    <col min="12302" max="12302" width="13.5703125" style="221" customWidth="1"/>
    <col min="12303" max="12303" width="14" style="221" customWidth="1"/>
    <col min="12304" max="12304" width="15.28515625" style="221" customWidth="1"/>
    <col min="12305" max="12307" width="0" style="221" hidden="1" customWidth="1"/>
    <col min="12308" max="12308" width="9.5703125" style="221" bestFit="1" customWidth="1"/>
    <col min="12309" max="12309" width="9.7109375" style="221" bestFit="1" customWidth="1"/>
    <col min="12310" max="12544" width="9.140625" style="221"/>
    <col min="12545" max="12545" width="7.85546875" style="221" customWidth="1"/>
    <col min="12546" max="12546" width="23.140625" style="221" customWidth="1"/>
    <col min="12547" max="12547" width="10.28515625" style="221" customWidth="1"/>
    <col min="12548" max="12548" width="19.7109375" style="221" bestFit="1" customWidth="1"/>
    <col min="12549" max="12549" width="18.140625" style="221" customWidth="1"/>
    <col min="12550" max="12552" width="14.140625" style="221" customWidth="1"/>
    <col min="12553" max="12553" width="18.140625" style="221" customWidth="1"/>
    <col min="12554" max="12554" width="19.140625" style="221" customWidth="1"/>
    <col min="12555" max="12555" width="16.5703125" style="221" customWidth="1"/>
    <col min="12556" max="12556" width="10.5703125" style="221" customWidth="1"/>
    <col min="12557" max="12557" width="13.28515625" style="221" customWidth="1"/>
    <col min="12558" max="12558" width="13.5703125" style="221" customWidth="1"/>
    <col min="12559" max="12559" width="14" style="221" customWidth="1"/>
    <col min="12560" max="12560" width="15.28515625" style="221" customWidth="1"/>
    <col min="12561" max="12563" width="0" style="221" hidden="1" customWidth="1"/>
    <col min="12564" max="12564" width="9.5703125" style="221" bestFit="1" customWidth="1"/>
    <col min="12565" max="12565" width="9.7109375" style="221" bestFit="1" customWidth="1"/>
    <col min="12566" max="12800" width="9.140625" style="221"/>
    <col min="12801" max="12801" width="7.85546875" style="221" customWidth="1"/>
    <col min="12802" max="12802" width="23.140625" style="221" customWidth="1"/>
    <col min="12803" max="12803" width="10.28515625" style="221" customWidth="1"/>
    <col min="12804" max="12804" width="19.7109375" style="221" bestFit="1" customWidth="1"/>
    <col min="12805" max="12805" width="18.140625" style="221" customWidth="1"/>
    <col min="12806" max="12808" width="14.140625" style="221" customWidth="1"/>
    <col min="12809" max="12809" width="18.140625" style="221" customWidth="1"/>
    <col min="12810" max="12810" width="19.140625" style="221" customWidth="1"/>
    <col min="12811" max="12811" width="16.5703125" style="221" customWidth="1"/>
    <col min="12812" max="12812" width="10.5703125" style="221" customWidth="1"/>
    <col min="12813" max="12813" width="13.28515625" style="221" customWidth="1"/>
    <col min="12814" max="12814" width="13.5703125" style="221" customWidth="1"/>
    <col min="12815" max="12815" width="14" style="221" customWidth="1"/>
    <col min="12816" max="12816" width="15.28515625" style="221" customWidth="1"/>
    <col min="12817" max="12819" width="0" style="221" hidden="1" customWidth="1"/>
    <col min="12820" max="12820" width="9.5703125" style="221" bestFit="1" customWidth="1"/>
    <col min="12821" max="12821" width="9.7109375" style="221" bestFit="1" customWidth="1"/>
    <col min="12822" max="13056" width="9.140625" style="221"/>
    <col min="13057" max="13057" width="7.85546875" style="221" customWidth="1"/>
    <col min="13058" max="13058" width="23.140625" style="221" customWidth="1"/>
    <col min="13059" max="13059" width="10.28515625" style="221" customWidth="1"/>
    <col min="13060" max="13060" width="19.7109375" style="221" bestFit="1" customWidth="1"/>
    <col min="13061" max="13061" width="18.140625" style="221" customWidth="1"/>
    <col min="13062" max="13064" width="14.140625" style="221" customWidth="1"/>
    <col min="13065" max="13065" width="18.140625" style="221" customWidth="1"/>
    <col min="13066" max="13066" width="19.140625" style="221" customWidth="1"/>
    <col min="13067" max="13067" width="16.5703125" style="221" customWidth="1"/>
    <col min="13068" max="13068" width="10.5703125" style="221" customWidth="1"/>
    <col min="13069" max="13069" width="13.28515625" style="221" customWidth="1"/>
    <col min="13070" max="13070" width="13.5703125" style="221" customWidth="1"/>
    <col min="13071" max="13071" width="14" style="221" customWidth="1"/>
    <col min="13072" max="13072" width="15.28515625" style="221" customWidth="1"/>
    <col min="13073" max="13075" width="0" style="221" hidden="1" customWidth="1"/>
    <col min="13076" max="13076" width="9.5703125" style="221" bestFit="1" customWidth="1"/>
    <col min="13077" max="13077" width="9.7109375" style="221" bestFit="1" customWidth="1"/>
    <col min="13078" max="13312" width="9.140625" style="221"/>
    <col min="13313" max="13313" width="7.85546875" style="221" customWidth="1"/>
    <col min="13314" max="13314" width="23.140625" style="221" customWidth="1"/>
    <col min="13315" max="13315" width="10.28515625" style="221" customWidth="1"/>
    <col min="13316" max="13316" width="19.7109375" style="221" bestFit="1" customWidth="1"/>
    <col min="13317" max="13317" width="18.140625" style="221" customWidth="1"/>
    <col min="13318" max="13320" width="14.140625" style="221" customWidth="1"/>
    <col min="13321" max="13321" width="18.140625" style="221" customWidth="1"/>
    <col min="13322" max="13322" width="19.140625" style="221" customWidth="1"/>
    <col min="13323" max="13323" width="16.5703125" style="221" customWidth="1"/>
    <col min="13324" max="13324" width="10.5703125" style="221" customWidth="1"/>
    <col min="13325" max="13325" width="13.28515625" style="221" customWidth="1"/>
    <col min="13326" max="13326" width="13.5703125" style="221" customWidth="1"/>
    <col min="13327" max="13327" width="14" style="221" customWidth="1"/>
    <col min="13328" max="13328" width="15.28515625" style="221" customWidth="1"/>
    <col min="13329" max="13331" width="0" style="221" hidden="1" customWidth="1"/>
    <col min="13332" max="13332" width="9.5703125" style="221" bestFit="1" customWidth="1"/>
    <col min="13333" max="13333" width="9.7109375" style="221" bestFit="1" customWidth="1"/>
    <col min="13334" max="13568" width="9.140625" style="221"/>
    <col min="13569" max="13569" width="7.85546875" style="221" customWidth="1"/>
    <col min="13570" max="13570" width="23.140625" style="221" customWidth="1"/>
    <col min="13571" max="13571" width="10.28515625" style="221" customWidth="1"/>
    <col min="13572" max="13572" width="19.7109375" style="221" bestFit="1" customWidth="1"/>
    <col min="13573" max="13573" width="18.140625" style="221" customWidth="1"/>
    <col min="13574" max="13576" width="14.140625" style="221" customWidth="1"/>
    <col min="13577" max="13577" width="18.140625" style="221" customWidth="1"/>
    <col min="13578" max="13578" width="19.140625" style="221" customWidth="1"/>
    <col min="13579" max="13579" width="16.5703125" style="221" customWidth="1"/>
    <col min="13580" max="13580" width="10.5703125" style="221" customWidth="1"/>
    <col min="13581" max="13581" width="13.28515625" style="221" customWidth="1"/>
    <col min="13582" max="13582" width="13.5703125" style="221" customWidth="1"/>
    <col min="13583" max="13583" width="14" style="221" customWidth="1"/>
    <col min="13584" max="13584" width="15.28515625" style="221" customWidth="1"/>
    <col min="13585" max="13587" width="0" style="221" hidden="1" customWidth="1"/>
    <col min="13588" max="13588" width="9.5703125" style="221" bestFit="1" customWidth="1"/>
    <col min="13589" max="13589" width="9.7109375" style="221" bestFit="1" customWidth="1"/>
    <col min="13590" max="13824" width="9.140625" style="221"/>
    <col min="13825" max="13825" width="7.85546875" style="221" customWidth="1"/>
    <col min="13826" max="13826" width="23.140625" style="221" customWidth="1"/>
    <col min="13827" max="13827" width="10.28515625" style="221" customWidth="1"/>
    <col min="13828" max="13828" width="19.7109375" style="221" bestFit="1" customWidth="1"/>
    <col min="13829" max="13829" width="18.140625" style="221" customWidth="1"/>
    <col min="13830" max="13832" width="14.140625" style="221" customWidth="1"/>
    <col min="13833" max="13833" width="18.140625" style="221" customWidth="1"/>
    <col min="13834" max="13834" width="19.140625" style="221" customWidth="1"/>
    <col min="13835" max="13835" width="16.5703125" style="221" customWidth="1"/>
    <col min="13836" max="13836" width="10.5703125" style="221" customWidth="1"/>
    <col min="13837" max="13837" width="13.28515625" style="221" customWidth="1"/>
    <col min="13838" max="13838" width="13.5703125" style="221" customWidth="1"/>
    <col min="13839" max="13839" width="14" style="221" customWidth="1"/>
    <col min="13840" max="13840" width="15.28515625" style="221" customWidth="1"/>
    <col min="13841" max="13843" width="0" style="221" hidden="1" customWidth="1"/>
    <col min="13844" max="13844" width="9.5703125" style="221" bestFit="1" customWidth="1"/>
    <col min="13845" max="13845" width="9.7109375" style="221" bestFit="1" customWidth="1"/>
    <col min="13846" max="14080" width="9.140625" style="221"/>
    <col min="14081" max="14081" width="7.85546875" style="221" customWidth="1"/>
    <col min="14082" max="14082" width="23.140625" style="221" customWidth="1"/>
    <col min="14083" max="14083" width="10.28515625" style="221" customWidth="1"/>
    <col min="14084" max="14084" width="19.7109375" style="221" bestFit="1" customWidth="1"/>
    <col min="14085" max="14085" width="18.140625" style="221" customWidth="1"/>
    <col min="14086" max="14088" width="14.140625" style="221" customWidth="1"/>
    <col min="14089" max="14089" width="18.140625" style="221" customWidth="1"/>
    <col min="14090" max="14090" width="19.140625" style="221" customWidth="1"/>
    <col min="14091" max="14091" width="16.5703125" style="221" customWidth="1"/>
    <col min="14092" max="14092" width="10.5703125" style="221" customWidth="1"/>
    <col min="14093" max="14093" width="13.28515625" style="221" customWidth="1"/>
    <col min="14094" max="14094" width="13.5703125" style="221" customWidth="1"/>
    <col min="14095" max="14095" width="14" style="221" customWidth="1"/>
    <col min="14096" max="14096" width="15.28515625" style="221" customWidth="1"/>
    <col min="14097" max="14099" width="0" style="221" hidden="1" customWidth="1"/>
    <col min="14100" max="14100" width="9.5703125" style="221" bestFit="1" customWidth="1"/>
    <col min="14101" max="14101" width="9.7109375" style="221" bestFit="1" customWidth="1"/>
    <col min="14102" max="14336" width="9.140625" style="221"/>
    <col min="14337" max="14337" width="7.85546875" style="221" customWidth="1"/>
    <col min="14338" max="14338" width="23.140625" style="221" customWidth="1"/>
    <col min="14339" max="14339" width="10.28515625" style="221" customWidth="1"/>
    <col min="14340" max="14340" width="19.7109375" style="221" bestFit="1" customWidth="1"/>
    <col min="14341" max="14341" width="18.140625" style="221" customWidth="1"/>
    <col min="14342" max="14344" width="14.140625" style="221" customWidth="1"/>
    <col min="14345" max="14345" width="18.140625" style="221" customWidth="1"/>
    <col min="14346" max="14346" width="19.140625" style="221" customWidth="1"/>
    <col min="14347" max="14347" width="16.5703125" style="221" customWidth="1"/>
    <col min="14348" max="14348" width="10.5703125" style="221" customWidth="1"/>
    <col min="14349" max="14349" width="13.28515625" style="221" customWidth="1"/>
    <col min="14350" max="14350" width="13.5703125" style="221" customWidth="1"/>
    <col min="14351" max="14351" width="14" style="221" customWidth="1"/>
    <col min="14352" max="14352" width="15.28515625" style="221" customWidth="1"/>
    <col min="14353" max="14355" width="0" style="221" hidden="1" customWidth="1"/>
    <col min="14356" max="14356" width="9.5703125" style="221" bestFit="1" customWidth="1"/>
    <col min="14357" max="14357" width="9.7109375" style="221" bestFit="1" customWidth="1"/>
    <col min="14358" max="14592" width="9.140625" style="221"/>
    <col min="14593" max="14593" width="7.85546875" style="221" customWidth="1"/>
    <col min="14594" max="14594" width="23.140625" style="221" customWidth="1"/>
    <col min="14595" max="14595" width="10.28515625" style="221" customWidth="1"/>
    <col min="14596" max="14596" width="19.7109375" style="221" bestFit="1" customWidth="1"/>
    <col min="14597" max="14597" width="18.140625" style="221" customWidth="1"/>
    <col min="14598" max="14600" width="14.140625" style="221" customWidth="1"/>
    <col min="14601" max="14601" width="18.140625" style="221" customWidth="1"/>
    <col min="14602" max="14602" width="19.140625" style="221" customWidth="1"/>
    <col min="14603" max="14603" width="16.5703125" style="221" customWidth="1"/>
    <col min="14604" max="14604" width="10.5703125" style="221" customWidth="1"/>
    <col min="14605" max="14605" width="13.28515625" style="221" customWidth="1"/>
    <col min="14606" max="14606" width="13.5703125" style="221" customWidth="1"/>
    <col min="14607" max="14607" width="14" style="221" customWidth="1"/>
    <col min="14608" max="14608" width="15.28515625" style="221" customWidth="1"/>
    <col min="14609" max="14611" width="0" style="221" hidden="1" customWidth="1"/>
    <col min="14612" max="14612" width="9.5703125" style="221" bestFit="1" customWidth="1"/>
    <col min="14613" max="14613" width="9.7109375" style="221" bestFit="1" customWidth="1"/>
    <col min="14614" max="14848" width="9.140625" style="221"/>
    <col min="14849" max="14849" width="7.85546875" style="221" customWidth="1"/>
    <col min="14850" max="14850" width="23.140625" style="221" customWidth="1"/>
    <col min="14851" max="14851" width="10.28515625" style="221" customWidth="1"/>
    <col min="14852" max="14852" width="19.7109375" style="221" bestFit="1" customWidth="1"/>
    <col min="14853" max="14853" width="18.140625" style="221" customWidth="1"/>
    <col min="14854" max="14856" width="14.140625" style="221" customWidth="1"/>
    <col min="14857" max="14857" width="18.140625" style="221" customWidth="1"/>
    <col min="14858" max="14858" width="19.140625" style="221" customWidth="1"/>
    <col min="14859" max="14859" width="16.5703125" style="221" customWidth="1"/>
    <col min="14860" max="14860" width="10.5703125" style="221" customWidth="1"/>
    <col min="14861" max="14861" width="13.28515625" style="221" customWidth="1"/>
    <col min="14862" max="14862" width="13.5703125" style="221" customWidth="1"/>
    <col min="14863" max="14863" width="14" style="221" customWidth="1"/>
    <col min="14864" max="14864" width="15.28515625" style="221" customWidth="1"/>
    <col min="14865" max="14867" width="0" style="221" hidden="1" customWidth="1"/>
    <col min="14868" max="14868" width="9.5703125" style="221" bestFit="1" customWidth="1"/>
    <col min="14869" max="14869" width="9.7109375" style="221" bestFit="1" customWidth="1"/>
    <col min="14870" max="15104" width="9.140625" style="221"/>
    <col min="15105" max="15105" width="7.85546875" style="221" customWidth="1"/>
    <col min="15106" max="15106" width="23.140625" style="221" customWidth="1"/>
    <col min="15107" max="15107" width="10.28515625" style="221" customWidth="1"/>
    <col min="15108" max="15108" width="19.7109375" style="221" bestFit="1" customWidth="1"/>
    <col min="15109" max="15109" width="18.140625" style="221" customWidth="1"/>
    <col min="15110" max="15112" width="14.140625" style="221" customWidth="1"/>
    <col min="15113" max="15113" width="18.140625" style="221" customWidth="1"/>
    <col min="15114" max="15114" width="19.140625" style="221" customWidth="1"/>
    <col min="15115" max="15115" width="16.5703125" style="221" customWidth="1"/>
    <col min="15116" max="15116" width="10.5703125" style="221" customWidth="1"/>
    <col min="15117" max="15117" width="13.28515625" style="221" customWidth="1"/>
    <col min="15118" max="15118" width="13.5703125" style="221" customWidth="1"/>
    <col min="15119" max="15119" width="14" style="221" customWidth="1"/>
    <col min="15120" max="15120" width="15.28515625" style="221" customWidth="1"/>
    <col min="15121" max="15123" width="0" style="221" hidden="1" customWidth="1"/>
    <col min="15124" max="15124" width="9.5703125" style="221" bestFit="1" customWidth="1"/>
    <col min="15125" max="15125" width="9.7109375" style="221" bestFit="1" customWidth="1"/>
    <col min="15126" max="15360" width="9.140625" style="221"/>
    <col min="15361" max="15361" width="7.85546875" style="221" customWidth="1"/>
    <col min="15362" max="15362" width="23.140625" style="221" customWidth="1"/>
    <col min="15363" max="15363" width="10.28515625" style="221" customWidth="1"/>
    <col min="15364" max="15364" width="19.7109375" style="221" bestFit="1" customWidth="1"/>
    <col min="15365" max="15365" width="18.140625" style="221" customWidth="1"/>
    <col min="15366" max="15368" width="14.140625" style="221" customWidth="1"/>
    <col min="15369" max="15369" width="18.140625" style="221" customWidth="1"/>
    <col min="15370" max="15370" width="19.140625" style="221" customWidth="1"/>
    <col min="15371" max="15371" width="16.5703125" style="221" customWidth="1"/>
    <col min="15372" max="15372" width="10.5703125" style="221" customWidth="1"/>
    <col min="15373" max="15373" width="13.28515625" style="221" customWidth="1"/>
    <col min="15374" max="15374" width="13.5703125" style="221" customWidth="1"/>
    <col min="15375" max="15375" width="14" style="221" customWidth="1"/>
    <col min="15376" max="15376" width="15.28515625" style="221" customWidth="1"/>
    <col min="15377" max="15379" width="0" style="221" hidden="1" customWidth="1"/>
    <col min="15380" max="15380" width="9.5703125" style="221" bestFit="1" customWidth="1"/>
    <col min="15381" max="15381" width="9.7109375" style="221" bestFit="1" customWidth="1"/>
    <col min="15382" max="15616" width="9.140625" style="221"/>
    <col min="15617" max="15617" width="7.85546875" style="221" customWidth="1"/>
    <col min="15618" max="15618" width="23.140625" style="221" customWidth="1"/>
    <col min="15619" max="15619" width="10.28515625" style="221" customWidth="1"/>
    <col min="15620" max="15620" width="19.7109375" style="221" bestFit="1" customWidth="1"/>
    <col min="15621" max="15621" width="18.140625" style="221" customWidth="1"/>
    <col min="15622" max="15624" width="14.140625" style="221" customWidth="1"/>
    <col min="15625" max="15625" width="18.140625" style="221" customWidth="1"/>
    <col min="15626" max="15626" width="19.140625" style="221" customWidth="1"/>
    <col min="15627" max="15627" width="16.5703125" style="221" customWidth="1"/>
    <col min="15628" max="15628" width="10.5703125" style="221" customWidth="1"/>
    <col min="15629" max="15629" width="13.28515625" style="221" customWidth="1"/>
    <col min="15630" max="15630" width="13.5703125" style="221" customWidth="1"/>
    <col min="15631" max="15631" width="14" style="221" customWidth="1"/>
    <col min="15632" max="15632" width="15.28515625" style="221" customWidth="1"/>
    <col min="15633" max="15635" width="0" style="221" hidden="1" customWidth="1"/>
    <col min="15636" max="15636" width="9.5703125" style="221" bestFit="1" customWidth="1"/>
    <col min="15637" max="15637" width="9.7109375" style="221" bestFit="1" customWidth="1"/>
    <col min="15638" max="15872" width="9.140625" style="221"/>
    <col min="15873" max="15873" width="7.85546875" style="221" customWidth="1"/>
    <col min="15874" max="15874" width="23.140625" style="221" customWidth="1"/>
    <col min="15875" max="15875" width="10.28515625" style="221" customWidth="1"/>
    <col min="15876" max="15876" width="19.7109375" style="221" bestFit="1" customWidth="1"/>
    <col min="15877" max="15877" width="18.140625" style="221" customWidth="1"/>
    <col min="15878" max="15880" width="14.140625" style="221" customWidth="1"/>
    <col min="15881" max="15881" width="18.140625" style="221" customWidth="1"/>
    <col min="15882" max="15882" width="19.140625" style="221" customWidth="1"/>
    <col min="15883" max="15883" width="16.5703125" style="221" customWidth="1"/>
    <col min="15884" max="15884" width="10.5703125" style="221" customWidth="1"/>
    <col min="15885" max="15885" width="13.28515625" style="221" customWidth="1"/>
    <col min="15886" max="15886" width="13.5703125" style="221" customWidth="1"/>
    <col min="15887" max="15887" width="14" style="221" customWidth="1"/>
    <col min="15888" max="15888" width="15.28515625" style="221" customWidth="1"/>
    <col min="15889" max="15891" width="0" style="221" hidden="1" customWidth="1"/>
    <col min="15892" max="15892" width="9.5703125" style="221" bestFit="1" customWidth="1"/>
    <col min="15893" max="15893" width="9.7109375" style="221" bestFit="1" customWidth="1"/>
    <col min="15894" max="16128" width="9.140625" style="221"/>
    <col min="16129" max="16129" width="7.85546875" style="221" customWidth="1"/>
    <col min="16130" max="16130" width="23.140625" style="221" customWidth="1"/>
    <col min="16131" max="16131" width="10.28515625" style="221" customWidth="1"/>
    <col min="16132" max="16132" width="19.7109375" style="221" bestFit="1" customWidth="1"/>
    <col min="16133" max="16133" width="18.140625" style="221" customWidth="1"/>
    <col min="16134" max="16136" width="14.140625" style="221" customWidth="1"/>
    <col min="16137" max="16137" width="18.140625" style="221" customWidth="1"/>
    <col min="16138" max="16138" width="19.140625" style="221" customWidth="1"/>
    <col min="16139" max="16139" width="16.5703125" style="221" customWidth="1"/>
    <col min="16140" max="16140" width="10.5703125" style="221" customWidth="1"/>
    <col min="16141" max="16141" width="13.28515625" style="221" customWidth="1"/>
    <col min="16142" max="16142" width="13.5703125" style="221" customWidth="1"/>
    <col min="16143" max="16143" width="14" style="221" customWidth="1"/>
    <col min="16144" max="16144" width="15.28515625" style="221" customWidth="1"/>
    <col min="16145" max="16147" width="0" style="221" hidden="1" customWidth="1"/>
    <col min="16148" max="16148" width="9.5703125" style="221" bestFit="1" customWidth="1"/>
    <col min="16149" max="16149" width="9.7109375" style="221" bestFit="1" customWidth="1"/>
    <col min="16150" max="16384" width="9.140625" style="221"/>
  </cols>
  <sheetData>
    <row r="1" spans="1:21" ht="17.25" outlineLevel="1" thickTop="1" thickBot="1" x14ac:dyDescent="0.3">
      <c r="B1" s="588" t="str">
        <f>פרמטרים!D28</f>
        <v>בונוס עבור עמידה במגבלות חריגה תקציבית</v>
      </c>
      <c r="C1" s="589"/>
      <c r="D1" s="590"/>
    </row>
    <row r="2" spans="1:21" ht="17.25" outlineLevel="1" thickTop="1" thickBot="1" x14ac:dyDescent="0.25">
      <c r="B2" s="257" t="str">
        <f>פרמטרים!D29</f>
        <v>סעיף</v>
      </c>
      <c r="C2" s="235" t="str">
        <f>פרמטרים!E29</f>
        <v>שיעור</v>
      </c>
      <c r="D2" s="258" t="str">
        <f>פרמטרים!F29</f>
        <v>הערות</v>
      </c>
      <c r="J2" s="19" t="e">
        <f>'חריגות שכר'!D1</f>
        <v>#REF!</v>
      </c>
      <c r="K2" s="10" t="e">
        <f>'חריגות שכר'!E1</f>
        <v>#REF!</v>
      </c>
    </row>
    <row r="3" spans="1:21" ht="18.75" outlineLevel="1" thickBot="1" x14ac:dyDescent="0.25">
      <c r="B3" s="259" t="str">
        <f>פרמטרים!D30</f>
        <v>גרעון שוטף</v>
      </c>
      <c r="C3" s="236">
        <f>פרמטרים!E30</f>
        <v>0</v>
      </c>
      <c r="D3" s="586" t="str">
        <f>פרמטרים!F30</f>
        <v>תנאים מצטברים</v>
      </c>
      <c r="J3" s="20" t="e">
        <f>'חריגות שכר'!D2</f>
        <v>#REF!</v>
      </c>
      <c r="K3" s="9" t="e">
        <f>'חריגות שכר'!E2</f>
        <v>#REF!</v>
      </c>
    </row>
    <row r="4" spans="1:21" ht="13.5" outlineLevel="1" thickTop="1" x14ac:dyDescent="0.2">
      <c r="B4" s="260" t="str">
        <f>פרמטרים!D31</f>
        <v>גרעון מצטבר</v>
      </c>
      <c r="C4" s="237">
        <f>פרמטרים!E31</f>
        <v>0.2</v>
      </c>
      <c r="D4" s="587"/>
    </row>
    <row r="5" spans="1:21" ht="16.5" outlineLevel="1" thickBot="1" x14ac:dyDescent="0.25">
      <c r="B5" s="261" t="str">
        <f>פרמטרים!D32</f>
        <v>שיעור הבונוס</v>
      </c>
      <c r="C5" s="262">
        <f>פרמטרים!E32</f>
        <v>0.03</v>
      </c>
      <c r="D5" s="263"/>
    </row>
    <row r="6" spans="1:21" ht="17.25" thickTop="1" thickBot="1" x14ac:dyDescent="0.3">
      <c r="A6" s="651" t="s">
        <v>214</v>
      </c>
      <c r="B6" s="656"/>
      <c r="C6" s="656"/>
      <c r="D6" s="656"/>
      <c r="E6" s="656"/>
      <c r="F6" s="656"/>
      <c r="G6" s="656"/>
      <c r="H6" s="656"/>
      <c r="I6" s="656"/>
      <c r="J6" s="656"/>
      <c r="K6" s="656"/>
      <c r="L6" s="656"/>
      <c r="M6" s="656"/>
      <c r="N6" s="656"/>
      <c r="O6" s="656"/>
      <c r="P6" s="657"/>
    </row>
    <row r="7" spans="1:21" ht="52.5" customHeight="1" thickTop="1" thickBot="1" x14ac:dyDescent="0.25">
      <c r="A7" s="222" t="e">
        <f>'חריגות שכר'!A4</f>
        <v>#REF!</v>
      </c>
      <c r="B7" s="222" t="e">
        <f>'חריגות שכר'!B4</f>
        <v>#REF!</v>
      </c>
      <c r="C7" s="223" t="s">
        <v>122</v>
      </c>
      <c r="D7" s="223" t="s">
        <v>24</v>
      </c>
      <c r="E7" s="344" t="e">
        <f>"עודף / גרעון
שוטף "&amp;$K$2-3</f>
        <v>#REF!</v>
      </c>
      <c r="F7" s="345" t="e">
        <f>"עודף / גרעון
מצטבר "&amp;$K$2-3</f>
        <v>#REF!</v>
      </c>
      <c r="G7" s="223" t="s">
        <v>215</v>
      </c>
      <c r="H7" s="223" t="s">
        <v>216</v>
      </c>
      <c r="I7" s="223" t="s">
        <v>217</v>
      </c>
      <c r="J7" s="223" t="s">
        <v>218</v>
      </c>
      <c r="K7" s="223" t="s">
        <v>219</v>
      </c>
      <c r="L7" s="223" t="s">
        <v>220</v>
      </c>
      <c r="M7" s="223" t="s">
        <v>221</v>
      </c>
      <c r="N7" s="223" t="s">
        <v>222</v>
      </c>
      <c r="O7" s="223" t="s">
        <v>223</v>
      </c>
      <c r="P7" s="224" t="s">
        <v>224</v>
      </c>
    </row>
    <row r="8" spans="1:21" x14ac:dyDescent="0.2">
      <c r="A8" s="225" t="e">
        <f>'חריגות שכר'!A5</f>
        <v>#REF!</v>
      </c>
      <c r="B8" s="225" t="str">
        <f ca="1">'חריגות שכר'!B5</f>
        <v>1280 מעלות (אמנים יוצרים)</v>
      </c>
      <c r="C8" s="238">
        <f ca="1">הגנה!AU31</f>
        <v>3.3985441070425441E-2</v>
      </c>
      <c r="D8" s="239"/>
      <c r="E8" s="239"/>
      <c r="F8" s="239"/>
      <c r="G8" s="239"/>
      <c r="H8" s="227">
        <f t="shared" ref="H8:H35" ca="1" si="0">IF(OR(C8="",SUM(Q8,S8)&lt;2),"",E8+G8)</f>
        <v>0</v>
      </c>
      <c r="I8" s="232" t="str">
        <f t="shared" ref="I8:I35" ca="1" si="1">IF(H8="","",IF($D8=0,"--",H8/$D8))</f>
        <v>--</v>
      </c>
      <c r="J8" s="227">
        <f t="shared" ref="J8:J35" ca="1" si="2">IF(OR(C8="",SUM(R8:S8)&lt;2),"",F8-E8+H8)</f>
        <v>0</v>
      </c>
      <c r="K8" s="232" t="str">
        <f t="shared" ref="K8:K35" ca="1" si="3">IF(OR($C8="",D8&lt;0),"",IF($D8=0,"--",J8/$D8))</f>
        <v>--</v>
      </c>
      <c r="L8" s="240">
        <f t="shared" ref="L8:L35" ca="1" si="4">IF(OR(C8="",D8&lt;0),"",IF(AND(I8&gt;=$C$3,K8&gt;-$C$4),1,0))</f>
        <v>1</v>
      </c>
      <c r="M8" s="241">
        <f t="shared" ref="M8:M35" ca="1" si="5">IF(OR(C8="",L8=""),"",IF(L8=1,C8*(1+$C$5),C8))</f>
        <v>3.5005004302538209E-2</v>
      </c>
      <c r="N8" s="227" t="e">
        <f t="shared" ref="N8:N35" ca="1" si="6">IF(M8="","",M8*$K$3)</f>
        <v>#REF!</v>
      </c>
      <c r="O8" s="242" t="str">
        <f t="shared" ref="O8:O35" ca="1" si="7">IF(ISERR(N8/$N$48),"",N8/$N$48)</f>
        <v/>
      </c>
      <c r="P8" s="243" t="str">
        <f t="shared" ref="P8:P35" ca="1" si="8">IF(O8="","",O8*$K$3)</f>
        <v/>
      </c>
      <c r="Q8" s="221">
        <f t="shared" ref="Q8:R23" ca="1" si="9">IF(OR($B8="",ISERR(E8/3)),0,1)</f>
        <v>1</v>
      </c>
      <c r="R8" s="221">
        <f t="shared" ca="1" si="9"/>
        <v>1</v>
      </c>
      <c r="S8" s="221">
        <f t="shared" ref="S8:S33" ca="1" si="10">IF($C8="",0,IF(ISERR(G8/3),0,IF(G8&lt;0,0,1)))</f>
        <v>1</v>
      </c>
      <c r="U8" s="244"/>
    </row>
    <row r="9" spans="1:21" x14ac:dyDescent="0.2">
      <c r="A9" s="225" t="e">
        <f>'חריגות שכר'!A6</f>
        <v>#REF!</v>
      </c>
      <c r="B9" s="225" t="str">
        <f ca="1">'חריגות שכר'!B6</f>
        <v>יהי (אורי צבי גרינברג)</v>
      </c>
      <c r="C9" s="238">
        <f ca="1">הגנה!AU32</f>
        <v>2.9028690949750847E-2</v>
      </c>
      <c r="D9" s="245">
        <v>996893</v>
      </c>
      <c r="E9" s="245">
        <v>290696</v>
      </c>
      <c r="F9" s="245">
        <v>208121</v>
      </c>
      <c r="G9" s="245"/>
      <c r="H9" s="227">
        <f t="shared" ca="1" si="0"/>
        <v>290696</v>
      </c>
      <c r="I9" s="232">
        <f t="shared" ca="1" si="1"/>
        <v>0.29160200743710707</v>
      </c>
      <c r="J9" s="227">
        <f t="shared" ca="1" si="2"/>
        <v>208121</v>
      </c>
      <c r="K9" s="232">
        <f t="shared" ca="1" si="3"/>
        <v>0.20876964729414291</v>
      </c>
      <c r="L9" s="240">
        <f t="shared" ca="1" si="4"/>
        <v>1</v>
      </c>
      <c r="M9" s="241">
        <f t="shared" ca="1" si="5"/>
        <v>2.9899551678243375E-2</v>
      </c>
      <c r="N9" s="227" t="e">
        <f t="shared" ca="1" si="6"/>
        <v>#REF!</v>
      </c>
      <c r="O9" s="242" t="str">
        <f t="shared" ca="1" si="7"/>
        <v/>
      </c>
      <c r="P9" s="243" t="str">
        <f t="shared" ca="1" si="8"/>
        <v/>
      </c>
      <c r="Q9" s="221">
        <f t="shared" ca="1" si="9"/>
        <v>1</v>
      </c>
      <c r="R9" s="221">
        <f t="shared" ca="1" si="9"/>
        <v>1</v>
      </c>
      <c r="S9" s="221">
        <f t="shared" ca="1" si="10"/>
        <v>1</v>
      </c>
      <c r="U9" s="244"/>
    </row>
    <row r="10" spans="1:21" x14ac:dyDescent="0.2">
      <c r="A10" s="225" t="e">
        <f>'חריגות שכר'!A7</f>
        <v>#REF!</v>
      </c>
      <c r="B10" s="225" t="str">
        <f ca="1">'חריגות שכר'!B7</f>
        <v/>
      </c>
      <c r="C10" s="238" t="str">
        <f ca="1">הגנה!AU33</f>
        <v/>
      </c>
      <c r="D10" s="245">
        <v>716047</v>
      </c>
      <c r="E10" s="245">
        <v>-260493</v>
      </c>
      <c r="F10" s="245">
        <v>-214913</v>
      </c>
      <c r="G10" s="245"/>
      <c r="H10" s="227" t="str">
        <f t="shared" ca="1" si="0"/>
        <v/>
      </c>
      <c r="I10" s="232" t="str">
        <f t="shared" ca="1" si="1"/>
        <v/>
      </c>
      <c r="J10" s="227" t="str">
        <f t="shared" ca="1" si="2"/>
        <v/>
      </c>
      <c r="K10" s="232" t="str">
        <f t="shared" ca="1" si="3"/>
        <v/>
      </c>
      <c r="L10" s="240" t="str">
        <f t="shared" ca="1" si="4"/>
        <v/>
      </c>
      <c r="M10" s="241" t="str">
        <f t="shared" ca="1" si="5"/>
        <v/>
      </c>
      <c r="N10" s="227" t="str">
        <f t="shared" ca="1" si="6"/>
        <v/>
      </c>
      <c r="O10" s="242" t="str">
        <f t="shared" ca="1" si="7"/>
        <v/>
      </c>
      <c r="P10" s="243" t="str">
        <f t="shared" ca="1" si="8"/>
        <v/>
      </c>
      <c r="Q10" s="221">
        <f t="shared" ca="1" si="9"/>
        <v>0</v>
      </c>
      <c r="R10" s="221">
        <f t="shared" ca="1" si="9"/>
        <v>0</v>
      </c>
      <c r="S10" s="221">
        <f t="shared" ca="1" si="10"/>
        <v>0</v>
      </c>
      <c r="U10" s="244"/>
    </row>
    <row r="11" spans="1:21" x14ac:dyDescent="0.2">
      <c r="A11" s="225" t="e">
        <f>'חריגות שכר'!A8</f>
        <v>#REF!</v>
      </c>
      <c r="B11" s="225" t="str">
        <f ca="1">'חריגות שכר'!B8</f>
        <v>דעות (ברית נאמני תורה ועבודה)</v>
      </c>
      <c r="C11" s="238">
        <f ca="1">הגנה!AU34</f>
        <v>4.7982832401599534E-2</v>
      </c>
      <c r="D11" s="245">
        <v>652993</v>
      </c>
      <c r="E11" s="245">
        <v>50960</v>
      </c>
      <c r="F11" s="245">
        <v>7769</v>
      </c>
      <c r="G11" s="245"/>
      <c r="H11" s="227">
        <f t="shared" ca="1" si="0"/>
        <v>50960</v>
      </c>
      <c r="I11" s="232">
        <f t="shared" ca="1" si="1"/>
        <v>7.8040652809448191E-2</v>
      </c>
      <c r="J11" s="227">
        <f t="shared" ca="1" si="2"/>
        <v>7769</v>
      </c>
      <c r="K11" s="232">
        <f t="shared" ca="1" si="3"/>
        <v>1.189752416947808E-2</v>
      </c>
      <c r="L11" s="240">
        <f t="shared" ca="1" si="4"/>
        <v>1</v>
      </c>
      <c r="M11" s="241">
        <f t="shared" ca="1" si="5"/>
        <v>4.9422317373647523E-2</v>
      </c>
      <c r="N11" s="227" t="e">
        <f t="shared" ca="1" si="6"/>
        <v>#REF!</v>
      </c>
      <c r="O11" s="242" t="str">
        <f t="shared" ca="1" si="7"/>
        <v/>
      </c>
      <c r="P11" s="243" t="str">
        <f t="shared" ca="1" si="8"/>
        <v/>
      </c>
      <c r="Q11" s="221">
        <f t="shared" ca="1" si="9"/>
        <v>1</v>
      </c>
      <c r="R11" s="221">
        <f t="shared" ca="1" si="9"/>
        <v>1</v>
      </c>
      <c r="S11" s="221">
        <f t="shared" ca="1" si="10"/>
        <v>1</v>
      </c>
      <c r="U11" s="244"/>
    </row>
    <row r="12" spans="1:21" x14ac:dyDescent="0.2">
      <c r="A12" s="225" t="e">
        <f>'חריגות שכר'!A9</f>
        <v>#REF!</v>
      </c>
      <c r="B12" s="225" t="str">
        <f ca="1">'חריגות שכר'!B9</f>
        <v>הליקון</v>
      </c>
      <c r="C12" s="238">
        <f ca="1">הגנה!AU35</f>
        <v>5.9350111713416524E-2</v>
      </c>
      <c r="D12" s="245">
        <v>44377</v>
      </c>
      <c r="E12" s="245">
        <v>6311</v>
      </c>
      <c r="F12" s="245">
        <v>3329</v>
      </c>
      <c r="G12" s="245"/>
      <c r="H12" s="227">
        <f t="shared" ca="1" si="0"/>
        <v>6311</v>
      </c>
      <c r="I12" s="232">
        <f t="shared" ca="1" si="1"/>
        <v>0.14221330869594609</v>
      </c>
      <c r="J12" s="227">
        <f t="shared" ca="1" si="2"/>
        <v>3329</v>
      </c>
      <c r="K12" s="232">
        <f t="shared" ca="1" si="3"/>
        <v>7.5016337291840374E-2</v>
      </c>
      <c r="L12" s="240">
        <f t="shared" ca="1" si="4"/>
        <v>1</v>
      </c>
      <c r="M12" s="241">
        <f t="shared" ca="1" si="5"/>
        <v>6.1130615064819024E-2</v>
      </c>
      <c r="N12" s="227" t="e">
        <f t="shared" ca="1" si="6"/>
        <v>#REF!</v>
      </c>
      <c r="O12" s="242" t="str">
        <f t="shared" ca="1" si="7"/>
        <v/>
      </c>
      <c r="P12" s="243" t="str">
        <f t="shared" ca="1" si="8"/>
        <v/>
      </c>
      <c r="Q12" s="221">
        <f t="shared" ca="1" si="9"/>
        <v>1</v>
      </c>
      <c r="R12" s="221">
        <f t="shared" ca="1" si="9"/>
        <v>1</v>
      </c>
      <c r="S12" s="221">
        <f t="shared" ca="1" si="10"/>
        <v>1</v>
      </c>
      <c r="U12" s="244"/>
    </row>
    <row r="13" spans="1:21" x14ac:dyDescent="0.2">
      <c r="A13" s="225" t="e">
        <f>'חריגות שכר'!A10</f>
        <v>#REF!</v>
      </c>
      <c r="B13" s="225" t="str">
        <f ca="1">'חריגות שכר'!B10</f>
        <v/>
      </c>
      <c r="C13" s="238" t="str">
        <f ca="1">הגנה!AU36</f>
        <v/>
      </c>
      <c r="D13" s="245">
        <v>1398131</v>
      </c>
      <c r="E13" s="245">
        <v>-44310</v>
      </c>
      <c r="F13" s="245">
        <v>-145928</v>
      </c>
      <c r="G13" s="245"/>
      <c r="H13" s="227" t="str">
        <f t="shared" ca="1" si="0"/>
        <v/>
      </c>
      <c r="I13" s="232" t="str">
        <f t="shared" ca="1" si="1"/>
        <v/>
      </c>
      <c r="J13" s="227" t="str">
        <f t="shared" ca="1" si="2"/>
        <v/>
      </c>
      <c r="K13" s="232" t="str">
        <f t="shared" ca="1" si="3"/>
        <v/>
      </c>
      <c r="L13" s="240" t="str">
        <f t="shared" ca="1" si="4"/>
        <v/>
      </c>
      <c r="M13" s="241" t="str">
        <f t="shared" ca="1" si="5"/>
        <v/>
      </c>
      <c r="N13" s="227" t="str">
        <f t="shared" ca="1" si="6"/>
        <v/>
      </c>
      <c r="O13" s="242" t="str">
        <f t="shared" ca="1" si="7"/>
        <v/>
      </c>
      <c r="P13" s="243" t="str">
        <f t="shared" ca="1" si="8"/>
        <v/>
      </c>
      <c r="Q13" s="221">
        <f t="shared" ca="1" si="9"/>
        <v>0</v>
      </c>
      <c r="R13" s="221">
        <f t="shared" ca="1" si="9"/>
        <v>0</v>
      </c>
      <c r="S13" s="221">
        <f t="shared" ca="1" si="10"/>
        <v>0</v>
      </c>
      <c r="U13" s="244"/>
    </row>
    <row r="14" spans="1:21" x14ac:dyDescent="0.2">
      <c r="A14" s="225" t="e">
        <f>'חריגות שכר'!A11</f>
        <v>#REF!</v>
      </c>
      <c r="B14" s="225" t="str">
        <f ca="1">'חריגות שכר'!B11</f>
        <v/>
      </c>
      <c r="C14" s="238" t="str">
        <f ca="1">הגנה!AU37</f>
        <v/>
      </c>
      <c r="D14" s="245">
        <v>92181</v>
      </c>
      <c r="E14" s="245">
        <v>-11102</v>
      </c>
      <c r="F14" s="245">
        <v>22164</v>
      </c>
      <c r="G14" s="245"/>
      <c r="H14" s="227" t="str">
        <f t="shared" ca="1" si="0"/>
        <v/>
      </c>
      <c r="I14" s="232" t="str">
        <f t="shared" ca="1" si="1"/>
        <v/>
      </c>
      <c r="J14" s="227" t="str">
        <f t="shared" ca="1" si="2"/>
        <v/>
      </c>
      <c r="K14" s="232" t="str">
        <f t="shared" ca="1" si="3"/>
        <v/>
      </c>
      <c r="L14" s="240" t="str">
        <f t="shared" ca="1" si="4"/>
        <v/>
      </c>
      <c r="M14" s="241" t="str">
        <f t="shared" ca="1" si="5"/>
        <v/>
      </c>
      <c r="N14" s="227" t="str">
        <f t="shared" ca="1" si="6"/>
        <v/>
      </c>
      <c r="O14" s="242" t="str">
        <f t="shared" ca="1" si="7"/>
        <v/>
      </c>
      <c r="P14" s="243" t="str">
        <f t="shared" ca="1" si="8"/>
        <v/>
      </c>
      <c r="Q14" s="221">
        <f t="shared" ca="1" si="9"/>
        <v>0</v>
      </c>
      <c r="R14" s="221">
        <f t="shared" ca="1" si="9"/>
        <v>0</v>
      </c>
      <c r="S14" s="221">
        <f t="shared" ca="1" si="10"/>
        <v>0</v>
      </c>
      <c r="U14" s="244"/>
    </row>
    <row r="15" spans="1:21" x14ac:dyDescent="0.2">
      <c r="A15" s="225" t="e">
        <f>'חריגות שכר'!A12</f>
        <v>#REF!</v>
      </c>
      <c r="B15" s="225" t="str">
        <f ca="1">'חריגות שכר'!B12</f>
        <v>ננפואטיקה (עמותת מקום לשירה)</v>
      </c>
      <c r="C15" s="238">
        <f ca="1">הגנה!AU38</f>
        <v>7.2944434929907681E-2</v>
      </c>
      <c r="D15" s="245">
        <v>372995</v>
      </c>
      <c r="E15" s="245">
        <v>-64927</v>
      </c>
      <c r="F15" s="245">
        <v>-75913</v>
      </c>
      <c r="G15" s="245"/>
      <c r="H15" s="227">
        <f t="shared" ca="1" si="0"/>
        <v>-64927</v>
      </c>
      <c r="I15" s="232">
        <f t="shared" ca="1" si="1"/>
        <v>-0.1740693574980898</v>
      </c>
      <c r="J15" s="227">
        <f t="shared" ca="1" si="2"/>
        <v>-75913</v>
      </c>
      <c r="K15" s="232">
        <f t="shared" ca="1" si="3"/>
        <v>-0.20352283542674834</v>
      </c>
      <c r="L15" s="240">
        <f t="shared" ca="1" si="4"/>
        <v>0</v>
      </c>
      <c r="M15" s="241">
        <f t="shared" ca="1" si="5"/>
        <v>7.2944434929907681E-2</v>
      </c>
      <c r="N15" s="227" t="e">
        <f t="shared" ca="1" si="6"/>
        <v>#REF!</v>
      </c>
      <c r="O15" s="242" t="str">
        <f t="shared" ca="1" si="7"/>
        <v/>
      </c>
      <c r="P15" s="243" t="str">
        <f t="shared" ca="1" si="8"/>
        <v/>
      </c>
      <c r="Q15" s="221">
        <f t="shared" ca="1" si="9"/>
        <v>1</v>
      </c>
      <c r="R15" s="221">
        <f t="shared" ca="1" si="9"/>
        <v>1</v>
      </c>
      <c r="S15" s="221">
        <f t="shared" ca="1" si="10"/>
        <v>1</v>
      </c>
      <c r="U15" s="244"/>
    </row>
    <row r="16" spans="1:21" hidden="1" x14ac:dyDescent="0.2">
      <c r="A16" s="225" t="e">
        <f>'חריגות שכר'!A13</f>
        <v>#REF!</v>
      </c>
      <c r="B16" s="225" t="str">
        <f ca="1">'חריגות שכר'!B13</f>
        <v>מאזניים (אגודת הסופרים העבריים)</v>
      </c>
      <c r="C16" s="238">
        <f ca="1">הגנה!AU39</f>
        <v>8.1662297794135238E-2</v>
      </c>
      <c r="D16" s="245"/>
      <c r="E16" s="245"/>
      <c r="F16" s="245"/>
      <c r="G16" s="245"/>
      <c r="H16" s="227">
        <f t="shared" ca="1" si="0"/>
        <v>0</v>
      </c>
      <c r="I16" s="232" t="str">
        <f t="shared" ca="1" si="1"/>
        <v>--</v>
      </c>
      <c r="J16" s="227">
        <f t="shared" ca="1" si="2"/>
        <v>0</v>
      </c>
      <c r="K16" s="232" t="str">
        <f t="shared" ca="1" si="3"/>
        <v>--</v>
      </c>
      <c r="L16" s="240">
        <f t="shared" ca="1" si="4"/>
        <v>1</v>
      </c>
      <c r="M16" s="241">
        <f t="shared" ca="1" si="5"/>
        <v>8.4112166727959292E-2</v>
      </c>
      <c r="N16" s="227" t="e">
        <f t="shared" ca="1" si="6"/>
        <v>#REF!</v>
      </c>
      <c r="O16" s="242" t="str">
        <f t="shared" ca="1" si="7"/>
        <v/>
      </c>
      <c r="P16" s="243" t="str">
        <f t="shared" ca="1" si="8"/>
        <v/>
      </c>
      <c r="Q16" s="221">
        <f t="shared" ca="1" si="9"/>
        <v>1</v>
      </c>
      <c r="R16" s="221">
        <f t="shared" ca="1" si="9"/>
        <v>1</v>
      </c>
      <c r="S16" s="221">
        <f t="shared" ca="1" si="10"/>
        <v>1</v>
      </c>
      <c r="U16" s="244"/>
    </row>
    <row r="17" spans="1:21" x14ac:dyDescent="0.2">
      <c r="A17" s="225" t="e">
        <f>'חריגות שכר'!A14</f>
        <v>#REF!</v>
      </c>
      <c r="B17" s="225" t="str">
        <f ca="1">'חריגות שכר'!B14</f>
        <v>משיב הרוח</v>
      </c>
      <c r="C17" s="238">
        <f ca="1">הגנה!AU40</f>
        <v>7.6422233853087163E-2</v>
      </c>
      <c r="D17" s="245">
        <v>1460469</v>
      </c>
      <c r="E17" s="245">
        <v>-66458</v>
      </c>
      <c r="F17" s="245">
        <v>-308870</v>
      </c>
      <c r="G17" s="245"/>
      <c r="H17" s="227">
        <f t="shared" ca="1" si="0"/>
        <v>-66458</v>
      </c>
      <c r="I17" s="232">
        <f t="shared" ca="1" si="1"/>
        <v>-4.5504560521311986E-2</v>
      </c>
      <c r="J17" s="227">
        <f t="shared" ca="1" si="2"/>
        <v>-308870</v>
      </c>
      <c r="K17" s="232">
        <f t="shared" ca="1" si="3"/>
        <v>-0.21148685798876937</v>
      </c>
      <c r="L17" s="240">
        <f t="shared" ca="1" si="4"/>
        <v>0</v>
      </c>
      <c r="M17" s="241">
        <f t="shared" ca="1" si="5"/>
        <v>7.6422233853087163E-2</v>
      </c>
      <c r="N17" s="227" t="e">
        <f t="shared" ca="1" si="6"/>
        <v>#REF!</v>
      </c>
      <c r="O17" s="242" t="str">
        <f t="shared" ca="1" si="7"/>
        <v/>
      </c>
      <c r="P17" s="243" t="str">
        <f t="shared" ca="1" si="8"/>
        <v/>
      </c>
      <c r="Q17" s="221">
        <f t="shared" ca="1" si="9"/>
        <v>1</v>
      </c>
      <c r="R17" s="221">
        <f t="shared" ca="1" si="9"/>
        <v>1</v>
      </c>
      <c r="S17" s="221">
        <f t="shared" ca="1" si="10"/>
        <v>1</v>
      </c>
      <c r="U17" s="244"/>
    </row>
    <row r="18" spans="1:21" x14ac:dyDescent="0.2">
      <c r="A18" s="225" t="e">
        <f>'חריגות שכר'!A15</f>
        <v>#REF!</v>
      </c>
      <c r="B18" s="225" t="str">
        <f ca="1">'חריגות שכר'!B15</f>
        <v>עמדה (עמותת מונטן)</v>
      </c>
      <c r="C18" s="238">
        <f ca="1">הגנה!AU41</f>
        <v>2.2392799941743518E-2</v>
      </c>
      <c r="D18" s="245">
        <v>569153</v>
      </c>
      <c r="E18" s="245">
        <v>332</v>
      </c>
      <c r="F18" s="245">
        <v>41591</v>
      </c>
      <c r="G18" s="245"/>
      <c r="H18" s="227">
        <f t="shared" ca="1" si="0"/>
        <v>332</v>
      </c>
      <c r="I18" s="232">
        <f t="shared" ca="1" si="1"/>
        <v>5.8332293776893038E-4</v>
      </c>
      <c r="J18" s="227">
        <f t="shared" ca="1" si="2"/>
        <v>41591</v>
      </c>
      <c r="K18" s="232">
        <f t="shared" ca="1" si="3"/>
        <v>7.30752539299626E-2</v>
      </c>
      <c r="L18" s="240">
        <f t="shared" ca="1" si="4"/>
        <v>1</v>
      </c>
      <c r="M18" s="241">
        <f t="shared" ca="1" si="5"/>
        <v>2.3064583939995824E-2</v>
      </c>
      <c r="N18" s="227" t="e">
        <f t="shared" ca="1" si="6"/>
        <v>#REF!</v>
      </c>
      <c r="O18" s="242" t="str">
        <f t="shared" ca="1" si="7"/>
        <v/>
      </c>
      <c r="P18" s="243" t="str">
        <f t="shared" ca="1" si="8"/>
        <v/>
      </c>
      <c r="Q18" s="221">
        <f t="shared" ca="1" si="9"/>
        <v>1</v>
      </c>
      <c r="R18" s="221">
        <f t="shared" ca="1" si="9"/>
        <v>1</v>
      </c>
      <c r="S18" s="221">
        <f t="shared" ca="1" si="10"/>
        <v>1</v>
      </c>
      <c r="U18" s="244"/>
    </row>
    <row r="19" spans="1:21" hidden="1" x14ac:dyDescent="0.2">
      <c r="A19" s="225" t="e">
        <f>'חריגות שכר'!A16</f>
        <v>#REF!</v>
      </c>
      <c r="B19" s="225" t="str">
        <f ca="1">'חריגות שכר'!B16</f>
        <v>עתון 77 (אגודת סופרים ואמנים)</v>
      </c>
      <c r="C19" s="238">
        <f ca="1">הגנה!AU42</f>
        <v>7.0368067766060069E-2</v>
      </c>
      <c r="D19" s="245"/>
      <c r="E19" s="245"/>
      <c r="F19" s="245"/>
      <c r="G19" s="245"/>
      <c r="H19" s="227">
        <f t="shared" ca="1" si="0"/>
        <v>0</v>
      </c>
      <c r="I19" s="232" t="str">
        <f t="shared" ca="1" si="1"/>
        <v>--</v>
      </c>
      <c r="J19" s="227">
        <f t="shared" ca="1" si="2"/>
        <v>0</v>
      </c>
      <c r="K19" s="232" t="str">
        <f t="shared" ca="1" si="3"/>
        <v>--</v>
      </c>
      <c r="L19" s="240">
        <f t="shared" ca="1" si="4"/>
        <v>1</v>
      </c>
      <c r="M19" s="241">
        <f t="shared" ca="1" si="5"/>
        <v>7.2479109799041874E-2</v>
      </c>
      <c r="N19" s="227" t="e">
        <f t="shared" ca="1" si="6"/>
        <v>#REF!</v>
      </c>
      <c r="O19" s="242" t="str">
        <f t="shared" ca="1" si="7"/>
        <v/>
      </c>
      <c r="P19" s="243" t="str">
        <f t="shared" ca="1" si="8"/>
        <v/>
      </c>
      <c r="Q19" s="221">
        <f t="shared" ca="1" si="9"/>
        <v>1</v>
      </c>
      <c r="R19" s="221">
        <f t="shared" ca="1" si="9"/>
        <v>1</v>
      </c>
      <c r="S19" s="221">
        <f t="shared" ca="1" si="10"/>
        <v>1</v>
      </c>
      <c r="U19" s="244"/>
    </row>
    <row r="20" spans="1:21" x14ac:dyDescent="0.2">
      <c r="A20" s="225" t="e">
        <f>'חריגות שכר'!A17</f>
        <v>#REF!</v>
      </c>
      <c r="B20" s="225" t="str">
        <f ca="1">'חריגות שכר'!B17</f>
        <v/>
      </c>
      <c r="C20" s="238" t="str">
        <f ca="1">הגנה!AU43</f>
        <v/>
      </c>
      <c r="D20" s="245">
        <v>964135</v>
      </c>
      <c r="E20" s="245">
        <v>16302</v>
      </c>
      <c r="F20" s="245">
        <v>-31440</v>
      </c>
      <c r="G20" s="245"/>
      <c r="H20" s="227" t="str">
        <f t="shared" ca="1" si="0"/>
        <v/>
      </c>
      <c r="I20" s="232" t="str">
        <f t="shared" ca="1" si="1"/>
        <v/>
      </c>
      <c r="J20" s="227" t="str">
        <f t="shared" ca="1" si="2"/>
        <v/>
      </c>
      <c r="K20" s="232" t="str">
        <f t="shared" ca="1" si="3"/>
        <v/>
      </c>
      <c r="L20" s="240" t="str">
        <f t="shared" ca="1" si="4"/>
        <v/>
      </c>
      <c r="M20" s="241" t="str">
        <f t="shared" ca="1" si="5"/>
        <v/>
      </c>
      <c r="N20" s="227" t="str">
        <f t="shared" ca="1" si="6"/>
        <v/>
      </c>
      <c r="O20" s="242" t="str">
        <f t="shared" ca="1" si="7"/>
        <v/>
      </c>
      <c r="P20" s="243" t="str">
        <f t="shared" ca="1" si="8"/>
        <v/>
      </c>
      <c r="Q20" s="221">
        <f t="shared" ca="1" si="9"/>
        <v>0</v>
      </c>
      <c r="R20" s="221">
        <f t="shared" ca="1" si="9"/>
        <v>0</v>
      </c>
      <c r="S20" s="221">
        <f t="shared" ca="1" si="10"/>
        <v>0</v>
      </c>
      <c r="U20" s="244"/>
    </row>
    <row r="21" spans="1:21" x14ac:dyDescent="0.2">
      <c r="A21" s="225" t="e">
        <f>'חריגות שכר'!A18</f>
        <v>#REF!</v>
      </c>
      <c r="B21" s="225" t="str">
        <f ca="1">'חריגות שכר'!B18</f>
        <v>פסיפס</v>
      </c>
      <c r="C21" s="238">
        <f ca="1">הגנה!AU44</f>
        <v>1.9810264815710049E-2</v>
      </c>
      <c r="D21" s="245">
        <v>64342</v>
      </c>
      <c r="E21" s="245">
        <v>13386</v>
      </c>
      <c r="F21" s="245">
        <v>-1880</v>
      </c>
      <c r="G21" s="245"/>
      <c r="H21" s="227">
        <f ca="1">IF(OR(C21="",SUM(Q21,S21)&lt;2),"",E21+G21)</f>
        <v>13386</v>
      </c>
      <c r="I21" s="232">
        <f ca="1">IF(H21="","",IF($D21=0,"--",H21/$D21))</f>
        <v>0.20804451213826117</v>
      </c>
      <c r="J21" s="227">
        <f ca="1">IF(OR(C21="",SUM(R21:S21)&lt;2),"",F21-E21+H21)</f>
        <v>-1880</v>
      </c>
      <c r="K21" s="232">
        <f ca="1">IF(OR($C21="",D21&lt;0),"",IF($D21=0,"--",J21/$D21))</f>
        <v>-2.9218861707749216E-2</v>
      </c>
      <c r="L21" s="240">
        <f ca="1">IF(OR(C21="",D21&lt;0),"",IF(AND(I21&gt;=$C$3,K21&gt;-$C$4),1,0))</f>
        <v>1</v>
      </c>
      <c r="M21" s="241">
        <f t="shared" ca="1" si="5"/>
        <v>2.0404572760181351E-2</v>
      </c>
      <c r="N21" s="227" t="e">
        <f t="shared" ca="1" si="6"/>
        <v>#REF!</v>
      </c>
      <c r="O21" s="242" t="str">
        <f t="shared" ca="1" si="7"/>
        <v/>
      </c>
      <c r="P21" s="243" t="str">
        <f t="shared" ca="1" si="8"/>
        <v/>
      </c>
      <c r="Q21" s="221">
        <f ca="1">IF(OR($B21="",ISERR(E21/3)),0,1)</f>
        <v>1</v>
      </c>
      <c r="R21" s="221">
        <f ca="1">IF(OR($B21="",ISERR(F21/3)),0,1)</f>
        <v>1</v>
      </c>
      <c r="S21" s="221">
        <f t="shared" ca="1" si="10"/>
        <v>1</v>
      </c>
      <c r="U21" s="244"/>
    </row>
    <row r="22" spans="1:21" x14ac:dyDescent="0.2">
      <c r="A22" s="225" t="e">
        <f>'חריגות שכר'!A19</f>
        <v>#REF!</v>
      </c>
      <c r="B22" s="225" t="str">
        <f ca="1">'חריגות שכר'!B19</f>
        <v>קתרזיס ( עמותת מצרף)</v>
      </c>
      <c r="C22" s="238">
        <f ca="1">הגנה!AU45</f>
        <v>1.8281414232702509E-2</v>
      </c>
      <c r="D22" s="245">
        <v>569153</v>
      </c>
      <c r="E22" s="245">
        <v>332</v>
      </c>
      <c r="F22" s="245">
        <v>41591</v>
      </c>
      <c r="G22" s="245"/>
      <c r="H22" s="227">
        <f ca="1">IF(OR(C22="",SUM(Q22,S22)&lt;2),"",E22+G22)</f>
        <v>332</v>
      </c>
      <c r="I22" s="232">
        <f ca="1">IF(H22="","",IF($D22=0,"--",H22/$D22))</f>
        <v>5.8332293776893038E-4</v>
      </c>
      <c r="J22" s="227">
        <f ca="1">IF(OR(C22="",SUM(R22:S22)&lt;2),"",F22-E22+H22)</f>
        <v>41591</v>
      </c>
      <c r="K22" s="232">
        <f ca="1">IF(OR($C22="",D22&lt;0),"",IF($D22=0,"--",J22/$D22))</f>
        <v>7.30752539299626E-2</v>
      </c>
      <c r="L22" s="240">
        <f ca="1">IF(OR(C22="",D22&lt;0),"",IF(AND(I22&gt;=$C$3,K22&gt;-$C$4),1,0))</f>
        <v>1</v>
      </c>
      <c r="M22" s="241">
        <f t="shared" ca="1" si="5"/>
        <v>1.8829856659683585E-2</v>
      </c>
      <c r="N22" s="227" t="e">
        <f t="shared" ca="1" si="6"/>
        <v>#REF!</v>
      </c>
      <c r="O22" s="242" t="str">
        <f t="shared" ca="1" si="7"/>
        <v/>
      </c>
      <c r="P22" s="243" t="str">
        <f t="shared" ca="1" si="8"/>
        <v/>
      </c>
      <c r="Q22" s="221">
        <f ca="1">IF(OR($B22="",ISERR(E22/3)),0,1)</f>
        <v>1</v>
      </c>
      <c r="R22" s="221">
        <f ca="1">IF(OR($B22="",ISERR(F22/3)),0,1)</f>
        <v>1</v>
      </c>
      <c r="S22" s="221">
        <f t="shared" ca="1" si="10"/>
        <v>1</v>
      </c>
      <c r="U22" s="244"/>
    </row>
    <row r="23" spans="1:21" x14ac:dyDescent="0.2">
      <c r="A23" s="225" t="e">
        <f>'חריגות שכר'!A20</f>
        <v>#REF!</v>
      </c>
      <c r="B23" s="225" t="str">
        <f ca="1">'חריגות שכר'!B20</f>
        <v/>
      </c>
      <c r="C23" s="238" t="str">
        <f ca="1">הגנה!AU46</f>
        <v/>
      </c>
      <c r="D23" s="245">
        <v>0</v>
      </c>
      <c r="E23" s="245">
        <v>-8311</v>
      </c>
      <c r="F23" s="245">
        <v>-8311</v>
      </c>
      <c r="G23" s="245"/>
      <c r="H23" s="227" t="str">
        <f t="shared" ca="1" si="0"/>
        <v/>
      </c>
      <c r="I23" s="232" t="str">
        <f t="shared" ca="1" si="1"/>
        <v/>
      </c>
      <c r="J23" s="227" t="str">
        <f t="shared" ca="1" si="2"/>
        <v/>
      </c>
      <c r="K23" s="232" t="str">
        <f t="shared" ca="1" si="3"/>
        <v/>
      </c>
      <c r="L23" s="240" t="str">
        <f t="shared" ca="1" si="4"/>
        <v/>
      </c>
      <c r="M23" s="241" t="str">
        <f t="shared" ca="1" si="5"/>
        <v/>
      </c>
      <c r="N23" s="227" t="str">
        <f t="shared" ca="1" si="6"/>
        <v/>
      </c>
      <c r="O23" s="242" t="str">
        <f t="shared" ca="1" si="7"/>
        <v/>
      </c>
      <c r="P23" s="243" t="str">
        <f t="shared" ca="1" si="8"/>
        <v/>
      </c>
      <c r="Q23" s="221">
        <f t="shared" ca="1" si="9"/>
        <v>0</v>
      </c>
      <c r="R23" s="221">
        <f t="shared" ca="1" si="9"/>
        <v>0</v>
      </c>
      <c r="S23" s="221">
        <f t="shared" ca="1" si="10"/>
        <v>0</v>
      </c>
      <c r="U23" s="244"/>
    </row>
    <row r="24" spans="1:21" hidden="1" x14ac:dyDescent="0.2">
      <c r="A24" s="225" t="e">
        <f>'חריגות שכר'!A21</f>
        <v>#REF!</v>
      </c>
      <c r="B24" s="225" t="str">
        <f ca="1">'חריגות שכר'!B21</f>
        <v>הכיוון מזרח (עמותת אחותי)</v>
      </c>
      <c r="C24" s="238">
        <f ca="1">הגנה!AU47</f>
        <v>5.0488110505417988E-2</v>
      </c>
      <c r="D24" s="245"/>
      <c r="E24" s="245"/>
      <c r="F24" s="245"/>
      <c r="G24" s="245"/>
      <c r="H24" s="227">
        <f t="shared" ca="1" si="0"/>
        <v>0</v>
      </c>
      <c r="I24" s="232" t="str">
        <f t="shared" ca="1" si="1"/>
        <v>--</v>
      </c>
      <c r="J24" s="227">
        <f t="shared" ca="1" si="2"/>
        <v>0</v>
      </c>
      <c r="K24" s="232" t="str">
        <f t="shared" ca="1" si="3"/>
        <v>--</v>
      </c>
      <c r="L24" s="240">
        <f t="shared" ca="1" si="4"/>
        <v>1</v>
      </c>
      <c r="M24" s="241">
        <f t="shared" ca="1" si="5"/>
        <v>5.2002753820580526E-2</v>
      </c>
      <c r="N24" s="227" t="e">
        <f t="shared" ca="1" si="6"/>
        <v>#REF!</v>
      </c>
      <c r="O24" s="242" t="str">
        <f t="shared" ca="1" si="7"/>
        <v/>
      </c>
      <c r="P24" s="243" t="str">
        <f t="shared" ca="1" si="8"/>
        <v/>
      </c>
      <c r="Q24" s="221">
        <f t="shared" ref="Q24:R33" ca="1" si="11">IF(OR($B24="",ISERR(E24/3)),0,1)</f>
        <v>1</v>
      </c>
      <c r="R24" s="221">
        <f t="shared" ca="1" si="11"/>
        <v>1</v>
      </c>
      <c r="S24" s="221">
        <f t="shared" ca="1" si="10"/>
        <v>1</v>
      </c>
      <c r="U24" s="244"/>
    </row>
    <row r="25" spans="1:21" x14ac:dyDescent="0.2">
      <c r="A25" s="225" t="e">
        <f>'חריגות שכר'!A22</f>
        <v>#REF!</v>
      </c>
      <c r="B25" s="225" t="str">
        <f ca="1">'חריגות שכר'!B22</f>
        <v/>
      </c>
      <c r="C25" s="238" t="str">
        <f ca="1">הגנה!AU48</f>
        <v/>
      </c>
      <c r="D25" s="245">
        <v>84016</v>
      </c>
      <c r="E25" s="245">
        <v>-22404</v>
      </c>
      <c r="F25" s="245">
        <v>-44294</v>
      </c>
      <c r="G25" s="245"/>
      <c r="H25" s="227" t="str">
        <f t="shared" ca="1" si="0"/>
        <v/>
      </c>
      <c r="I25" s="232" t="str">
        <f t="shared" ca="1" si="1"/>
        <v/>
      </c>
      <c r="J25" s="227" t="str">
        <f t="shared" ca="1" si="2"/>
        <v/>
      </c>
      <c r="K25" s="232" t="str">
        <f t="shared" ca="1" si="3"/>
        <v/>
      </c>
      <c r="L25" s="240" t="str">
        <f t="shared" ca="1" si="4"/>
        <v/>
      </c>
      <c r="M25" s="241" t="str">
        <f t="shared" ca="1" si="5"/>
        <v/>
      </c>
      <c r="N25" s="227" t="str">
        <f t="shared" ca="1" si="6"/>
        <v/>
      </c>
      <c r="O25" s="242" t="str">
        <f t="shared" ca="1" si="7"/>
        <v/>
      </c>
      <c r="P25" s="243" t="str">
        <f t="shared" ca="1" si="8"/>
        <v/>
      </c>
      <c r="Q25" s="221">
        <f t="shared" ca="1" si="11"/>
        <v>0</v>
      </c>
      <c r="R25" s="221">
        <f t="shared" ca="1" si="11"/>
        <v>0</v>
      </c>
      <c r="S25" s="221">
        <f t="shared" ca="1" si="10"/>
        <v>0</v>
      </c>
      <c r="U25" s="244"/>
    </row>
    <row r="26" spans="1:21" x14ac:dyDescent="0.2">
      <c r="A26" s="225" t="e">
        <f>'חריגות שכר'!A23</f>
        <v>#REF!</v>
      </c>
      <c r="B26" s="225" t="str">
        <f ca="1">'חריגות שכר'!B23</f>
        <v>הו</v>
      </c>
      <c r="C26" s="238">
        <f ca="1">הגנה!AU49</f>
        <v>5.1452882567054381E-2</v>
      </c>
      <c r="D26" s="245">
        <v>2084983</v>
      </c>
      <c r="E26" s="245">
        <v>93203</v>
      </c>
      <c r="F26" s="245">
        <v>1310449</v>
      </c>
      <c r="G26" s="245"/>
      <c r="H26" s="227">
        <f t="shared" ca="1" si="0"/>
        <v>93203</v>
      </c>
      <c r="I26" s="232">
        <f t="shared" ca="1" si="1"/>
        <v>4.4702043134164642E-2</v>
      </c>
      <c r="J26" s="227">
        <f t="shared" ca="1" si="2"/>
        <v>1310449</v>
      </c>
      <c r="K26" s="232">
        <f t="shared" ca="1" si="3"/>
        <v>0.6285178344379786</v>
      </c>
      <c r="L26" s="240">
        <f t="shared" ca="1" si="4"/>
        <v>1</v>
      </c>
      <c r="M26" s="241">
        <f t="shared" ca="1" si="5"/>
        <v>5.2996469044066012E-2</v>
      </c>
      <c r="N26" s="227" t="e">
        <f t="shared" ca="1" si="6"/>
        <v>#REF!</v>
      </c>
      <c r="O26" s="242" t="str">
        <f t="shared" ca="1" si="7"/>
        <v/>
      </c>
      <c r="P26" s="243" t="str">
        <f t="shared" ca="1" si="8"/>
        <v/>
      </c>
      <c r="Q26" s="221">
        <f t="shared" ca="1" si="11"/>
        <v>1</v>
      </c>
      <c r="R26" s="221">
        <f t="shared" ca="1" si="11"/>
        <v>1</v>
      </c>
      <c r="S26" s="221">
        <f t="shared" ca="1" si="10"/>
        <v>1</v>
      </c>
      <c r="U26" s="244"/>
    </row>
    <row r="27" spans="1:21" x14ac:dyDescent="0.2">
      <c r="A27" s="225" t="e">
        <f>'חריגות שכר'!A24</f>
        <v>#REF!</v>
      </c>
      <c r="B27" s="225" t="str">
        <f ca="1">'חריגות שכר'!B24</f>
        <v>הבא להבא (עמותת מקום לשירה)</v>
      </c>
      <c r="C27" s="238">
        <f ca="1">הגנה!AU50</f>
        <v>3.8999121618170506E-2</v>
      </c>
      <c r="D27" s="245">
        <v>652993</v>
      </c>
      <c r="E27" s="245">
        <v>50960</v>
      </c>
      <c r="F27" s="245">
        <v>7769</v>
      </c>
      <c r="G27" s="245"/>
      <c r="H27" s="227">
        <f t="shared" ca="1" si="0"/>
        <v>50960</v>
      </c>
      <c r="I27" s="232">
        <f t="shared" ca="1" si="1"/>
        <v>7.8040652809448191E-2</v>
      </c>
      <c r="J27" s="227">
        <f t="shared" ca="1" si="2"/>
        <v>7769</v>
      </c>
      <c r="K27" s="232">
        <f t="shared" ca="1" si="3"/>
        <v>1.189752416947808E-2</v>
      </c>
      <c r="L27" s="240">
        <f t="shared" ca="1" si="4"/>
        <v>1</v>
      </c>
      <c r="M27" s="241">
        <f t="shared" ca="1" si="5"/>
        <v>4.0169095266715624E-2</v>
      </c>
      <c r="N27" s="227" t="e">
        <f t="shared" ca="1" si="6"/>
        <v>#REF!</v>
      </c>
      <c r="O27" s="242" t="str">
        <f t="shared" ca="1" si="7"/>
        <v/>
      </c>
      <c r="P27" s="243" t="str">
        <f t="shared" ca="1" si="8"/>
        <v/>
      </c>
      <c r="Q27" s="221">
        <f t="shared" ca="1" si="11"/>
        <v>1</v>
      </c>
      <c r="R27" s="221">
        <f t="shared" ca="1" si="11"/>
        <v>1</v>
      </c>
      <c r="S27" s="221">
        <f t="shared" ca="1" si="10"/>
        <v>1</v>
      </c>
      <c r="U27" s="244"/>
    </row>
    <row r="28" spans="1:21" x14ac:dyDescent="0.2">
      <c r="A28" s="225" t="e">
        <f>'חריגות שכר'!A25</f>
        <v>#REF!</v>
      </c>
      <c r="B28" s="225" t="str">
        <f ca="1">'חריגות שכר'!B25</f>
        <v>היסטוריה (החברה ההיסטורית הישרא</v>
      </c>
      <c r="C28" s="238">
        <f ca="1">הגנה!AU51</f>
        <v>2.6363878930589172E-2</v>
      </c>
      <c r="D28" s="245">
        <v>7298000</v>
      </c>
      <c r="E28" s="245">
        <v>194000</v>
      </c>
      <c r="F28" s="245">
        <v>1625000</v>
      </c>
      <c r="G28" s="245"/>
      <c r="H28" s="227">
        <f t="shared" ca="1" si="0"/>
        <v>194000</v>
      </c>
      <c r="I28" s="232">
        <f t="shared" ca="1" si="1"/>
        <v>2.6582625376815567E-2</v>
      </c>
      <c r="J28" s="227">
        <f t="shared" ca="1" si="2"/>
        <v>1625000</v>
      </c>
      <c r="K28" s="232">
        <f t="shared" ca="1" si="3"/>
        <v>0.2226637434913675</v>
      </c>
      <c r="L28" s="240">
        <f t="shared" ca="1" si="4"/>
        <v>1</v>
      </c>
      <c r="M28" s="241">
        <f t="shared" ca="1" si="5"/>
        <v>2.7154795298506847E-2</v>
      </c>
      <c r="N28" s="227" t="e">
        <f t="shared" ca="1" si="6"/>
        <v>#REF!</v>
      </c>
      <c r="O28" s="242" t="str">
        <f t="shared" ca="1" si="7"/>
        <v/>
      </c>
      <c r="P28" s="243" t="str">
        <f t="shared" ca="1" si="8"/>
        <v/>
      </c>
      <c r="Q28" s="221">
        <f t="shared" ca="1" si="11"/>
        <v>1</v>
      </c>
      <c r="R28" s="221">
        <f t="shared" ca="1" si="11"/>
        <v>1</v>
      </c>
      <c r="S28" s="221">
        <f t="shared" ca="1" si="10"/>
        <v>1</v>
      </c>
      <c r="U28" s="244"/>
    </row>
    <row r="29" spans="1:21" x14ac:dyDescent="0.2">
      <c r="A29" s="225" t="e">
        <f>'חריגות שכר'!A26</f>
        <v>#REF!</v>
      </c>
      <c r="B29" s="225" t="str">
        <f ca="1">'חריגות שכר'!B26</f>
        <v>מחול עכשיו (תמונע)</v>
      </c>
      <c r="C29" s="238">
        <f ca="1">הגנה!AU52</f>
        <v>3.2753936841008684E-2</v>
      </c>
      <c r="D29" s="245">
        <v>1283000</v>
      </c>
      <c r="E29" s="245">
        <v>42000</v>
      </c>
      <c r="F29" s="245">
        <v>143000</v>
      </c>
      <c r="G29" s="245"/>
      <c r="H29" s="227">
        <f t="shared" ca="1" si="0"/>
        <v>42000</v>
      </c>
      <c r="I29" s="232">
        <f t="shared" ca="1" si="1"/>
        <v>3.2735775526110678E-2</v>
      </c>
      <c r="J29" s="227">
        <f t="shared" ca="1" si="2"/>
        <v>143000</v>
      </c>
      <c r="K29" s="232">
        <f t="shared" ca="1" si="3"/>
        <v>0.11145752143413874</v>
      </c>
      <c r="L29" s="240">
        <f t="shared" ca="1" si="4"/>
        <v>1</v>
      </c>
      <c r="M29" s="241">
        <f t="shared" ca="1" si="5"/>
        <v>3.3736554946238943E-2</v>
      </c>
      <c r="N29" s="227" t="e">
        <f t="shared" ca="1" si="6"/>
        <v>#REF!</v>
      </c>
      <c r="O29" s="242" t="str">
        <f t="shared" ca="1" si="7"/>
        <v/>
      </c>
      <c r="P29" s="243" t="str">
        <f t="shared" ca="1" si="8"/>
        <v/>
      </c>
      <c r="Q29" s="221">
        <f t="shared" ca="1" si="11"/>
        <v>1</v>
      </c>
      <c r="R29" s="221">
        <f t="shared" ca="1" si="11"/>
        <v>1</v>
      </c>
      <c r="S29" s="221">
        <f t="shared" ca="1" si="10"/>
        <v>1</v>
      </c>
      <c r="U29" s="244"/>
    </row>
    <row r="30" spans="1:21" x14ac:dyDescent="0.2">
      <c r="A30" s="225" t="e">
        <f>'חריגות שכר'!A27</f>
        <v>#REF!</v>
      </c>
      <c r="B30" s="225" t="str">
        <f ca="1">'חריגות שכר'!B27</f>
        <v>קול אישה שירה (תואר)</v>
      </c>
      <c r="C30" s="238">
        <f ca="1">הגנה!AU53</f>
        <v>4.4520928664377887E-2</v>
      </c>
      <c r="D30" s="245">
        <v>55149</v>
      </c>
      <c r="E30" s="245">
        <v>-5826</v>
      </c>
      <c r="F30" s="245">
        <v>-4972</v>
      </c>
      <c r="G30" s="245"/>
      <c r="H30" s="227">
        <f t="shared" ca="1" si="0"/>
        <v>-5826</v>
      </c>
      <c r="I30" s="232">
        <f t="shared" ca="1" si="1"/>
        <v>-0.10564108143393353</v>
      </c>
      <c r="J30" s="227">
        <f t="shared" ca="1" si="2"/>
        <v>-4972</v>
      </c>
      <c r="K30" s="232">
        <f t="shared" ca="1" si="3"/>
        <v>-9.0155759850586589E-2</v>
      </c>
      <c r="L30" s="240">
        <f t="shared" ca="1" si="4"/>
        <v>0</v>
      </c>
      <c r="M30" s="241">
        <f t="shared" ca="1" si="5"/>
        <v>4.4520928664377887E-2</v>
      </c>
      <c r="N30" s="227" t="e">
        <f t="shared" ca="1" si="6"/>
        <v>#REF!</v>
      </c>
      <c r="O30" s="242" t="str">
        <f t="shared" ca="1" si="7"/>
        <v/>
      </c>
      <c r="P30" s="243" t="str">
        <f t="shared" ca="1" si="8"/>
        <v/>
      </c>
      <c r="Q30" s="221">
        <f t="shared" ca="1" si="11"/>
        <v>1</v>
      </c>
      <c r="R30" s="221">
        <f t="shared" ca="1" si="11"/>
        <v>1</v>
      </c>
      <c r="S30" s="221">
        <f t="shared" ca="1" si="10"/>
        <v>1</v>
      </c>
      <c r="U30" s="244"/>
    </row>
    <row r="31" spans="1:21" x14ac:dyDescent="0.2">
      <c r="A31" s="225" t="e">
        <f>'חריגות שכר'!A28</f>
        <v>#REF!</v>
      </c>
      <c r="B31" s="225" t="str">
        <f ca="1">'חריגות שכר'!B28</f>
        <v>האיגוד העולמי למדעי היהדות</v>
      </c>
      <c r="C31" s="238">
        <f ca="1">הגנה!AU54</f>
        <v>3.384222554199004E-2</v>
      </c>
      <c r="D31" s="245">
        <v>430309</v>
      </c>
      <c r="E31" s="245">
        <v>22016</v>
      </c>
      <c r="F31" s="245">
        <v>-11388</v>
      </c>
      <c r="G31" s="245"/>
      <c r="H31" s="227">
        <f t="shared" ca="1" si="0"/>
        <v>22016</v>
      </c>
      <c r="I31" s="232">
        <f t="shared" ca="1" si="1"/>
        <v>5.1163233862178109E-2</v>
      </c>
      <c r="J31" s="227">
        <f t="shared" ca="1" si="2"/>
        <v>-11388</v>
      </c>
      <c r="K31" s="232">
        <f t="shared" ca="1" si="3"/>
        <v>-2.646470327137011E-2</v>
      </c>
      <c r="L31" s="240">
        <f t="shared" ca="1" si="4"/>
        <v>1</v>
      </c>
      <c r="M31" s="241">
        <f t="shared" ca="1" si="5"/>
        <v>3.4857492308249742E-2</v>
      </c>
      <c r="N31" s="227" t="e">
        <f t="shared" ca="1" si="6"/>
        <v>#REF!</v>
      </c>
      <c r="O31" s="242" t="str">
        <f t="shared" ca="1" si="7"/>
        <v/>
      </c>
      <c r="P31" s="243" t="str">
        <f t="shared" ca="1" si="8"/>
        <v/>
      </c>
      <c r="Q31" s="221">
        <f t="shared" ca="1" si="11"/>
        <v>1</v>
      </c>
      <c r="R31" s="221">
        <f t="shared" ca="1" si="11"/>
        <v>1</v>
      </c>
      <c r="S31" s="221">
        <f t="shared" ca="1" si="10"/>
        <v>1</v>
      </c>
      <c r="U31" s="244"/>
    </row>
    <row r="32" spans="1:21" hidden="1" x14ac:dyDescent="0.2">
      <c r="A32" s="225" t="e">
        <f>'חריגות שכר'!A29</f>
        <v>#REF!</v>
      </c>
      <c r="B32" s="225" t="str">
        <f ca="1">'חריגות שכר'!B29</f>
        <v/>
      </c>
      <c r="C32" s="238" t="str">
        <f ca="1">הגנה!AU55</f>
        <v/>
      </c>
      <c r="D32" s="245">
        <v>254355</v>
      </c>
      <c r="E32" s="245">
        <v>-34034</v>
      </c>
      <c r="F32" s="245">
        <v>-35676</v>
      </c>
      <c r="G32" s="245"/>
      <c r="H32" s="227" t="str">
        <f t="shared" ca="1" si="0"/>
        <v/>
      </c>
      <c r="I32" s="232" t="str">
        <f t="shared" ca="1" si="1"/>
        <v/>
      </c>
      <c r="J32" s="227" t="str">
        <f t="shared" ca="1" si="2"/>
        <v/>
      </c>
      <c r="K32" s="232" t="str">
        <f t="shared" ca="1" si="3"/>
        <v/>
      </c>
      <c r="L32" s="240" t="str">
        <f t="shared" ca="1" si="4"/>
        <v/>
      </c>
      <c r="M32" s="241" t="str">
        <f t="shared" ca="1" si="5"/>
        <v/>
      </c>
      <c r="N32" s="227" t="str">
        <f t="shared" ca="1" si="6"/>
        <v/>
      </c>
      <c r="O32" s="242" t="str">
        <f t="shared" ca="1" si="7"/>
        <v/>
      </c>
      <c r="P32" s="243" t="str">
        <f t="shared" ca="1" si="8"/>
        <v/>
      </c>
      <c r="Q32" s="221">
        <f t="shared" ca="1" si="11"/>
        <v>0</v>
      </c>
      <c r="R32" s="221">
        <f t="shared" ca="1" si="11"/>
        <v>0</v>
      </c>
      <c r="S32" s="221">
        <f t="shared" ca="1" si="10"/>
        <v>0</v>
      </c>
      <c r="U32" s="244"/>
    </row>
    <row r="33" spans="1:21" x14ac:dyDescent="0.2">
      <c r="A33" s="225" t="e">
        <f>'חריגות שכר'!A30</f>
        <v>#REF!</v>
      </c>
      <c r="B33" s="225" t="str">
        <f ca="1">'חריגות שכר'!B30</f>
        <v/>
      </c>
      <c r="C33" s="238" t="str">
        <f ca="1">הגנה!AU56</f>
        <v/>
      </c>
      <c r="D33" s="245">
        <v>3695859</v>
      </c>
      <c r="E33" s="245">
        <v>22095</v>
      </c>
      <c r="F33" s="245">
        <v>402860</v>
      </c>
      <c r="G33" s="245"/>
      <c r="H33" s="227" t="str">
        <f t="shared" ca="1" si="0"/>
        <v/>
      </c>
      <c r="I33" s="232" t="str">
        <f t="shared" ca="1" si="1"/>
        <v/>
      </c>
      <c r="J33" s="227" t="str">
        <f t="shared" ca="1" si="2"/>
        <v/>
      </c>
      <c r="K33" s="232" t="str">
        <f t="shared" ca="1" si="3"/>
        <v/>
      </c>
      <c r="L33" s="240" t="str">
        <f t="shared" ca="1" si="4"/>
        <v/>
      </c>
      <c r="M33" s="241" t="str">
        <f t="shared" ca="1" si="5"/>
        <v/>
      </c>
      <c r="N33" s="227" t="str">
        <f t="shared" ca="1" si="6"/>
        <v/>
      </c>
      <c r="O33" s="242" t="str">
        <f t="shared" ca="1" si="7"/>
        <v/>
      </c>
      <c r="P33" s="243" t="str">
        <f t="shared" ca="1" si="8"/>
        <v/>
      </c>
      <c r="Q33" s="221">
        <f t="shared" ca="1" si="11"/>
        <v>0</v>
      </c>
      <c r="R33" s="221">
        <f t="shared" ca="1" si="11"/>
        <v>0</v>
      </c>
      <c r="S33" s="221">
        <f t="shared" ca="1" si="10"/>
        <v>0</v>
      </c>
      <c r="U33" s="244"/>
    </row>
    <row r="34" spans="1:21" x14ac:dyDescent="0.2">
      <c r="A34" s="225" t="e">
        <f>'חריגות שכר'!A31</f>
        <v>#REF!</v>
      </c>
      <c r="B34" s="225" t="str">
        <f ca="1">'חריגות שכר'!B31</f>
        <v/>
      </c>
      <c r="C34" s="238" t="str">
        <f ca="1">הגנה!AU57</f>
        <v/>
      </c>
      <c r="D34" s="245">
        <v>1460469</v>
      </c>
      <c r="E34" s="245">
        <v>-66458</v>
      </c>
      <c r="F34" s="245">
        <v>-308870</v>
      </c>
      <c r="G34" s="245"/>
      <c r="H34" s="227" t="str">
        <f t="shared" ca="1" si="0"/>
        <v/>
      </c>
      <c r="I34" s="232" t="str">
        <f t="shared" ca="1" si="1"/>
        <v/>
      </c>
      <c r="J34" s="227" t="str">
        <f t="shared" ca="1" si="2"/>
        <v/>
      </c>
      <c r="K34" s="232" t="str">
        <f t="shared" ca="1" si="3"/>
        <v/>
      </c>
      <c r="L34" s="240" t="str">
        <f t="shared" ca="1" si="4"/>
        <v/>
      </c>
      <c r="M34" s="241" t="str">
        <f t="shared" ca="1" si="5"/>
        <v/>
      </c>
      <c r="N34" s="227" t="str">
        <f t="shared" ca="1" si="6"/>
        <v/>
      </c>
      <c r="O34" s="242" t="str">
        <f t="shared" ca="1" si="7"/>
        <v/>
      </c>
      <c r="P34" s="243" t="str">
        <f t="shared" ca="1" si="8"/>
        <v/>
      </c>
      <c r="Q34" s="221">
        <f t="shared" ref="Q34:Q47" ca="1" si="12">IF(OR($B34="",ISERR(E34/3)),0,1)</f>
        <v>0</v>
      </c>
      <c r="R34" s="221">
        <f t="shared" ref="R34:R47" ca="1" si="13">IF(OR($B34="",ISERR(F34/3)),0,1)</f>
        <v>0</v>
      </c>
      <c r="S34" s="221">
        <f t="shared" ref="S34:S47" ca="1" si="14">IF($C34="",0,IF(ISERR(G34/3),0,IF(G34&lt;0,0,1)))</f>
        <v>0</v>
      </c>
      <c r="U34" s="244"/>
    </row>
    <row r="35" spans="1:21" hidden="1" x14ac:dyDescent="0.2">
      <c r="A35" s="225" t="e">
        <f>'חריגות שכר'!A32</f>
        <v>#REF!</v>
      </c>
      <c r="B35" s="225" t="str">
        <f ca="1">'חריגות שכר'!B32</f>
        <v/>
      </c>
      <c r="C35" s="238" t="str">
        <f ca="1">הגנה!AU58</f>
        <v/>
      </c>
      <c r="D35" s="245"/>
      <c r="E35" s="245"/>
      <c r="F35" s="245"/>
      <c r="G35" s="245"/>
      <c r="H35" s="227" t="str">
        <f t="shared" ca="1" si="0"/>
        <v/>
      </c>
      <c r="I35" s="232" t="str">
        <f t="shared" ca="1" si="1"/>
        <v/>
      </c>
      <c r="J35" s="227" t="str">
        <f t="shared" ca="1" si="2"/>
        <v/>
      </c>
      <c r="K35" s="232" t="str">
        <f t="shared" ca="1" si="3"/>
        <v/>
      </c>
      <c r="L35" s="240" t="str">
        <f t="shared" ca="1" si="4"/>
        <v/>
      </c>
      <c r="M35" s="241" t="str">
        <f t="shared" ca="1" si="5"/>
        <v/>
      </c>
      <c r="N35" s="227" t="str">
        <f t="shared" ca="1" si="6"/>
        <v/>
      </c>
      <c r="O35" s="242" t="str">
        <f t="shared" ca="1" si="7"/>
        <v/>
      </c>
      <c r="P35" s="243" t="str">
        <f t="shared" ca="1" si="8"/>
        <v/>
      </c>
      <c r="Q35" s="221">
        <f t="shared" ca="1" si="12"/>
        <v>0</v>
      </c>
      <c r="R35" s="221">
        <f t="shared" ca="1" si="13"/>
        <v>0</v>
      </c>
      <c r="S35" s="221">
        <f t="shared" ca="1" si="14"/>
        <v>0</v>
      </c>
      <c r="U35" s="244"/>
    </row>
    <row r="36" spans="1:21" hidden="1" x14ac:dyDescent="0.2">
      <c r="A36" s="225" t="e">
        <f>'חריגות שכר'!A33</f>
        <v>#REF!</v>
      </c>
      <c r="B36" s="225" t="str">
        <f ca="1">'חריגות שכר'!B33</f>
        <v>גופא (נתיב האומן )</v>
      </c>
      <c r="C36" s="238">
        <f ca="1">הגנה!AU59</f>
        <v>2.3006633978589368E-2</v>
      </c>
      <c r="D36" s="245">
        <v>853656</v>
      </c>
      <c r="E36" s="245">
        <v>238770</v>
      </c>
      <c r="F36" s="245">
        <v>102219</v>
      </c>
      <c r="G36" s="245"/>
      <c r="H36" s="227">
        <f t="shared" ref="H36:H47" ca="1" si="15">IF(OR(C36="",SUM(Q36,S36)&lt;2),"",E36+G36)</f>
        <v>238770</v>
      </c>
      <c r="I36" s="232">
        <f t="shared" ref="I36:I47" ca="1" si="16">IF(H36="","",IF($D36=0,"--",H36/$D36))</f>
        <v>0.27970283111698391</v>
      </c>
      <c r="J36" s="227">
        <f t="shared" ref="J36:J47" ca="1" si="17">IF(OR(C36="",SUM(R36:S36)&lt;2),"",F36-E36+H36)</f>
        <v>102219</v>
      </c>
      <c r="K36" s="232">
        <f t="shared" ref="K36:K47" ca="1" si="18">IF(OR($C36="",D36&lt;0),"",IF($D36=0,"--",J36/$D36))</f>
        <v>0.11974261294947848</v>
      </c>
      <c r="L36" s="240">
        <f t="shared" ref="L36:L47" ca="1" si="19">IF(OR(C36="",D36&lt;0),"",IF(AND(I36&gt;=$C$3,K36&gt;-$C$4),1,0))</f>
        <v>1</v>
      </c>
      <c r="M36" s="241">
        <f t="shared" ref="M36:M47" ca="1" si="20">IF(OR(C36="",L36=""),"",IF(L36=1,C36*(1+$C$5),C36))</f>
        <v>2.3696832997947049E-2</v>
      </c>
      <c r="N36" s="227" t="e">
        <f t="shared" ref="N36:N47" ca="1" si="21">IF(M36="","",M36*$K$3)</f>
        <v>#REF!</v>
      </c>
      <c r="O36" s="242" t="str">
        <f t="shared" ref="O36:O47" ca="1" si="22">IF(ISERR(N36/$N$48),"",N36/$N$48)</f>
        <v/>
      </c>
      <c r="P36" s="243" t="str">
        <f t="shared" ref="P36:P47" ca="1" si="23">IF(O36="","",O36*$K$3)</f>
        <v/>
      </c>
      <c r="Q36" s="221">
        <f t="shared" ca="1" si="12"/>
        <v>1</v>
      </c>
      <c r="R36" s="221">
        <f t="shared" ca="1" si="13"/>
        <v>1</v>
      </c>
      <c r="S36" s="221">
        <f t="shared" ca="1" si="14"/>
        <v>1</v>
      </c>
      <c r="U36" s="244"/>
    </row>
    <row r="37" spans="1:21" ht="13.5" thickBot="1" x14ac:dyDescent="0.25">
      <c r="A37" s="225" t="e">
        <f>'חריגות שכר'!A34</f>
        <v>#REF!</v>
      </c>
      <c r="B37" s="225" t="str">
        <f ca="1">'חריגות שכר'!B34</f>
        <v>ערב רב (בר קיימא)</v>
      </c>
      <c r="C37" s="238">
        <f ca="1">הגנה!AU60</f>
        <v>3.3850555156023782E-2</v>
      </c>
      <c r="D37" s="245">
        <v>853656</v>
      </c>
      <c r="E37" s="245">
        <v>238770</v>
      </c>
      <c r="F37" s="245">
        <v>102219</v>
      </c>
      <c r="G37" s="245"/>
      <c r="H37" s="227">
        <f t="shared" ca="1" si="15"/>
        <v>238770</v>
      </c>
      <c r="I37" s="232">
        <f t="shared" ca="1" si="16"/>
        <v>0.27970283111698391</v>
      </c>
      <c r="J37" s="227">
        <f t="shared" ca="1" si="17"/>
        <v>102219</v>
      </c>
      <c r="K37" s="232">
        <f t="shared" ca="1" si="18"/>
        <v>0.11974261294947848</v>
      </c>
      <c r="L37" s="240">
        <f t="shared" ca="1" si="19"/>
        <v>1</v>
      </c>
      <c r="M37" s="241">
        <f t="shared" ca="1" si="20"/>
        <v>3.4866071810704495E-2</v>
      </c>
      <c r="N37" s="227" t="e">
        <f t="shared" ca="1" si="21"/>
        <v>#REF!</v>
      </c>
      <c r="O37" s="242" t="str">
        <f t="shared" ca="1" si="22"/>
        <v/>
      </c>
      <c r="P37" s="243" t="str">
        <f t="shared" ca="1" si="23"/>
        <v/>
      </c>
      <c r="Q37" s="221">
        <f t="shared" ca="1" si="12"/>
        <v>1</v>
      </c>
      <c r="R37" s="221">
        <f t="shared" ca="1" si="13"/>
        <v>1</v>
      </c>
      <c r="S37" s="221">
        <f t="shared" ca="1" si="14"/>
        <v>1</v>
      </c>
      <c r="U37" s="244"/>
    </row>
    <row r="38" spans="1:21" hidden="1" x14ac:dyDescent="0.2">
      <c r="A38" s="225" t="e">
        <f>'חריגות שכר'!A35</f>
        <v>#REF!</v>
      </c>
      <c r="B38" s="225" t="str">
        <f ca="1">'חריגות שכר'!B35</f>
        <v/>
      </c>
      <c r="C38" s="238" t="str">
        <f ca="1">הגנה!AU61</f>
        <v/>
      </c>
      <c r="D38" s="245"/>
      <c r="E38" s="245"/>
      <c r="F38" s="245"/>
      <c r="G38" s="245"/>
      <c r="H38" s="227" t="str">
        <f t="shared" ca="1" si="15"/>
        <v/>
      </c>
      <c r="I38" s="232" t="str">
        <f t="shared" ca="1" si="16"/>
        <v/>
      </c>
      <c r="J38" s="227" t="str">
        <f t="shared" ca="1" si="17"/>
        <v/>
      </c>
      <c r="K38" s="232" t="str">
        <f t="shared" ca="1" si="18"/>
        <v/>
      </c>
      <c r="L38" s="240" t="str">
        <f t="shared" ca="1" si="19"/>
        <v/>
      </c>
      <c r="M38" s="241" t="str">
        <f t="shared" ca="1" si="20"/>
        <v/>
      </c>
      <c r="N38" s="227" t="str">
        <f t="shared" ca="1" si="21"/>
        <v/>
      </c>
      <c r="O38" s="242" t="str">
        <f t="shared" ca="1" si="22"/>
        <v/>
      </c>
      <c r="P38" s="243" t="str">
        <f t="shared" ca="1" si="23"/>
        <v/>
      </c>
      <c r="Q38" s="221">
        <f t="shared" ca="1" si="12"/>
        <v>0</v>
      </c>
      <c r="R38" s="221">
        <f t="shared" ca="1" si="13"/>
        <v>0</v>
      </c>
      <c r="S38" s="221">
        <f t="shared" ca="1" si="14"/>
        <v>0</v>
      </c>
      <c r="U38" s="244"/>
    </row>
    <row r="39" spans="1:21" hidden="1" x14ac:dyDescent="0.2">
      <c r="A39" s="225" t="e">
        <f>'חריגות שכר'!A36</f>
        <v>#REF!</v>
      </c>
      <c r="B39" s="225" t="str">
        <f ca="1">'חריגות שכר'!B36</f>
        <v>מעלה</v>
      </c>
      <c r="C39" s="238">
        <f ca="1">הגנה!AU62</f>
        <v>6.1714812643207745E-2</v>
      </c>
      <c r="D39" s="245"/>
      <c r="E39" s="245"/>
      <c r="F39" s="245"/>
      <c r="G39" s="245"/>
      <c r="H39" s="227">
        <f t="shared" ca="1" si="15"/>
        <v>0</v>
      </c>
      <c r="I39" s="232" t="str">
        <f t="shared" ca="1" si="16"/>
        <v>--</v>
      </c>
      <c r="J39" s="227">
        <f t="shared" ca="1" si="17"/>
        <v>0</v>
      </c>
      <c r="K39" s="232" t="str">
        <f t="shared" ca="1" si="18"/>
        <v>--</v>
      </c>
      <c r="L39" s="240">
        <f t="shared" ca="1" si="19"/>
        <v>1</v>
      </c>
      <c r="M39" s="241">
        <f t="shared" ca="1" si="20"/>
        <v>6.3566257022503972E-2</v>
      </c>
      <c r="N39" s="227" t="e">
        <f t="shared" ca="1" si="21"/>
        <v>#REF!</v>
      </c>
      <c r="O39" s="242" t="str">
        <f t="shared" ca="1" si="22"/>
        <v/>
      </c>
      <c r="P39" s="243" t="str">
        <f t="shared" ca="1" si="23"/>
        <v/>
      </c>
      <c r="Q39" s="221">
        <f t="shared" ca="1" si="12"/>
        <v>1</v>
      </c>
      <c r="R39" s="221">
        <f t="shared" ca="1" si="13"/>
        <v>1</v>
      </c>
      <c r="S39" s="221">
        <f t="shared" ca="1" si="14"/>
        <v>1</v>
      </c>
      <c r="U39" s="244"/>
    </row>
    <row r="40" spans="1:21" hidden="1" x14ac:dyDescent="0.2">
      <c r="A40" s="225" t="e">
        <f>'חריגות שכר'!A37</f>
        <v>#REF!</v>
      </c>
      <c r="B40" s="225" t="str">
        <f ca="1">'חריגות שכר'!B37</f>
        <v/>
      </c>
      <c r="C40" s="238" t="str">
        <f ca="1">הגנה!AU63</f>
        <v/>
      </c>
      <c r="D40" s="245"/>
      <c r="E40" s="245"/>
      <c r="F40" s="245"/>
      <c r="G40" s="245"/>
      <c r="H40" s="227" t="str">
        <f t="shared" ca="1" si="15"/>
        <v/>
      </c>
      <c r="I40" s="232" t="str">
        <f t="shared" ca="1" si="16"/>
        <v/>
      </c>
      <c r="J40" s="227" t="str">
        <f t="shared" ca="1" si="17"/>
        <v/>
      </c>
      <c r="K40" s="232" t="str">
        <f t="shared" ca="1" si="18"/>
        <v/>
      </c>
      <c r="L40" s="240" t="str">
        <f t="shared" ca="1" si="19"/>
        <v/>
      </c>
      <c r="M40" s="241" t="str">
        <f t="shared" ca="1" si="20"/>
        <v/>
      </c>
      <c r="N40" s="227" t="str">
        <f t="shared" ca="1" si="21"/>
        <v/>
      </c>
      <c r="O40" s="242" t="str">
        <f t="shared" ca="1" si="22"/>
        <v/>
      </c>
      <c r="P40" s="243" t="str">
        <f t="shared" ca="1" si="23"/>
        <v/>
      </c>
      <c r="Q40" s="221">
        <f t="shared" ca="1" si="12"/>
        <v>0</v>
      </c>
      <c r="R40" s="221">
        <f t="shared" ca="1" si="13"/>
        <v>0</v>
      </c>
      <c r="S40" s="221">
        <f t="shared" ca="1" si="14"/>
        <v>0</v>
      </c>
      <c r="U40" s="244"/>
    </row>
    <row r="41" spans="1:21" hidden="1" x14ac:dyDescent="0.2">
      <c r="A41" s="225" t="e">
        <f>'חריגות שכר'!A38</f>
        <v>#REF!</v>
      </c>
      <c r="B41" s="225" t="str">
        <f ca="1">'חריגות שכר'!B38</f>
        <v>כתב עת ירושלמי</v>
      </c>
      <c r="C41" s="238">
        <f ca="1">הגנה!AU64</f>
        <v>3.1368546237914061E-2</v>
      </c>
      <c r="D41" s="245"/>
      <c r="E41" s="245"/>
      <c r="F41" s="245"/>
      <c r="G41" s="245"/>
      <c r="H41" s="227">
        <f t="shared" ca="1" si="15"/>
        <v>0</v>
      </c>
      <c r="I41" s="232" t="str">
        <f t="shared" ca="1" si="16"/>
        <v>--</v>
      </c>
      <c r="J41" s="227">
        <f t="shared" ca="1" si="17"/>
        <v>0</v>
      </c>
      <c r="K41" s="232" t="str">
        <f t="shared" ca="1" si="18"/>
        <v>--</v>
      </c>
      <c r="L41" s="240">
        <f t="shared" ca="1" si="19"/>
        <v>1</v>
      </c>
      <c r="M41" s="241">
        <f t="shared" ca="1" si="20"/>
        <v>3.2309602625051483E-2</v>
      </c>
      <c r="N41" s="227" t="e">
        <f t="shared" ca="1" si="21"/>
        <v>#REF!</v>
      </c>
      <c r="O41" s="242" t="str">
        <f t="shared" ca="1" si="22"/>
        <v/>
      </c>
      <c r="P41" s="243" t="str">
        <f t="shared" ca="1" si="23"/>
        <v/>
      </c>
      <c r="Q41" s="221">
        <f t="shared" ca="1" si="12"/>
        <v>1</v>
      </c>
      <c r="R41" s="221">
        <f t="shared" ca="1" si="13"/>
        <v>1</v>
      </c>
      <c r="S41" s="221">
        <f t="shared" ca="1" si="14"/>
        <v>1</v>
      </c>
      <c r="U41" s="244"/>
    </row>
    <row r="42" spans="1:21" hidden="1" x14ac:dyDescent="0.2">
      <c r="A42" s="225" t="e">
        <f>'חריגות שכר'!A39</f>
        <v>#REF!</v>
      </c>
      <c r="B42" s="225" t="str">
        <f ca="1">'חריגות שכר'!B39</f>
        <v/>
      </c>
      <c r="C42" s="238" t="str">
        <f ca="1">הגנה!AU65</f>
        <v/>
      </c>
      <c r="D42" s="245"/>
      <c r="E42" s="245"/>
      <c r="F42" s="245"/>
      <c r="G42" s="245"/>
      <c r="H42" s="227" t="str">
        <f t="shared" ca="1" si="15"/>
        <v/>
      </c>
      <c r="I42" s="232" t="str">
        <f t="shared" ca="1" si="16"/>
        <v/>
      </c>
      <c r="J42" s="227" t="str">
        <f t="shared" ca="1" si="17"/>
        <v/>
      </c>
      <c r="K42" s="232" t="str">
        <f t="shared" ca="1" si="18"/>
        <v/>
      </c>
      <c r="L42" s="240" t="str">
        <f t="shared" ca="1" si="19"/>
        <v/>
      </c>
      <c r="M42" s="241" t="str">
        <f t="shared" ca="1" si="20"/>
        <v/>
      </c>
      <c r="N42" s="227" t="str">
        <f t="shared" ca="1" si="21"/>
        <v/>
      </c>
      <c r="O42" s="242" t="str">
        <f t="shared" ca="1" si="22"/>
        <v/>
      </c>
      <c r="P42" s="243" t="str">
        <f t="shared" ca="1" si="23"/>
        <v/>
      </c>
      <c r="Q42" s="221">
        <f t="shared" ca="1" si="12"/>
        <v>0</v>
      </c>
      <c r="R42" s="221">
        <f t="shared" ca="1" si="13"/>
        <v>0</v>
      </c>
      <c r="S42" s="221">
        <f t="shared" ca="1" si="14"/>
        <v>0</v>
      </c>
      <c r="U42" s="244"/>
    </row>
    <row r="43" spans="1:21" hidden="1" x14ac:dyDescent="0.2">
      <c r="A43" s="225" t="e">
        <f>'חריגות שכר'!A40</f>
        <v>#REF!</v>
      </c>
      <c r="B43" s="225" t="str">
        <f ca="1">'חריגות שכר'!B40</f>
        <v>העמותה ליצירה פנטסטית- אוטופיה</v>
      </c>
      <c r="C43" s="238">
        <f ca="1">הגנה!AU66</f>
        <v>3.9409777847117786E-2</v>
      </c>
      <c r="D43" s="245"/>
      <c r="E43" s="245"/>
      <c r="F43" s="245"/>
      <c r="G43" s="245"/>
      <c r="H43" s="227">
        <f t="shared" ca="1" si="15"/>
        <v>0</v>
      </c>
      <c r="I43" s="232" t="str">
        <f t="shared" ca="1" si="16"/>
        <v>--</v>
      </c>
      <c r="J43" s="227">
        <f t="shared" ca="1" si="17"/>
        <v>0</v>
      </c>
      <c r="K43" s="232" t="str">
        <f t="shared" ca="1" si="18"/>
        <v>--</v>
      </c>
      <c r="L43" s="240">
        <f t="shared" ca="1" si="19"/>
        <v>1</v>
      </c>
      <c r="M43" s="241">
        <f t="shared" ca="1" si="20"/>
        <v>4.0592071182531317E-2</v>
      </c>
      <c r="N43" s="227" t="e">
        <f t="shared" ca="1" si="21"/>
        <v>#REF!</v>
      </c>
      <c r="O43" s="242" t="str">
        <f t="shared" ca="1" si="22"/>
        <v/>
      </c>
      <c r="P43" s="243" t="str">
        <f t="shared" ca="1" si="23"/>
        <v/>
      </c>
      <c r="Q43" s="221">
        <f t="shared" ca="1" si="12"/>
        <v>1</v>
      </c>
      <c r="R43" s="221">
        <f t="shared" ca="1" si="13"/>
        <v>1</v>
      </c>
      <c r="S43" s="221">
        <f t="shared" ca="1" si="14"/>
        <v>1</v>
      </c>
      <c r="U43" s="244"/>
    </row>
    <row r="44" spans="1:21" hidden="1" x14ac:dyDescent="0.2">
      <c r="A44" s="225" t="e">
        <f>'חריגות שכר'!A41</f>
        <v>#REF!</v>
      </c>
      <c r="B44" s="225" t="str">
        <f ca="1">'חריגות שכר'!B41</f>
        <v/>
      </c>
      <c r="C44" s="238" t="str">
        <f ca="1">הגנה!AU67</f>
        <v/>
      </c>
      <c r="D44" s="245"/>
      <c r="E44" s="245"/>
      <c r="F44" s="245"/>
      <c r="G44" s="245"/>
      <c r="H44" s="227" t="str">
        <f t="shared" ca="1" si="15"/>
        <v/>
      </c>
      <c r="I44" s="232" t="str">
        <f t="shared" ca="1" si="16"/>
        <v/>
      </c>
      <c r="J44" s="227" t="str">
        <f t="shared" ca="1" si="17"/>
        <v/>
      </c>
      <c r="K44" s="232" t="str">
        <f t="shared" ca="1" si="18"/>
        <v/>
      </c>
      <c r="L44" s="240" t="str">
        <f t="shared" ca="1" si="19"/>
        <v/>
      </c>
      <c r="M44" s="241" t="str">
        <f t="shared" ca="1" si="20"/>
        <v/>
      </c>
      <c r="N44" s="227" t="str">
        <f t="shared" ca="1" si="21"/>
        <v/>
      </c>
      <c r="O44" s="242" t="str">
        <f t="shared" ca="1" si="22"/>
        <v/>
      </c>
      <c r="P44" s="243" t="str">
        <f t="shared" ca="1" si="23"/>
        <v/>
      </c>
      <c r="Q44" s="221">
        <f t="shared" ca="1" si="12"/>
        <v>0</v>
      </c>
      <c r="R44" s="221">
        <f t="shared" ca="1" si="13"/>
        <v>0</v>
      </c>
      <c r="S44" s="221">
        <f t="shared" ca="1" si="14"/>
        <v>0</v>
      </c>
      <c r="U44" s="244"/>
    </row>
    <row r="45" spans="1:21" hidden="1" x14ac:dyDescent="0.2">
      <c r="A45" s="225" t="e">
        <f>'חריגות שכר'!A42</f>
        <v>#REF!</v>
      </c>
      <c r="B45" s="225" t="str">
        <f ca="1">'חריגות שכר'!B42</f>
        <v/>
      </c>
      <c r="C45" s="238" t="str">
        <f ca="1">הגנה!AU68</f>
        <v/>
      </c>
      <c r="D45" s="245"/>
      <c r="E45" s="245"/>
      <c r="F45" s="245"/>
      <c r="G45" s="245"/>
      <c r="H45" s="227" t="str">
        <f t="shared" ca="1" si="15"/>
        <v/>
      </c>
      <c r="I45" s="232" t="str">
        <f t="shared" ca="1" si="16"/>
        <v/>
      </c>
      <c r="J45" s="227" t="str">
        <f t="shared" ca="1" si="17"/>
        <v/>
      </c>
      <c r="K45" s="232" t="str">
        <f t="shared" ca="1" si="18"/>
        <v/>
      </c>
      <c r="L45" s="240" t="str">
        <f t="shared" ca="1" si="19"/>
        <v/>
      </c>
      <c r="M45" s="241" t="str">
        <f t="shared" ca="1" si="20"/>
        <v/>
      </c>
      <c r="N45" s="227" t="str">
        <f t="shared" ca="1" si="21"/>
        <v/>
      </c>
      <c r="O45" s="242" t="str">
        <f t="shared" ca="1" si="22"/>
        <v/>
      </c>
      <c r="P45" s="243" t="str">
        <f t="shared" ca="1" si="23"/>
        <v/>
      </c>
      <c r="Q45" s="221">
        <f t="shared" ca="1" si="12"/>
        <v>0</v>
      </c>
      <c r="R45" s="221">
        <f t="shared" ca="1" si="13"/>
        <v>0</v>
      </c>
      <c r="S45" s="221">
        <f t="shared" ca="1" si="14"/>
        <v>0</v>
      </c>
      <c r="U45" s="244"/>
    </row>
    <row r="46" spans="1:21" hidden="1" x14ac:dyDescent="0.2">
      <c r="A46" s="225" t="e">
        <f>'חריגות שכר'!A43</f>
        <v>#REF!</v>
      </c>
      <c r="B46" s="225" t="str">
        <f ca="1">'חריגות שכר'!B43</f>
        <v/>
      </c>
      <c r="C46" s="238" t="str">
        <f ca="1">הגנה!AU69</f>
        <v/>
      </c>
      <c r="D46" s="245"/>
      <c r="E46" s="245"/>
      <c r="F46" s="245"/>
      <c r="G46" s="245"/>
      <c r="H46" s="227" t="str">
        <f t="shared" ca="1" si="15"/>
        <v/>
      </c>
      <c r="I46" s="232" t="str">
        <f t="shared" ca="1" si="16"/>
        <v/>
      </c>
      <c r="J46" s="227" t="str">
        <f t="shared" ca="1" si="17"/>
        <v/>
      </c>
      <c r="K46" s="232" t="str">
        <f t="shared" ca="1" si="18"/>
        <v/>
      </c>
      <c r="L46" s="240" t="str">
        <f t="shared" ca="1" si="19"/>
        <v/>
      </c>
      <c r="M46" s="241" t="str">
        <f t="shared" ca="1" si="20"/>
        <v/>
      </c>
      <c r="N46" s="227" t="str">
        <f t="shared" ca="1" si="21"/>
        <v/>
      </c>
      <c r="O46" s="242" t="str">
        <f t="shared" ca="1" si="22"/>
        <v/>
      </c>
      <c r="P46" s="243" t="str">
        <f t="shared" ca="1" si="23"/>
        <v/>
      </c>
      <c r="Q46" s="221">
        <f t="shared" ca="1" si="12"/>
        <v>0</v>
      </c>
      <c r="R46" s="221">
        <f t="shared" ca="1" si="13"/>
        <v>0</v>
      </c>
      <c r="S46" s="221">
        <f t="shared" ca="1" si="14"/>
        <v>0</v>
      </c>
      <c r="U46" s="244"/>
    </row>
    <row r="47" spans="1:21" ht="13.5" hidden="1" thickBot="1" x14ac:dyDescent="0.25">
      <c r="A47" s="225" t="e">
        <f>'חריגות שכר'!A44</f>
        <v>#REF!</v>
      </c>
      <c r="B47" s="225" t="str">
        <f ca="1">'חריגות שכר'!B44</f>
        <v/>
      </c>
      <c r="C47" s="238" t="str">
        <f ca="1">הגנה!AU70</f>
        <v/>
      </c>
      <c r="D47" s="245"/>
      <c r="E47" s="245"/>
      <c r="F47" s="245"/>
      <c r="G47" s="245"/>
      <c r="H47" s="227" t="str">
        <f t="shared" ca="1" si="15"/>
        <v/>
      </c>
      <c r="I47" s="232" t="str">
        <f t="shared" ca="1" si="16"/>
        <v/>
      </c>
      <c r="J47" s="227" t="str">
        <f t="shared" ca="1" si="17"/>
        <v/>
      </c>
      <c r="K47" s="232" t="str">
        <f t="shared" ca="1" si="18"/>
        <v/>
      </c>
      <c r="L47" s="240" t="str">
        <f t="shared" ca="1" si="19"/>
        <v/>
      </c>
      <c r="M47" s="241" t="str">
        <f t="shared" ca="1" si="20"/>
        <v/>
      </c>
      <c r="N47" s="227" t="str">
        <f t="shared" ca="1" si="21"/>
        <v/>
      </c>
      <c r="O47" s="242" t="str">
        <f t="shared" ca="1" si="22"/>
        <v/>
      </c>
      <c r="P47" s="243" t="str">
        <f t="shared" ca="1" si="23"/>
        <v/>
      </c>
      <c r="Q47" s="221">
        <f t="shared" ca="1" si="12"/>
        <v>0</v>
      </c>
      <c r="R47" s="221">
        <f t="shared" ca="1" si="13"/>
        <v>0</v>
      </c>
      <c r="S47" s="221">
        <f t="shared" ca="1" si="14"/>
        <v>0</v>
      </c>
      <c r="U47" s="244"/>
    </row>
    <row r="48" spans="1:21" ht="14.25" thickTop="1" thickBot="1" x14ac:dyDescent="0.25">
      <c r="A48" s="246" t="s">
        <v>54</v>
      </c>
      <c r="B48" s="247"/>
      <c r="C48" s="248">
        <f ca="1">SUM(C8:C47)</f>
        <v>1</v>
      </c>
      <c r="D48" s="249">
        <f>AVERAGE(D8:D47)</f>
        <v>1076292.56</v>
      </c>
      <c r="E48" s="249">
        <f>AVERAGE(E8:E47)</f>
        <v>27832.400000000001</v>
      </c>
      <c r="F48" s="249">
        <f>AVERAGE(F8:F47)</f>
        <v>113025.04</v>
      </c>
      <c r="G48" s="249"/>
      <c r="H48" s="249"/>
      <c r="I48" s="250">
        <f ca="1">AVERAGE(I8:I47)</f>
        <v>7.4280132527853121E-2</v>
      </c>
      <c r="J48" s="249">
        <f ca="1">AVERAGE(J8:J47)</f>
        <v>138697.13043478262</v>
      </c>
      <c r="K48" s="250">
        <f ca="1">AVERAGE(K8:K47)</f>
        <v>6.8437927987630182E-2</v>
      </c>
      <c r="L48" s="233"/>
      <c r="M48" s="251">
        <f ca="1">SUM(M8:M47)</f>
        <v>1.0241833720765785</v>
      </c>
      <c r="N48" s="252" t="e">
        <f ca="1">SUM(N8:N47)</f>
        <v>#REF!</v>
      </c>
      <c r="O48" s="251">
        <f ca="1">SUM(O8:O47)</f>
        <v>0</v>
      </c>
      <c r="P48" s="253">
        <f ca="1">SUM(P8:P47)</f>
        <v>0</v>
      </c>
      <c r="S48" s="254"/>
    </row>
    <row r="49" ht="13.5" thickTop="1" x14ac:dyDescent="0.2"/>
  </sheetData>
  <sheetProtection algorithmName="SHA-512" hashValue="WSn2BEb2v4EtgCyIHrP2y2/8giAW95SCz5hqdlWvcEXIDuCqgNoz3ZCtGflyJCextaLBsaQFzDowmZiRmLpp+g==" saltValue="Mlxpvh/gKQ89lvBbAISxJw==" spinCount="100000" sheet="1" scenarios="1" formatColumns="0" formatRows="0"/>
  <mergeCells count="3">
    <mergeCell ref="B1:D1"/>
    <mergeCell ref="D3:D4"/>
    <mergeCell ref="A6:P6"/>
  </mergeCells>
  <conditionalFormatting sqref="D8:G47">
    <cfRule type="expression" dxfId="1004" priority="1" stopIfTrue="1">
      <formula>IF(P8=0,1,0)</formula>
    </cfRule>
  </conditionalFormatting>
  <conditionalFormatting sqref="P8:P47">
    <cfRule type="cellIs" dxfId="1003" priority="3" stopIfTrue="1" operator="notEqual">
      <formula>#REF!</formula>
    </cfRule>
  </conditionalFormatting>
  <dataValidations count="5">
    <dataValidation type="custom" errorStyle="warning" allowBlank="1" showInputMessage="1" showErrorMessage="1" errorTitle="טעות בהזנה" error="יש לוודא כי הוזן שם ללהקה_x000a__x000a_יש להזין סכום" sqref="WVM983058:WVM983087 JA8:JA47 SW8:SW47 ACS8:ACS47 AMO8:AMO47 AWK8:AWK47 BGG8:BGG47 BQC8:BQC47 BZY8:BZY47 CJU8:CJU47 CTQ8:CTQ47 DDM8:DDM47 DNI8:DNI47 DXE8:DXE47 EHA8:EHA47 EQW8:EQW47 FAS8:FAS47 FKO8:FKO47 FUK8:FUK47 GEG8:GEG47 GOC8:GOC47 GXY8:GXY47 HHU8:HHU47 HRQ8:HRQ47 IBM8:IBM47 ILI8:ILI47 IVE8:IVE47 JFA8:JFA47 JOW8:JOW47 JYS8:JYS47 KIO8:KIO47 KSK8:KSK47 LCG8:LCG47 LMC8:LMC47 LVY8:LVY47 MFU8:MFU47 MPQ8:MPQ47 MZM8:MZM47 NJI8:NJI47 NTE8:NTE47 ODA8:ODA47 OMW8:OMW47 OWS8:OWS47 PGO8:PGO47 PQK8:PQK47 QAG8:QAG47 QKC8:QKC47 QTY8:QTY47 RDU8:RDU47 RNQ8:RNQ47 RXM8:RXM47 SHI8:SHI47 SRE8:SRE47 TBA8:TBA47 TKW8:TKW47 TUS8:TUS47 UEO8:UEO47 UOK8:UOK47 UYG8:UYG47 VIC8:VIC47 VRY8:VRY47 WBU8:WBU47 WLQ8:WLQ47 WVM8:WVM47 E65554:E65583 JA65554:JA65583 SW65554:SW65583 ACS65554:ACS65583 AMO65554:AMO65583 AWK65554:AWK65583 BGG65554:BGG65583 BQC65554:BQC65583 BZY65554:BZY65583 CJU65554:CJU65583 CTQ65554:CTQ65583 DDM65554:DDM65583 DNI65554:DNI65583 DXE65554:DXE65583 EHA65554:EHA65583 EQW65554:EQW65583 FAS65554:FAS65583 FKO65554:FKO65583 FUK65554:FUK65583 GEG65554:GEG65583 GOC65554:GOC65583 GXY65554:GXY65583 HHU65554:HHU65583 HRQ65554:HRQ65583 IBM65554:IBM65583 ILI65554:ILI65583 IVE65554:IVE65583 JFA65554:JFA65583 JOW65554:JOW65583 JYS65554:JYS65583 KIO65554:KIO65583 KSK65554:KSK65583 LCG65554:LCG65583 LMC65554:LMC65583 LVY65554:LVY65583 MFU65554:MFU65583 MPQ65554:MPQ65583 MZM65554:MZM65583 NJI65554:NJI65583 NTE65554:NTE65583 ODA65554:ODA65583 OMW65554:OMW65583 OWS65554:OWS65583 PGO65554:PGO65583 PQK65554:PQK65583 QAG65554:QAG65583 QKC65554:QKC65583 QTY65554:QTY65583 RDU65554:RDU65583 RNQ65554:RNQ65583 RXM65554:RXM65583 SHI65554:SHI65583 SRE65554:SRE65583 TBA65554:TBA65583 TKW65554:TKW65583 TUS65554:TUS65583 UEO65554:UEO65583 UOK65554:UOK65583 UYG65554:UYG65583 VIC65554:VIC65583 VRY65554:VRY65583 WBU65554:WBU65583 WLQ65554:WLQ65583 WVM65554:WVM65583 E131090:E131119 JA131090:JA131119 SW131090:SW131119 ACS131090:ACS131119 AMO131090:AMO131119 AWK131090:AWK131119 BGG131090:BGG131119 BQC131090:BQC131119 BZY131090:BZY131119 CJU131090:CJU131119 CTQ131090:CTQ131119 DDM131090:DDM131119 DNI131090:DNI131119 DXE131090:DXE131119 EHA131090:EHA131119 EQW131090:EQW131119 FAS131090:FAS131119 FKO131090:FKO131119 FUK131090:FUK131119 GEG131090:GEG131119 GOC131090:GOC131119 GXY131090:GXY131119 HHU131090:HHU131119 HRQ131090:HRQ131119 IBM131090:IBM131119 ILI131090:ILI131119 IVE131090:IVE131119 JFA131090:JFA131119 JOW131090:JOW131119 JYS131090:JYS131119 KIO131090:KIO131119 KSK131090:KSK131119 LCG131090:LCG131119 LMC131090:LMC131119 LVY131090:LVY131119 MFU131090:MFU131119 MPQ131090:MPQ131119 MZM131090:MZM131119 NJI131090:NJI131119 NTE131090:NTE131119 ODA131090:ODA131119 OMW131090:OMW131119 OWS131090:OWS131119 PGO131090:PGO131119 PQK131090:PQK131119 QAG131090:QAG131119 QKC131090:QKC131119 QTY131090:QTY131119 RDU131090:RDU131119 RNQ131090:RNQ131119 RXM131090:RXM131119 SHI131090:SHI131119 SRE131090:SRE131119 TBA131090:TBA131119 TKW131090:TKW131119 TUS131090:TUS131119 UEO131090:UEO131119 UOK131090:UOK131119 UYG131090:UYG131119 VIC131090:VIC131119 VRY131090:VRY131119 WBU131090:WBU131119 WLQ131090:WLQ131119 WVM131090:WVM131119 E196626:E196655 JA196626:JA196655 SW196626:SW196655 ACS196626:ACS196655 AMO196626:AMO196655 AWK196626:AWK196655 BGG196626:BGG196655 BQC196626:BQC196655 BZY196626:BZY196655 CJU196626:CJU196655 CTQ196626:CTQ196655 DDM196626:DDM196655 DNI196626:DNI196655 DXE196626:DXE196655 EHA196626:EHA196655 EQW196626:EQW196655 FAS196626:FAS196655 FKO196626:FKO196655 FUK196626:FUK196655 GEG196626:GEG196655 GOC196626:GOC196655 GXY196626:GXY196655 HHU196626:HHU196655 HRQ196626:HRQ196655 IBM196626:IBM196655 ILI196626:ILI196655 IVE196626:IVE196655 JFA196626:JFA196655 JOW196626:JOW196655 JYS196626:JYS196655 KIO196626:KIO196655 KSK196626:KSK196655 LCG196626:LCG196655 LMC196626:LMC196655 LVY196626:LVY196655 MFU196626:MFU196655 MPQ196626:MPQ196655 MZM196626:MZM196655 NJI196626:NJI196655 NTE196626:NTE196655 ODA196626:ODA196655 OMW196626:OMW196655 OWS196626:OWS196655 PGO196626:PGO196655 PQK196626:PQK196655 QAG196626:QAG196655 QKC196626:QKC196655 QTY196626:QTY196655 RDU196626:RDU196655 RNQ196626:RNQ196655 RXM196626:RXM196655 SHI196626:SHI196655 SRE196626:SRE196655 TBA196626:TBA196655 TKW196626:TKW196655 TUS196626:TUS196655 UEO196626:UEO196655 UOK196626:UOK196655 UYG196626:UYG196655 VIC196626:VIC196655 VRY196626:VRY196655 WBU196626:WBU196655 WLQ196626:WLQ196655 WVM196626:WVM196655 E262162:E262191 JA262162:JA262191 SW262162:SW262191 ACS262162:ACS262191 AMO262162:AMO262191 AWK262162:AWK262191 BGG262162:BGG262191 BQC262162:BQC262191 BZY262162:BZY262191 CJU262162:CJU262191 CTQ262162:CTQ262191 DDM262162:DDM262191 DNI262162:DNI262191 DXE262162:DXE262191 EHA262162:EHA262191 EQW262162:EQW262191 FAS262162:FAS262191 FKO262162:FKO262191 FUK262162:FUK262191 GEG262162:GEG262191 GOC262162:GOC262191 GXY262162:GXY262191 HHU262162:HHU262191 HRQ262162:HRQ262191 IBM262162:IBM262191 ILI262162:ILI262191 IVE262162:IVE262191 JFA262162:JFA262191 JOW262162:JOW262191 JYS262162:JYS262191 KIO262162:KIO262191 KSK262162:KSK262191 LCG262162:LCG262191 LMC262162:LMC262191 LVY262162:LVY262191 MFU262162:MFU262191 MPQ262162:MPQ262191 MZM262162:MZM262191 NJI262162:NJI262191 NTE262162:NTE262191 ODA262162:ODA262191 OMW262162:OMW262191 OWS262162:OWS262191 PGO262162:PGO262191 PQK262162:PQK262191 QAG262162:QAG262191 QKC262162:QKC262191 QTY262162:QTY262191 RDU262162:RDU262191 RNQ262162:RNQ262191 RXM262162:RXM262191 SHI262162:SHI262191 SRE262162:SRE262191 TBA262162:TBA262191 TKW262162:TKW262191 TUS262162:TUS262191 UEO262162:UEO262191 UOK262162:UOK262191 UYG262162:UYG262191 VIC262162:VIC262191 VRY262162:VRY262191 WBU262162:WBU262191 WLQ262162:WLQ262191 WVM262162:WVM262191 E327698:E327727 JA327698:JA327727 SW327698:SW327727 ACS327698:ACS327727 AMO327698:AMO327727 AWK327698:AWK327727 BGG327698:BGG327727 BQC327698:BQC327727 BZY327698:BZY327727 CJU327698:CJU327727 CTQ327698:CTQ327727 DDM327698:DDM327727 DNI327698:DNI327727 DXE327698:DXE327727 EHA327698:EHA327727 EQW327698:EQW327727 FAS327698:FAS327727 FKO327698:FKO327727 FUK327698:FUK327727 GEG327698:GEG327727 GOC327698:GOC327727 GXY327698:GXY327727 HHU327698:HHU327727 HRQ327698:HRQ327727 IBM327698:IBM327727 ILI327698:ILI327727 IVE327698:IVE327727 JFA327698:JFA327727 JOW327698:JOW327727 JYS327698:JYS327727 KIO327698:KIO327727 KSK327698:KSK327727 LCG327698:LCG327727 LMC327698:LMC327727 LVY327698:LVY327727 MFU327698:MFU327727 MPQ327698:MPQ327727 MZM327698:MZM327727 NJI327698:NJI327727 NTE327698:NTE327727 ODA327698:ODA327727 OMW327698:OMW327727 OWS327698:OWS327727 PGO327698:PGO327727 PQK327698:PQK327727 QAG327698:QAG327727 QKC327698:QKC327727 QTY327698:QTY327727 RDU327698:RDU327727 RNQ327698:RNQ327727 RXM327698:RXM327727 SHI327698:SHI327727 SRE327698:SRE327727 TBA327698:TBA327727 TKW327698:TKW327727 TUS327698:TUS327727 UEO327698:UEO327727 UOK327698:UOK327727 UYG327698:UYG327727 VIC327698:VIC327727 VRY327698:VRY327727 WBU327698:WBU327727 WLQ327698:WLQ327727 WVM327698:WVM327727 E393234:E393263 JA393234:JA393263 SW393234:SW393263 ACS393234:ACS393263 AMO393234:AMO393263 AWK393234:AWK393263 BGG393234:BGG393263 BQC393234:BQC393263 BZY393234:BZY393263 CJU393234:CJU393263 CTQ393234:CTQ393263 DDM393234:DDM393263 DNI393234:DNI393263 DXE393234:DXE393263 EHA393234:EHA393263 EQW393234:EQW393263 FAS393234:FAS393263 FKO393234:FKO393263 FUK393234:FUK393263 GEG393234:GEG393263 GOC393234:GOC393263 GXY393234:GXY393263 HHU393234:HHU393263 HRQ393234:HRQ393263 IBM393234:IBM393263 ILI393234:ILI393263 IVE393234:IVE393263 JFA393234:JFA393263 JOW393234:JOW393263 JYS393234:JYS393263 KIO393234:KIO393263 KSK393234:KSK393263 LCG393234:LCG393263 LMC393234:LMC393263 LVY393234:LVY393263 MFU393234:MFU393263 MPQ393234:MPQ393263 MZM393234:MZM393263 NJI393234:NJI393263 NTE393234:NTE393263 ODA393234:ODA393263 OMW393234:OMW393263 OWS393234:OWS393263 PGO393234:PGO393263 PQK393234:PQK393263 QAG393234:QAG393263 QKC393234:QKC393263 QTY393234:QTY393263 RDU393234:RDU393263 RNQ393234:RNQ393263 RXM393234:RXM393263 SHI393234:SHI393263 SRE393234:SRE393263 TBA393234:TBA393263 TKW393234:TKW393263 TUS393234:TUS393263 UEO393234:UEO393263 UOK393234:UOK393263 UYG393234:UYG393263 VIC393234:VIC393263 VRY393234:VRY393263 WBU393234:WBU393263 WLQ393234:WLQ393263 WVM393234:WVM393263 E458770:E458799 JA458770:JA458799 SW458770:SW458799 ACS458770:ACS458799 AMO458770:AMO458799 AWK458770:AWK458799 BGG458770:BGG458799 BQC458770:BQC458799 BZY458770:BZY458799 CJU458770:CJU458799 CTQ458770:CTQ458799 DDM458770:DDM458799 DNI458770:DNI458799 DXE458770:DXE458799 EHA458770:EHA458799 EQW458770:EQW458799 FAS458770:FAS458799 FKO458770:FKO458799 FUK458770:FUK458799 GEG458770:GEG458799 GOC458770:GOC458799 GXY458770:GXY458799 HHU458770:HHU458799 HRQ458770:HRQ458799 IBM458770:IBM458799 ILI458770:ILI458799 IVE458770:IVE458799 JFA458770:JFA458799 JOW458770:JOW458799 JYS458770:JYS458799 KIO458770:KIO458799 KSK458770:KSK458799 LCG458770:LCG458799 LMC458770:LMC458799 LVY458770:LVY458799 MFU458770:MFU458799 MPQ458770:MPQ458799 MZM458770:MZM458799 NJI458770:NJI458799 NTE458770:NTE458799 ODA458770:ODA458799 OMW458770:OMW458799 OWS458770:OWS458799 PGO458770:PGO458799 PQK458770:PQK458799 QAG458770:QAG458799 QKC458770:QKC458799 QTY458770:QTY458799 RDU458770:RDU458799 RNQ458770:RNQ458799 RXM458770:RXM458799 SHI458770:SHI458799 SRE458770:SRE458799 TBA458770:TBA458799 TKW458770:TKW458799 TUS458770:TUS458799 UEO458770:UEO458799 UOK458770:UOK458799 UYG458770:UYG458799 VIC458770:VIC458799 VRY458770:VRY458799 WBU458770:WBU458799 WLQ458770:WLQ458799 WVM458770:WVM458799 E524306:E524335 JA524306:JA524335 SW524306:SW524335 ACS524306:ACS524335 AMO524306:AMO524335 AWK524306:AWK524335 BGG524306:BGG524335 BQC524306:BQC524335 BZY524306:BZY524335 CJU524306:CJU524335 CTQ524306:CTQ524335 DDM524306:DDM524335 DNI524306:DNI524335 DXE524306:DXE524335 EHA524306:EHA524335 EQW524306:EQW524335 FAS524306:FAS524335 FKO524306:FKO524335 FUK524306:FUK524335 GEG524306:GEG524335 GOC524306:GOC524335 GXY524306:GXY524335 HHU524306:HHU524335 HRQ524306:HRQ524335 IBM524306:IBM524335 ILI524306:ILI524335 IVE524306:IVE524335 JFA524306:JFA524335 JOW524306:JOW524335 JYS524306:JYS524335 KIO524306:KIO524335 KSK524306:KSK524335 LCG524306:LCG524335 LMC524306:LMC524335 LVY524306:LVY524335 MFU524306:MFU524335 MPQ524306:MPQ524335 MZM524306:MZM524335 NJI524306:NJI524335 NTE524306:NTE524335 ODA524306:ODA524335 OMW524306:OMW524335 OWS524306:OWS524335 PGO524306:PGO524335 PQK524306:PQK524335 QAG524306:QAG524335 QKC524306:QKC524335 QTY524306:QTY524335 RDU524306:RDU524335 RNQ524306:RNQ524335 RXM524306:RXM524335 SHI524306:SHI524335 SRE524306:SRE524335 TBA524306:TBA524335 TKW524306:TKW524335 TUS524306:TUS524335 UEO524306:UEO524335 UOK524306:UOK524335 UYG524306:UYG524335 VIC524306:VIC524335 VRY524306:VRY524335 WBU524306:WBU524335 WLQ524306:WLQ524335 WVM524306:WVM524335 E589842:E589871 JA589842:JA589871 SW589842:SW589871 ACS589842:ACS589871 AMO589842:AMO589871 AWK589842:AWK589871 BGG589842:BGG589871 BQC589842:BQC589871 BZY589842:BZY589871 CJU589842:CJU589871 CTQ589842:CTQ589871 DDM589842:DDM589871 DNI589842:DNI589871 DXE589842:DXE589871 EHA589842:EHA589871 EQW589842:EQW589871 FAS589842:FAS589871 FKO589842:FKO589871 FUK589842:FUK589871 GEG589842:GEG589871 GOC589842:GOC589871 GXY589842:GXY589871 HHU589842:HHU589871 HRQ589842:HRQ589871 IBM589842:IBM589871 ILI589842:ILI589871 IVE589842:IVE589871 JFA589842:JFA589871 JOW589842:JOW589871 JYS589842:JYS589871 KIO589842:KIO589871 KSK589842:KSK589871 LCG589842:LCG589871 LMC589842:LMC589871 LVY589842:LVY589871 MFU589842:MFU589871 MPQ589842:MPQ589871 MZM589842:MZM589871 NJI589842:NJI589871 NTE589842:NTE589871 ODA589842:ODA589871 OMW589842:OMW589871 OWS589842:OWS589871 PGO589842:PGO589871 PQK589842:PQK589871 QAG589842:QAG589871 QKC589842:QKC589871 QTY589842:QTY589871 RDU589842:RDU589871 RNQ589842:RNQ589871 RXM589842:RXM589871 SHI589842:SHI589871 SRE589842:SRE589871 TBA589842:TBA589871 TKW589842:TKW589871 TUS589842:TUS589871 UEO589842:UEO589871 UOK589842:UOK589871 UYG589842:UYG589871 VIC589842:VIC589871 VRY589842:VRY589871 WBU589842:WBU589871 WLQ589842:WLQ589871 WVM589842:WVM589871 E655378:E655407 JA655378:JA655407 SW655378:SW655407 ACS655378:ACS655407 AMO655378:AMO655407 AWK655378:AWK655407 BGG655378:BGG655407 BQC655378:BQC655407 BZY655378:BZY655407 CJU655378:CJU655407 CTQ655378:CTQ655407 DDM655378:DDM655407 DNI655378:DNI655407 DXE655378:DXE655407 EHA655378:EHA655407 EQW655378:EQW655407 FAS655378:FAS655407 FKO655378:FKO655407 FUK655378:FUK655407 GEG655378:GEG655407 GOC655378:GOC655407 GXY655378:GXY655407 HHU655378:HHU655407 HRQ655378:HRQ655407 IBM655378:IBM655407 ILI655378:ILI655407 IVE655378:IVE655407 JFA655378:JFA655407 JOW655378:JOW655407 JYS655378:JYS655407 KIO655378:KIO655407 KSK655378:KSK655407 LCG655378:LCG655407 LMC655378:LMC655407 LVY655378:LVY655407 MFU655378:MFU655407 MPQ655378:MPQ655407 MZM655378:MZM655407 NJI655378:NJI655407 NTE655378:NTE655407 ODA655378:ODA655407 OMW655378:OMW655407 OWS655378:OWS655407 PGO655378:PGO655407 PQK655378:PQK655407 QAG655378:QAG655407 QKC655378:QKC655407 QTY655378:QTY655407 RDU655378:RDU655407 RNQ655378:RNQ655407 RXM655378:RXM655407 SHI655378:SHI655407 SRE655378:SRE655407 TBA655378:TBA655407 TKW655378:TKW655407 TUS655378:TUS655407 UEO655378:UEO655407 UOK655378:UOK655407 UYG655378:UYG655407 VIC655378:VIC655407 VRY655378:VRY655407 WBU655378:WBU655407 WLQ655378:WLQ655407 WVM655378:WVM655407 E720914:E720943 JA720914:JA720943 SW720914:SW720943 ACS720914:ACS720943 AMO720914:AMO720943 AWK720914:AWK720943 BGG720914:BGG720943 BQC720914:BQC720943 BZY720914:BZY720943 CJU720914:CJU720943 CTQ720914:CTQ720943 DDM720914:DDM720943 DNI720914:DNI720943 DXE720914:DXE720943 EHA720914:EHA720943 EQW720914:EQW720943 FAS720914:FAS720943 FKO720914:FKO720943 FUK720914:FUK720943 GEG720914:GEG720943 GOC720914:GOC720943 GXY720914:GXY720943 HHU720914:HHU720943 HRQ720914:HRQ720943 IBM720914:IBM720943 ILI720914:ILI720943 IVE720914:IVE720943 JFA720914:JFA720943 JOW720914:JOW720943 JYS720914:JYS720943 KIO720914:KIO720943 KSK720914:KSK720943 LCG720914:LCG720943 LMC720914:LMC720943 LVY720914:LVY720943 MFU720914:MFU720943 MPQ720914:MPQ720943 MZM720914:MZM720943 NJI720914:NJI720943 NTE720914:NTE720943 ODA720914:ODA720943 OMW720914:OMW720943 OWS720914:OWS720943 PGO720914:PGO720943 PQK720914:PQK720943 QAG720914:QAG720943 QKC720914:QKC720943 QTY720914:QTY720943 RDU720914:RDU720943 RNQ720914:RNQ720943 RXM720914:RXM720943 SHI720914:SHI720943 SRE720914:SRE720943 TBA720914:TBA720943 TKW720914:TKW720943 TUS720914:TUS720943 UEO720914:UEO720943 UOK720914:UOK720943 UYG720914:UYG720943 VIC720914:VIC720943 VRY720914:VRY720943 WBU720914:WBU720943 WLQ720914:WLQ720943 WVM720914:WVM720943 E786450:E786479 JA786450:JA786479 SW786450:SW786479 ACS786450:ACS786479 AMO786450:AMO786479 AWK786450:AWK786479 BGG786450:BGG786479 BQC786450:BQC786479 BZY786450:BZY786479 CJU786450:CJU786479 CTQ786450:CTQ786479 DDM786450:DDM786479 DNI786450:DNI786479 DXE786450:DXE786479 EHA786450:EHA786479 EQW786450:EQW786479 FAS786450:FAS786479 FKO786450:FKO786479 FUK786450:FUK786479 GEG786450:GEG786479 GOC786450:GOC786479 GXY786450:GXY786479 HHU786450:HHU786479 HRQ786450:HRQ786479 IBM786450:IBM786479 ILI786450:ILI786479 IVE786450:IVE786479 JFA786450:JFA786479 JOW786450:JOW786479 JYS786450:JYS786479 KIO786450:KIO786479 KSK786450:KSK786479 LCG786450:LCG786479 LMC786450:LMC786479 LVY786450:LVY786479 MFU786450:MFU786479 MPQ786450:MPQ786479 MZM786450:MZM786479 NJI786450:NJI786479 NTE786450:NTE786479 ODA786450:ODA786479 OMW786450:OMW786479 OWS786450:OWS786479 PGO786450:PGO786479 PQK786450:PQK786479 QAG786450:QAG786479 QKC786450:QKC786479 QTY786450:QTY786479 RDU786450:RDU786479 RNQ786450:RNQ786479 RXM786450:RXM786479 SHI786450:SHI786479 SRE786450:SRE786479 TBA786450:TBA786479 TKW786450:TKW786479 TUS786450:TUS786479 UEO786450:UEO786479 UOK786450:UOK786479 UYG786450:UYG786479 VIC786450:VIC786479 VRY786450:VRY786479 WBU786450:WBU786479 WLQ786450:WLQ786479 WVM786450:WVM786479 E851986:E852015 JA851986:JA852015 SW851986:SW852015 ACS851986:ACS852015 AMO851986:AMO852015 AWK851986:AWK852015 BGG851986:BGG852015 BQC851986:BQC852015 BZY851986:BZY852015 CJU851986:CJU852015 CTQ851986:CTQ852015 DDM851986:DDM852015 DNI851986:DNI852015 DXE851986:DXE852015 EHA851986:EHA852015 EQW851986:EQW852015 FAS851986:FAS852015 FKO851986:FKO852015 FUK851986:FUK852015 GEG851986:GEG852015 GOC851986:GOC852015 GXY851986:GXY852015 HHU851986:HHU852015 HRQ851986:HRQ852015 IBM851986:IBM852015 ILI851986:ILI852015 IVE851986:IVE852015 JFA851986:JFA852015 JOW851986:JOW852015 JYS851986:JYS852015 KIO851986:KIO852015 KSK851986:KSK852015 LCG851986:LCG852015 LMC851986:LMC852015 LVY851986:LVY852015 MFU851986:MFU852015 MPQ851986:MPQ852015 MZM851986:MZM852015 NJI851986:NJI852015 NTE851986:NTE852015 ODA851986:ODA852015 OMW851986:OMW852015 OWS851986:OWS852015 PGO851986:PGO852015 PQK851986:PQK852015 QAG851986:QAG852015 QKC851986:QKC852015 QTY851986:QTY852015 RDU851986:RDU852015 RNQ851986:RNQ852015 RXM851986:RXM852015 SHI851986:SHI852015 SRE851986:SRE852015 TBA851986:TBA852015 TKW851986:TKW852015 TUS851986:TUS852015 UEO851986:UEO852015 UOK851986:UOK852015 UYG851986:UYG852015 VIC851986:VIC852015 VRY851986:VRY852015 WBU851986:WBU852015 WLQ851986:WLQ852015 WVM851986:WVM852015 E917522:E917551 JA917522:JA917551 SW917522:SW917551 ACS917522:ACS917551 AMO917522:AMO917551 AWK917522:AWK917551 BGG917522:BGG917551 BQC917522:BQC917551 BZY917522:BZY917551 CJU917522:CJU917551 CTQ917522:CTQ917551 DDM917522:DDM917551 DNI917522:DNI917551 DXE917522:DXE917551 EHA917522:EHA917551 EQW917522:EQW917551 FAS917522:FAS917551 FKO917522:FKO917551 FUK917522:FUK917551 GEG917522:GEG917551 GOC917522:GOC917551 GXY917522:GXY917551 HHU917522:HHU917551 HRQ917522:HRQ917551 IBM917522:IBM917551 ILI917522:ILI917551 IVE917522:IVE917551 JFA917522:JFA917551 JOW917522:JOW917551 JYS917522:JYS917551 KIO917522:KIO917551 KSK917522:KSK917551 LCG917522:LCG917551 LMC917522:LMC917551 LVY917522:LVY917551 MFU917522:MFU917551 MPQ917522:MPQ917551 MZM917522:MZM917551 NJI917522:NJI917551 NTE917522:NTE917551 ODA917522:ODA917551 OMW917522:OMW917551 OWS917522:OWS917551 PGO917522:PGO917551 PQK917522:PQK917551 QAG917522:QAG917551 QKC917522:QKC917551 QTY917522:QTY917551 RDU917522:RDU917551 RNQ917522:RNQ917551 RXM917522:RXM917551 SHI917522:SHI917551 SRE917522:SRE917551 TBA917522:TBA917551 TKW917522:TKW917551 TUS917522:TUS917551 UEO917522:UEO917551 UOK917522:UOK917551 UYG917522:UYG917551 VIC917522:VIC917551 VRY917522:VRY917551 WBU917522:WBU917551 WLQ917522:WLQ917551 WVM917522:WVM917551 E983058:E983087 JA983058:JA983087 SW983058:SW983087 ACS983058:ACS983087 AMO983058:AMO983087 AWK983058:AWK983087 BGG983058:BGG983087 BQC983058:BQC983087 BZY983058:BZY983087 CJU983058:CJU983087 CTQ983058:CTQ983087 DDM983058:DDM983087 DNI983058:DNI983087 DXE983058:DXE983087 EHA983058:EHA983087 EQW983058:EQW983087 FAS983058:FAS983087 FKO983058:FKO983087 FUK983058:FUK983087 GEG983058:GEG983087 GOC983058:GOC983087 GXY983058:GXY983087 HHU983058:HHU983087 HRQ983058:HRQ983087 IBM983058:IBM983087 ILI983058:ILI983087 IVE983058:IVE983087 JFA983058:JFA983087 JOW983058:JOW983087 JYS983058:JYS983087 KIO983058:KIO983087 KSK983058:KSK983087 LCG983058:LCG983087 LMC983058:LMC983087 LVY983058:LVY983087 MFU983058:MFU983087 MPQ983058:MPQ983087 MZM983058:MZM983087 NJI983058:NJI983087 NTE983058:NTE983087 ODA983058:ODA983087 OMW983058:OMW983087 OWS983058:OWS983087 PGO983058:PGO983087 PQK983058:PQK983087 QAG983058:QAG983087 QKC983058:QKC983087 QTY983058:QTY983087 RDU983058:RDU983087 RNQ983058:RNQ983087 RXM983058:RXM983087 SHI983058:SHI983087 SRE983058:SRE983087 TBA983058:TBA983087 TKW983058:TKW983087 TUS983058:TUS983087 UEO983058:UEO983087 UOK983058:UOK983087 UYG983058:UYG983087 VIC983058:VIC983087 VRY983058:VRY983087 WBU983058:WBU983087 WLQ983058:WLQ983087 E8:E47" xr:uid="{00000000-0002-0000-1000-000000000000}">
      <formula1>Q8</formula1>
    </dataValidation>
    <dataValidation type="decimal" errorStyle="warning" allowBlank="1" showInputMessage="1" showErrorMessage="1" errorTitle="טעות בהזנה" error="יש להזין סכום_x000a_סכום חיובי (או אפס) עבור עודף (או איזון)_x000a_סכום שלילי עבור גרעון" sqref="WVP983058:WVP983087 JD8:JD47 SZ8:SZ47 ACV8:ACV47 AMR8:AMR47 AWN8:AWN47 BGJ8:BGJ47 BQF8:BQF47 CAB8:CAB47 CJX8:CJX47 CTT8:CTT47 DDP8:DDP47 DNL8:DNL47 DXH8:DXH47 EHD8:EHD47 EQZ8:EQZ47 FAV8:FAV47 FKR8:FKR47 FUN8:FUN47 GEJ8:GEJ47 GOF8:GOF47 GYB8:GYB47 HHX8:HHX47 HRT8:HRT47 IBP8:IBP47 ILL8:ILL47 IVH8:IVH47 JFD8:JFD47 JOZ8:JOZ47 JYV8:JYV47 KIR8:KIR47 KSN8:KSN47 LCJ8:LCJ47 LMF8:LMF47 LWB8:LWB47 MFX8:MFX47 MPT8:MPT47 MZP8:MZP47 NJL8:NJL47 NTH8:NTH47 ODD8:ODD47 OMZ8:OMZ47 OWV8:OWV47 PGR8:PGR47 PQN8:PQN47 QAJ8:QAJ47 QKF8:QKF47 QUB8:QUB47 RDX8:RDX47 RNT8:RNT47 RXP8:RXP47 SHL8:SHL47 SRH8:SRH47 TBD8:TBD47 TKZ8:TKZ47 TUV8:TUV47 UER8:UER47 UON8:UON47 UYJ8:UYJ47 VIF8:VIF47 VSB8:VSB47 WBX8:WBX47 WLT8:WLT47 WVP8:WVP47 H65554:H65583 JD65554:JD65583 SZ65554:SZ65583 ACV65554:ACV65583 AMR65554:AMR65583 AWN65554:AWN65583 BGJ65554:BGJ65583 BQF65554:BQF65583 CAB65554:CAB65583 CJX65554:CJX65583 CTT65554:CTT65583 DDP65554:DDP65583 DNL65554:DNL65583 DXH65554:DXH65583 EHD65554:EHD65583 EQZ65554:EQZ65583 FAV65554:FAV65583 FKR65554:FKR65583 FUN65554:FUN65583 GEJ65554:GEJ65583 GOF65554:GOF65583 GYB65554:GYB65583 HHX65554:HHX65583 HRT65554:HRT65583 IBP65554:IBP65583 ILL65554:ILL65583 IVH65554:IVH65583 JFD65554:JFD65583 JOZ65554:JOZ65583 JYV65554:JYV65583 KIR65554:KIR65583 KSN65554:KSN65583 LCJ65554:LCJ65583 LMF65554:LMF65583 LWB65554:LWB65583 MFX65554:MFX65583 MPT65554:MPT65583 MZP65554:MZP65583 NJL65554:NJL65583 NTH65554:NTH65583 ODD65554:ODD65583 OMZ65554:OMZ65583 OWV65554:OWV65583 PGR65554:PGR65583 PQN65554:PQN65583 QAJ65554:QAJ65583 QKF65554:QKF65583 QUB65554:QUB65583 RDX65554:RDX65583 RNT65554:RNT65583 RXP65554:RXP65583 SHL65554:SHL65583 SRH65554:SRH65583 TBD65554:TBD65583 TKZ65554:TKZ65583 TUV65554:TUV65583 UER65554:UER65583 UON65554:UON65583 UYJ65554:UYJ65583 VIF65554:VIF65583 VSB65554:VSB65583 WBX65554:WBX65583 WLT65554:WLT65583 WVP65554:WVP65583 H131090:H131119 JD131090:JD131119 SZ131090:SZ131119 ACV131090:ACV131119 AMR131090:AMR131119 AWN131090:AWN131119 BGJ131090:BGJ131119 BQF131090:BQF131119 CAB131090:CAB131119 CJX131090:CJX131119 CTT131090:CTT131119 DDP131090:DDP131119 DNL131090:DNL131119 DXH131090:DXH131119 EHD131090:EHD131119 EQZ131090:EQZ131119 FAV131090:FAV131119 FKR131090:FKR131119 FUN131090:FUN131119 GEJ131090:GEJ131119 GOF131090:GOF131119 GYB131090:GYB131119 HHX131090:HHX131119 HRT131090:HRT131119 IBP131090:IBP131119 ILL131090:ILL131119 IVH131090:IVH131119 JFD131090:JFD131119 JOZ131090:JOZ131119 JYV131090:JYV131119 KIR131090:KIR131119 KSN131090:KSN131119 LCJ131090:LCJ131119 LMF131090:LMF131119 LWB131090:LWB131119 MFX131090:MFX131119 MPT131090:MPT131119 MZP131090:MZP131119 NJL131090:NJL131119 NTH131090:NTH131119 ODD131090:ODD131119 OMZ131090:OMZ131119 OWV131090:OWV131119 PGR131090:PGR131119 PQN131090:PQN131119 QAJ131090:QAJ131119 QKF131090:QKF131119 QUB131090:QUB131119 RDX131090:RDX131119 RNT131090:RNT131119 RXP131090:RXP131119 SHL131090:SHL131119 SRH131090:SRH131119 TBD131090:TBD131119 TKZ131090:TKZ131119 TUV131090:TUV131119 UER131090:UER131119 UON131090:UON131119 UYJ131090:UYJ131119 VIF131090:VIF131119 VSB131090:VSB131119 WBX131090:WBX131119 WLT131090:WLT131119 WVP131090:WVP131119 H196626:H196655 JD196626:JD196655 SZ196626:SZ196655 ACV196626:ACV196655 AMR196626:AMR196655 AWN196626:AWN196655 BGJ196626:BGJ196655 BQF196626:BQF196655 CAB196626:CAB196655 CJX196626:CJX196655 CTT196626:CTT196655 DDP196626:DDP196655 DNL196626:DNL196655 DXH196626:DXH196655 EHD196626:EHD196655 EQZ196626:EQZ196655 FAV196626:FAV196655 FKR196626:FKR196655 FUN196626:FUN196655 GEJ196626:GEJ196655 GOF196626:GOF196655 GYB196626:GYB196655 HHX196626:HHX196655 HRT196626:HRT196655 IBP196626:IBP196655 ILL196626:ILL196655 IVH196626:IVH196655 JFD196626:JFD196655 JOZ196626:JOZ196655 JYV196626:JYV196655 KIR196626:KIR196655 KSN196626:KSN196655 LCJ196626:LCJ196655 LMF196626:LMF196655 LWB196626:LWB196655 MFX196626:MFX196655 MPT196626:MPT196655 MZP196626:MZP196655 NJL196626:NJL196655 NTH196626:NTH196655 ODD196626:ODD196655 OMZ196626:OMZ196655 OWV196626:OWV196655 PGR196626:PGR196655 PQN196626:PQN196655 QAJ196626:QAJ196655 QKF196626:QKF196655 QUB196626:QUB196655 RDX196626:RDX196655 RNT196626:RNT196655 RXP196626:RXP196655 SHL196626:SHL196655 SRH196626:SRH196655 TBD196626:TBD196655 TKZ196626:TKZ196655 TUV196626:TUV196655 UER196626:UER196655 UON196626:UON196655 UYJ196626:UYJ196655 VIF196626:VIF196655 VSB196626:VSB196655 WBX196626:WBX196655 WLT196626:WLT196655 WVP196626:WVP196655 H262162:H262191 JD262162:JD262191 SZ262162:SZ262191 ACV262162:ACV262191 AMR262162:AMR262191 AWN262162:AWN262191 BGJ262162:BGJ262191 BQF262162:BQF262191 CAB262162:CAB262191 CJX262162:CJX262191 CTT262162:CTT262191 DDP262162:DDP262191 DNL262162:DNL262191 DXH262162:DXH262191 EHD262162:EHD262191 EQZ262162:EQZ262191 FAV262162:FAV262191 FKR262162:FKR262191 FUN262162:FUN262191 GEJ262162:GEJ262191 GOF262162:GOF262191 GYB262162:GYB262191 HHX262162:HHX262191 HRT262162:HRT262191 IBP262162:IBP262191 ILL262162:ILL262191 IVH262162:IVH262191 JFD262162:JFD262191 JOZ262162:JOZ262191 JYV262162:JYV262191 KIR262162:KIR262191 KSN262162:KSN262191 LCJ262162:LCJ262191 LMF262162:LMF262191 LWB262162:LWB262191 MFX262162:MFX262191 MPT262162:MPT262191 MZP262162:MZP262191 NJL262162:NJL262191 NTH262162:NTH262191 ODD262162:ODD262191 OMZ262162:OMZ262191 OWV262162:OWV262191 PGR262162:PGR262191 PQN262162:PQN262191 QAJ262162:QAJ262191 QKF262162:QKF262191 QUB262162:QUB262191 RDX262162:RDX262191 RNT262162:RNT262191 RXP262162:RXP262191 SHL262162:SHL262191 SRH262162:SRH262191 TBD262162:TBD262191 TKZ262162:TKZ262191 TUV262162:TUV262191 UER262162:UER262191 UON262162:UON262191 UYJ262162:UYJ262191 VIF262162:VIF262191 VSB262162:VSB262191 WBX262162:WBX262191 WLT262162:WLT262191 WVP262162:WVP262191 H327698:H327727 JD327698:JD327727 SZ327698:SZ327727 ACV327698:ACV327727 AMR327698:AMR327727 AWN327698:AWN327727 BGJ327698:BGJ327727 BQF327698:BQF327727 CAB327698:CAB327727 CJX327698:CJX327727 CTT327698:CTT327727 DDP327698:DDP327727 DNL327698:DNL327727 DXH327698:DXH327727 EHD327698:EHD327727 EQZ327698:EQZ327727 FAV327698:FAV327727 FKR327698:FKR327727 FUN327698:FUN327727 GEJ327698:GEJ327727 GOF327698:GOF327727 GYB327698:GYB327727 HHX327698:HHX327727 HRT327698:HRT327727 IBP327698:IBP327727 ILL327698:ILL327727 IVH327698:IVH327727 JFD327698:JFD327727 JOZ327698:JOZ327727 JYV327698:JYV327727 KIR327698:KIR327727 KSN327698:KSN327727 LCJ327698:LCJ327727 LMF327698:LMF327727 LWB327698:LWB327727 MFX327698:MFX327727 MPT327698:MPT327727 MZP327698:MZP327727 NJL327698:NJL327727 NTH327698:NTH327727 ODD327698:ODD327727 OMZ327698:OMZ327727 OWV327698:OWV327727 PGR327698:PGR327727 PQN327698:PQN327727 QAJ327698:QAJ327727 QKF327698:QKF327727 QUB327698:QUB327727 RDX327698:RDX327727 RNT327698:RNT327727 RXP327698:RXP327727 SHL327698:SHL327727 SRH327698:SRH327727 TBD327698:TBD327727 TKZ327698:TKZ327727 TUV327698:TUV327727 UER327698:UER327727 UON327698:UON327727 UYJ327698:UYJ327727 VIF327698:VIF327727 VSB327698:VSB327727 WBX327698:WBX327727 WLT327698:WLT327727 WVP327698:WVP327727 H393234:H393263 JD393234:JD393263 SZ393234:SZ393263 ACV393234:ACV393263 AMR393234:AMR393263 AWN393234:AWN393263 BGJ393234:BGJ393263 BQF393234:BQF393263 CAB393234:CAB393263 CJX393234:CJX393263 CTT393234:CTT393263 DDP393234:DDP393263 DNL393234:DNL393263 DXH393234:DXH393263 EHD393234:EHD393263 EQZ393234:EQZ393263 FAV393234:FAV393263 FKR393234:FKR393263 FUN393234:FUN393263 GEJ393234:GEJ393263 GOF393234:GOF393263 GYB393234:GYB393263 HHX393234:HHX393263 HRT393234:HRT393263 IBP393234:IBP393263 ILL393234:ILL393263 IVH393234:IVH393263 JFD393234:JFD393263 JOZ393234:JOZ393263 JYV393234:JYV393263 KIR393234:KIR393263 KSN393234:KSN393263 LCJ393234:LCJ393263 LMF393234:LMF393263 LWB393234:LWB393263 MFX393234:MFX393263 MPT393234:MPT393263 MZP393234:MZP393263 NJL393234:NJL393263 NTH393234:NTH393263 ODD393234:ODD393263 OMZ393234:OMZ393263 OWV393234:OWV393263 PGR393234:PGR393263 PQN393234:PQN393263 QAJ393234:QAJ393263 QKF393234:QKF393263 QUB393234:QUB393263 RDX393234:RDX393263 RNT393234:RNT393263 RXP393234:RXP393263 SHL393234:SHL393263 SRH393234:SRH393263 TBD393234:TBD393263 TKZ393234:TKZ393263 TUV393234:TUV393263 UER393234:UER393263 UON393234:UON393263 UYJ393234:UYJ393263 VIF393234:VIF393263 VSB393234:VSB393263 WBX393234:WBX393263 WLT393234:WLT393263 WVP393234:WVP393263 H458770:H458799 JD458770:JD458799 SZ458770:SZ458799 ACV458770:ACV458799 AMR458770:AMR458799 AWN458770:AWN458799 BGJ458770:BGJ458799 BQF458770:BQF458799 CAB458770:CAB458799 CJX458770:CJX458799 CTT458770:CTT458799 DDP458770:DDP458799 DNL458770:DNL458799 DXH458770:DXH458799 EHD458770:EHD458799 EQZ458770:EQZ458799 FAV458770:FAV458799 FKR458770:FKR458799 FUN458770:FUN458799 GEJ458770:GEJ458799 GOF458770:GOF458799 GYB458770:GYB458799 HHX458770:HHX458799 HRT458770:HRT458799 IBP458770:IBP458799 ILL458770:ILL458799 IVH458770:IVH458799 JFD458770:JFD458799 JOZ458770:JOZ458799 JYV458770:JYV458799 KIR458770:KIR458799 KSN458770:KSN458799 LCJ458770:LCJ458799 LMF458770:LMF458799 LWB458770:LWB458799 MFX458770:MFX458799 MPT458770:MPT458799 MZP458770:MZP458799 NJL458770:NJL458799 NTH458770:NTH458799 ODD458770:ODD458799 OMZ458770:OMZ458799 OWV458770:OWV458799 PGR458770:PGR458799 PQN458770:PQN458799 QAJ458770:QAJ458799 QKF458770:QKF458799 QUB458770:QUB458799 RDX458770:RDX458799 RNT458770:RNT458799 RXP458770:RXP458799 SHL458770:SHL458799 SRH458770:SRH458799 TBD458770:TBD458799 TKZ458770:TKZ458799 TUV458770:TUV458799 UER458770:UER458799 UON458770:UON458799 UYJ458770:UYJ458799 VIF458770:VIF458799 VSB458770:VSB458799 WBX458770:WBX458799 WLT458770:WLT458799 WVP458770:WVP458799 H524306:H524335 JD524306:JD524335 SZ524306:SZ524335 ACV524306:ACV524335 AMR524306:AMR524335 AWN524306:AWN524335 BGJ524306:BGJ524335 BQF524306:BQF524335 CAB524306:CAB524335 CJX524306:CJX524335 CTT524306:CTT524335 DDP524306:DDP524335 DNL524306:DNL524335 DXH524306:DXH524335 EHD524306:EHD524335 EQZ524306:EQZ524335 FAV524306:FAV524335 FKR524306:FKR524335 FUN524306:FUN524335 GEJ524306:GEJ524335 GOF524306:GOF524335 GYB524306:GYB524335 HHX524306:HHX524335 HRT524306:HRT524335 IBP524306:IBP524335 ILL524306:ILL524335 IVH524306:IVH524335 JFD524306:JFD524335 JOZ524306:JOZ524335 JYV524306:JYV524335 KIR524306:KIR524335 KSN524306:KSN524335 LCJ524306:LCJ524335 LMF524306:LMF524335 LWB524306:LWB524335 MFX524306:MFX524335 MPT524306:MPT524335 MZP524306:MZP524335 NJL524306:NJL524335 NTH524306:NTH524335 ODD524306:ODD524335 OMZ524306:OMZ524335 OWV524306:OWV524335 PGR524306:PGR524335 PQN524306:PQN524335 QAJ524306:QAJ524335 QKF524306:QKF524335 QUB524306:QUB524335 RDX524306:RDX524335 RNT524306:RNT524335 RXP524306:RXP524335 SHL524306:SHL524335 SRH524306:SRH524335 TBD524306:TBD524335 TKZ524306:TKZ524335 TUV524306:TUV524335 UER524306:UER524335 UON524306:UON524335 UYJ524306:UYJ524335 VIF524306:VIF524335 VSB524306:VSB524335 WBX524306:WBX524335 WLT524306:WLT524335 WVP524306:WVP524335 H589842:H589871 JD589842:JD589871 SZ589842:SZ589871 ACV589842:ACV589871 AMR589842:AMR589871 AWN589842:AWN589871 BGJ589842:BGJ589871 BQF589842:BQF589871 CAB589842:CAB589871 CJX589842:CJX589871 CTT589842:CTT589871 DDP589842:DDP589871 DNL589842:DNL589871 DXH589842:DXH589871 EHD589842:EHD589871 EQZ589842:EQZ589871 FAV589842:FAV589871 FKR589842:FKR589871 FUN589842:FUN589871 GEJ589842:GEJ589871 GOF589842:GOF589871 GYB589842:GYB589871 HHX589842:HHX589871 HRT589842:HRT589871 IBP589842:IBP589871 ILL589842:ILL589871 IVH589842:IVH589871 JFD589842:JFD589871 JOZ589842:JOZ589871 JYV589842:JYV589871 KIR589842:KIR589871 KSN589842:KSN589871 LCJ589842:LCJ589871 LMF589842:LMF589871 LWB589842:LWB589871 MFX589842:MFX589871 MPT589842:MPT589871 MZP589842:MZP589871 NJL589842:NJL589871 NTH589842:NTH589871 ODD589842:ODD589871 OMZ589842:OMZ589871 OWV589842:OWV589871 PGR589842:PGR589871 PQN589842:PQN589871 QAJ589842:QAJ589871 QKF589842:QKF589871 QUB589842:QUB589871 RDX589842:RDX589871 RNT589842:RNT589871 RXP589842:RXP589871 SHL589842:SHL589871 SRH589842:SRH589871 TBD589842:TBD589871 TKZ589842:TKZ589871 TUV589842:TUV589871 UER589842:UER589871 UON589842:UON589871 UYJ589842:UYJ589871 VIF589842:VIF589871 VSB589842:VSB589871 WBX589842:WBX589871 WLT589842:WLT589871 WVP589842:WVP589871 H655378:H655407 JD655378:JD655407 SZ655378:SZ655407 ACV655378:ACV655407 AMR655378:AMR655407 AWN655378:AWN655407 BGJ655378:BGJ655407 BQF655378:BQF655407 CAB655378:CAB655407 CJX655378:CJX655407 CTT655378:CTT655407 DDP655378:DDP655407 DNL655378:DNL655407 DXH655378:DXH655407 EHD655378:EHD655407 EQZ655378:EQZ655407 FAV655378:FAV655407 FKR655378:FKR655407 FUN655378:FUN655407 GEJ655378:GEJ655407 GOF655378:GOF655407 GYB655378:GYB655407 HHX655378:HHX655407 HRT655378:HRT655407 IBP655378:IBP655407 ILL655378:ILL655407 IVH655378:IVH655407 JFD655378:JFD655407 JOZ655378:JOZ655407 JYV655378:JYV655407 KIR655378:KIR655407 KSN655378:KSN655407 LCJ655378:LCJ655407 LMF655378:LMF655407 LWB655378:LWB655407 MFX655378:MFX655407 MPT655378:MPT655407 MZP655378:MZP655407 NJL655378:NJL655407 NTH655378:NTH655407 ODD655378:ODD655407 OMZ655378:OMZ655407 OWV655378:OWV655407 PGR655378:PGR655407 PQN655378:PQN655407 QAJ655378:QAJ655407 QKF655378:QKF655407 QUB655378:QUB655407 RDX655378:RDX655407 RNT655378:RNT655407 RXP655378:RXP655407 SHL655378:SHL655407 SRH655378:SRH655407 TBD655378:TBD655407 TKZ655378:TKZ655407 TUV655378:TUV655407 UER655378:UER655407 UON655378:UON655407 UYJ655378:UYJ655407 VIF655378:VIF655407 VSB655378:VSB655407 WBX655378:WBX655407 WLT655378:WLT655407 WVP655378:WVP655407 H720914:H720943 JD720914:JD720943 SZ720914:SZ720943 ACV720914:ACV720943 AMR720914:AMR720943 AWN720914:AWN720943 BGJ720914:BGJ720943 BQF720914:BQF720943 CAB720914:CAB720943 CJX720914:CJX720943 CTT720914:CTT720943 DDP720914:DDP720943 DNL720914:DNL720943 DXH720914:DXH720943 EHD720914:EHD720943 EQZ720914:EQZ720943 FAV720914:FAV720943 FKR720914:FKR720943 FUN720914:FUN720943 GEJ720914:GEJ720943 GOF720914:GOF720943 GYB720914:GYB720943 HHX720914:HHX720943 HRT720914:HRT720943 IBP720914:IBP720943 ILL720914:ILL720943 IVH720914:IVH720943 JFD720914:JFD720943 JOZ720914:JOZ720943 JYV720914:JYV720943 KIR720914:KIR720943 KSN720914:KSN720943 LCJ720914:LCJ720943 LMF720914:LMF720943 LWB720914:LWB720943 MFX720914:MFX720943 MPT720914:MPT720943 MZP720914:MZP720943 NJL720914:NJL720943 NTH720914:NTH720943 ODD720914:ODD720943 OMZ720914:OMZ720943 OWV720914:OWV720943 PGR720914:PGR720943 PQN720914:PQN720943 QAJ720914:QAJ720943 QKF720914:QKF720943 QUB720914:QUB720943 RDX720914:RDX720943 RNT720914:RNT720943 RXP720914:RXP720943 SHL720914:SHL720943 SRH720914:SRH720943 TBD720914:TBD720943 TKZ720914:TKZ720943 TUV720914:TUV720943 UER720914:UER720943 UON720914:UON720943 UYJ720914:UYJ720943 VIF720914:VIF720943 VSB720914:VSB720943 WBX720914:WBX720943 WLT720914:WLT720943 WVP720914:WVP720943 H786450:H786479 JD786450:JD786479 SZ786450:SZ786479 ACV786450:ACV786479 AMR786450:AMR786479 AWN786450:AWN786479 BGJ786450:BGJ786479 BQF786450:BQF786479 CAB786450:CAB786479 CJX786450:CJX786479 CTT786450:CTT786479 DDP786450:DDP786479 DNL786450:DNL786479 DXH786450:DXH786479 EHD786450:EHD786479 EQZ786450:EQZ786479 FAV786450:FAV786479 FKR786450:FKR786479 FUN786450:FUN786479 GEJ786450:GEJ786479 GOF786450:GOF786479 GYB786450:GYB786479 HHX786450:HHX786479 HRT786450:HRT786479 IBP786450:IBP786479 ILL786450:ILL786479 IVH786450:IVH786479 JFD786450:JFD786479 JOZ786450:JOZ786479 JYV786450:JYV786479 KIR786450:KIR786479 KSN786450:KSN786479 LCJ786450:LCJ786479 LMF786450:LMF786479 LWB786450:LWB786479 MFX786450:MFX786479 MPT786450:MPT786479 MZP786450:MZP786479 NJL786450:NJL786479 NTH786450:NTH786479 ODD786450:ODD786479 OMZ786450:OMZ786479 OWV786450:OWV786479 PGR786450:PGR786479 PQN786450:PQN786479 QAJ786450:QAJ786479 QKF786450:QKF786479 QUB786450:QUB786479 RDX786450:RDX786479 RNT786450:RNT786479 RXP786450:RXP786479 SHL786450:SHL786479 SRH786450:SRH786479 TBD786450:TBD786479 TKZ786450:TKZ786479 TUV786450:TUV786479 UER786450:UER786479 UON786450:UON786479 UYJ786450:UYJ786479 VIF786450:VIF786479 VSB786450:VSB786479 WBX786450:WBX786479 WLT786450:WLT786479 WVP786450:WVP786479 H851986:H852015 JD851986:JD852015 SZ851986:SZ852015 ACV851986:ACV852015 AMR851986:AMR852015 AWN851986:AWN852015 BGJ851986:BGJ852015 BQF851986:BQF852015 CAB851986:CAB852015 CJX851986:CJX852015 CTT851986:CTT852015 DDP851986:DDP852015 DNL851986:DNL852015 DXH851986:DXH852015 EHD851986:EHD852015 EQZ851986:EQZ852015 FAV851986:FAV852015 FKR851986:FKR852015 FUN851986:FUN852015 GEJ851986:GEJ852015 GOF851986:GOF852015 GYB851986:GYB852015 HHX851986:HHX852015 HRT851986:HRT852015 IBP851986:IBP852015 ILL851986:ILL852015 IVH851986:IVH852015 JFD851986:JFD852015 JOZ851986:JOZ852015 JYV851986:JYV852015 KIR851986:KIR852015 KSN851986:KSN852015 LCJ851986:LCJ852015 LMF851986:LMF852015 LWB851986:LWB852015 MFX851986:MFX852015 MPT851986:MPT852015 MZP851986:MZP852015 NJL851986:NJL852015 NTH851986:NTH852015 ODD851986:ODD852015 OMZ851986:OMZ852015 OWV851986:OWV852015 PGR851986:PGR852015 PQN851986:PQN852015 QAJ851986:QAJ852015 QKF851986:QKF852015 QUB851986:QUB852015 RDX851986:RDX852015 RNT851986:RNT852015 RXP851986:RXP852015 SHL851986:SHL852015 SRH851986:SRH852015 TBD851986:TBD852015 TKZ851986:TKZ852015 TUV851986:TUV852015 UER851986:UER852015 UON851986:UON852015 UYJ851986:UYJ852015 VIF851986:VIF852015 VSB851986:VSB852015 WBX851986:WBX852015 WLT851986:WLT852015 WVP851986:WVP852015 H917522:H917551 JD917522:JD917551 SZ917522:SZ917551 ACV917522:ACV917551 AMR917522:AMR917551 AWN917522:AWN917551 BGJ917522:BGJ917551 BQF917522:BQF917551 CAB917522:CAB917551 CJX917522:CJX917551 CTT917522:CTT917551 DDP917522:DDP917551 DNL917522:DNL917551 DXH917522:DXH917551 EHD917522:EHD917551 EQZ917522:EQZ917551 FAV917522:FAV917551 FKR917522:FKR917551 FUN917522:FUN917551 GEJ917522:GEJ917551 GOF917522:GOF917551 GYB917522:GYB917551 HHX917522:HHX917551 HRT917522:HRT917551 IBP917522:IBP917551 ILL917522:ILL917551 IVH917522:IVH917551 JFD917522:JFD917551 JOZ917522:JOZ917551 JYV917522:JYV917551 KIR917522:KIR917551 KSN917522:KSN917551 LCJ917522:LCJ917551 LMF917522:LMF917551 LWB917522:LWB917551 MFX917522:MFX917551 MPT917522:MPT917551 MZP917522:MZP917551 NJL917522:NJL917551 NTH917522:NTH917551 ODD917522:ODD917551 OMZ917522:OMZ917551 OWV917522:OWV917551 PGR917522:PGR917551 PQN917522:PQN917551 QAJ917522:QAJ917551 QKF917522:QKF917551 QUB917522:QUB917551 RDX917522:RDX917551 RNT917522:RNT917551 RXP917522:RXP917551 SHL917522:SHL917551 SRH917522:SRH917551 TBD917522:TBD917551 TKZ917522:TKZ917551 TUV917522:TUV917551 UER917522:UER917551 UON917522:UON917551 UYJ917522:UYJ917551 VIF917522:VIF917551 VSB917522:VSB917551 WBX917522:WBX917551 WLT917522:WLT917551 WVP917522:WVP917551 H983058:H983087 JD983058:JD983087 SZ983058:SZ983087 ACV983058:ACV983087 AMR983058:AMR983087 AWN983058:AWN983087 BGJ983058:BGJ983087 BQF983058:BQF983087 CAB983058:CAB983087 CJX983058:CJX983087 CTT983058:CTT983087 DDP983058:DDP983087 DNL983058:DNL983087 DXH983058:DXH983087 EHD983058:EHD983087 EQZ983058:EQZ983087 FAV983058:FAV983087 FKR983058:FKR983087 FUN983058:FUN983087 GEJ983058:GEJ983087 GOF983058:GOF983087 GYB983058:GYB983087 HHX983058:HHX983087 HRT983058:HRT983087 IBP983058:IBP983087 ILL983058:ILL983087 IVH983058:IVH983087 JFD983058:JFD983087 JOZ983058:JOZ983087 JYV983058:JYV983087 KIR983058:KIR983087 KSN983058:KSN983087 LCJ983058:LCJ983087 LMF983058:LMF983087 LWB983058:LWB983087 MFX983058:MFX983087 MPT983058:MPT983087 MZP983058:MZP983087 NJL983058:NJL983087 NTH983058:NTH983087 ODD983058:ODD983087 OMZ983058:OMZ983087 OWV983058:OWV983087 PGR983058:PGR983087 PQN983058:PQN983087 QAJ983058:QAJ983087 QKF983058:QKF983087 QUB983058:QUB983087 RDX983058:RDX983087 RNT983058:RNT983087 RXP983058:RXP983087 SHL983058:SHL983087 SRH983058:SRH983087 TBD983058:TBD983087 TKZ983058:TKZ983087 TUV983058:TUV983087 UER983058:UER983087 UON983058:UON983087 UYJ983058:UYJ983087 VIF983058:VIF983087 VSB983058:VSB983087 WBX983058:WBX983087 WLT983058:WLT983087 H8:H47" xr:uid="{00000000-0002-0000-1000-000001000000}">
      <formula1>-1E+22</formula1>
      <formula2>1E+24</formula2>
    </dataValidation>
    <dataValidation type="decimal" errorStyle="warning" allowBlank="1" showInputMessage="1" showErrorMessage="1" errorTitle="טעות בהזנה" error="יש להזין סכום" sqref="WVN983058:WVN983087 JB8:JB47 SX8:SX47 ACT8:ACT47 AMP8:AMP47 AWL8:AWL47 BGH8:BGH47 BQD8:BQD47 BZZ8:BZZ47 CJV8:CJV47 CTR8:CTR47 DDN8:DDN47 DNJ8:DNJ47 DXF8:DXF47 EHB8:EHB47 EQX8:EQX47 FAT8:FAT47 FKP8:FKP47 FUL8:FUL47 GEH8:GEH47 GOD8:GOD47 GXZ8:GXZ47 HHV8:HHV47 HRR8:HRR47 IBN8:IBN47 ILJ8:ILJ47 IVF8:IVF47 JFB8:JFB47 JOX8:JOX47 JYT8:JYT47 KIP8:KIP47 KSL8:KSL47 LCH8:LCH47 LMD8:LMD47 LVZ8:LVZ47 MFV8:MFV47 MPR8:MPR47 MZN8:MZN47 NJJ8:NJJ47 NTF8:NTF47 ODB8:ODB47 OMX8:OMX47 OWT8:OWT47 PGP8:PGP47 PQL8:PQL47 QAH8:QAH47 QKD8:QKD47 QTZ8:QTZ47 RDV8:RDV47 RNR8:RNR47 RXN8:RXN47 SHJ8:SHJ47 SRF8:SRF47 TBB8:TBB47 TKX8:TKX47 TUT8:TUT47 UEP8:UEP47 UOL8:UOL47 UYH8:UYH47 VID8:VID47 VRZ8:VRZ47 WBV8:WBV47 WLR8:WLR47 WVN8:WVN47 F65554:F65583 JB65554:JB65583 SX65554:SX65583 ACT65554:ACT65583 AMP65554:AMP65583 AWL65554:AWL65583 BGH65554:BGH65583 BQD65554:BQD65583 BZZ65554:BZZ65583 CJV65554:CJV65583 CTR65554:CTR65583 DDN65554:DDN65583 DNJ65554:DNJ65583 DXF65554:DXF65583 EHB65554:EHB65583 EQX65554:EQX65583 FAT65554:FAT65583 FKP65554:FKP65583 FUL65554:FUL65583 GEH65554:GEH65583 GOD65554:GOD65583 GXZ65554:GXZ65583 HHV65554:HHV65583 HRR65554:HRR65583 IBN65554:IBN65583 ILJ65554:ILJ65583 IVF65554:IVF65583 JFB65554:JFB65583 JOX65554:JOX65583 JYT65554:JYT65583 KIP65554:KIP65583 KSL65554:KSL65583 LCH65554:LCH65583 LMD65554:LMD65583 LVZ65554:LVZ65583 MFV65554:MFV65583 MPR65554:MPR65583 MZN65554:MZN65583 NJJ65554:NJJ65583 NTF65554:NTF65583 ODB65554:ODB65583 OMX65554:OMX65583 OWT65554:OWT65583 PGP65554:PGP65583 PQL65554:PQL65583 QAH65554:QAH65583 QKD65554:QKD65583 QTZ65554:QTZ65583 RDV65554:RDV65583 RNR65554:RNR65583 RXN65554:RXN65583 SHJ65554:SHJ65583 SRF65554:SRF65583 TBB65554:TBB65583 TKX65554:TKX65583 TUT65554:TUT65583 UEP65554:UEP65583 UOL65554:UOL65583 UYH65554:UYH65583 VID65554:VID65583 VRZ65554:VRZ65583 WBV65554:WBV65583 WLR65554:WLR65583 WVN65554:WVN65583 F131090:F131119 JB131090:JB131119 SX131090:SX131119 ACT131090:ACT131119 AMP131090:AMP131119 AWL131090:AWL131119 BGH131090:BGH131119 BQD131090:BQD131119 BZZ131090:BZZ131119 CJV131090:CJV131119 CTR131090:CTR131119 DDN131090:DDN131119 DNJ131090:DNJ131119 DXF131090:DXF131119 EHB131090:EHB131119 EQX131090:EQX131119 FAT131090:FAT131119 FKP131090:FKP131119 FUL131090:FUL131119 GEH131090:GEH131119 GOD131090:GOD131119 GXZ131090:GXZ131119 HHV131090:HHV131119 HRR131090:HRR131119 IBN131090:IBN131119 ILJ131090:ILJ131119 IVF131090:IVF131119 JFB131090:JFB131119 JOX131090:JOX131119 JYT131090:JYT131119 KIP131090:KIP131119 KSL131090:KSL131119 LCH131090:LCH131119 LMD131090:LMD131119 LVZ131090:LVZ131119 MFV131090:MFV131119 MPR131090:MPR131119 MZN131090:MZN131119 NJJ131090:NJJ131119 NTF131090:NTF131119 ODB131090:ODB131119 OMX131090:OMX131119 OWT131090:OWT131119 PGP131090:PGP131119 PQL131090:PQL131119 QAH131090:QAH131119 QKD131090:QKD131119 QTZ131090:QTZ131119 RDV131090:RDV131119 RNR131090:RNR131119 RXN131090:RXN131119 SHJ131090:SHJ131119 SRF131090:SRF131119 TBB131090:TBB131119 TKX131090:TKX131119 TUT131090:TUT131119 UEP131090:UEP131119 UOL131090:UOL131119 UYH131090:UYH131119 VID131090:VID131119 VRZ131090:VRZ131119 WBV131090:WBV131119 WLR131090:WLR131119 WVN131090:WVN131119 F196626:F196655 JB196626:JB196655 SX196626:SX196655 ACT196626:ACT196655 AMP196626:AMP196655 AWL196626:AWL196655 BGH196626:BGH196655 BQD196626:BQD196655 BZZ196626:BZZ196655 CJV196626:CJV196655 CTR196626:CTR196655 DDN196626:DDN196655 DNJ196626:DNJ196655 DXF196626:DXF196655 EHB196626:EHB196655 EQX196626:EQX196655 FAT196626:FAT196655 FKP196626:FKP196655 FUL196626:FUL196655 GEH196626:GEH196655 GOD196626:GOD196655 GXZ196626:GXZ196655 HHV196626:HHV196655 HRR196626:HRR196655 IBN196626:IBN196655 ILJ196626:ILJ196655 IVF196626:IVF196655 JFB196626:JFB196655 JOX196626:JOX196655 JYT196626:JYT196655 KIP196626:KIP196655 KSL196626:KSL196655 LCH196626:LCH196655 LMD196626:LMD196655 LVZ196626:LVZ196655 MFV196626:MFV196655 MPR196626:MPR196655 MZN196626:MZN196655 NJJ196626:NJJ196655 NTF196626:NTF196655 ODB196626:ODB196655 OMX196626:OMX196655 OWT196626:OWT196655 PGP196626:PGP196655 PQL196626:PQL196655 QAH196626:QAH196655 QKD196626:QKD196655 QTZ196626:QTZ196655 RDV196626:RDV196655 RNR196626:RNR196655 RXN196626:RXN196655 SHJ196626:SHJ196655 SRF196626:SRF196655 TBB196626:TBB196655 TKX196626:TKX196655 TUT196626:TUT196655 UEP196626:UEP196655 UOL196626:UOL196655 UYH196626:UYH196655 VID196626:VID196655 VRZ196626:VRZ196655 WBV196626:WBV196655 WLR196626:WLR196655 WVN196626:WVN196655 F262162:F262191 JB262162:JB262191 SX262162:SX262191 ACT262162:ACT262191 AMP262162:AMP262191 AWL262162:AWL262191 BGH262162:BGH262191 BQD262162:BQD262191 BZZ262162:BZZ262191 CJV262162:CJV262191 CTR262162:CTR262191 DDN262162:DDN262191 DNJ262162:DNJ262191 DXF262162:DXF262191 EHB262162:EHB262191 EQX262162:EQX262191 FAT262162:FAT262191 FKP262162:FKP262191 FUL262162:FUL262191 GEH262162:GEH262191 GOD262162:GOD262191 GXZ262162:GXZ262191 HHV262162:HHV262191 HRR262162:HRR262191 IBN262162:IBN262191 ILJ262162:ILJ262191 IVF262162:IVF262191 JFB262162:JFB262191 JOX262162:JOX262191 JYT262162:JYT262191 KIP262162:KIP262191 KSL262162:KSL262191 LCH262162:LCH262191 LMD262162:LMD262191 LVZ262162:LVZ262191 MFV262162:MFV262191 MPR262162:MPR262191 MZN262162:MZN262191 NJJ262162:NJJ262191 NTF262162:NTF262191 ODB262162:ODB262191 OMX262162:OMX262191 OWT262162:OWT262191 PGP262162:PGP262191 PQL262162:PQL262191 QAH262162:QAH262191 QKD262162:QKD262191 QTZ262162:QTZ262191 RDV262162:RDV262191 RNR262162:RNR262191 RXN262162:RXN262191 SHJ262162:SHJ262191 SRF262162:SRF262191 TBB262162:TBB262191 TKX262162:TKX262191 TUT262162:TUT262191 UEP262162:UEP262191 UOL262162:UOL262191 UYH262162:UYH262191 VID262162:VID262191 VRZ262162:VRZ262191 WBV262162:WBV262191 WLR262162:WLR262191 WVN262162:WVN262191 F327698:F327727 JB327698:JB327727 SX327698:SX327727 ACT327698:ACT327727 AMP327698:AMP327727 AWL327698:AWL327727 BGH327698:BGH327727 BQD327698:BQD327727 BZZ327698:BZZ327727 CJV327698:CJV327727 CTR327698:CTR327727 DDN327698:DDN327727 DNJ327698:DNJ327727 DXF327698:DXF327727 EHB327698:EHB327727 EQX327698:EQX327727 FAT327698:FAT327727 FKP327698:FKP327727 FUL327698:FUL327727 GEH327698:GEH327727 GOD327698:GOD327727 GXZ327698:GXZ327727 HHV327698:HHV327727 HRR327698:HRR327727 IBN327698:IBN327727 ILJ327698:ILJ327727 IVF327698:IVF327727 JFB327698:JFB327727 JOX327698:JOX327727 JYT327698:JYT327727 KIP327698:KIP327727 KSL327698:KSL327727 LCH327698:LCH327727 LMD327698:LMD327727 LVZ327698:LVZ327727 MFV327698:MFV327727 MPR327698:MPR327727 MZN327698:MZN327727 NJJ327698:NJJ327727 NTF327698:NTF327727 ODB327698:ODB327727 OMX327698:OMX327727 OWT327698:OWT327727 PGP327698:PGP327727 PQL327698:PQL327727 QAH327698:QAH327727 QKD327698:QKD327727 QTZ327698:QTZ327727 RDV327698:RDV327727 RNR327698:RNR327727 RXN327698:RXN327727 SHJ327698:SHJ327727 SRF327698:SRF327727 TBB327698:TBB327727 TKX327698:TKX327727 TUT327698:TUT327727 UEP327698:UEP327727 UOL327698:UOL327727 UYH327698:UYH327727 VID327698:VID327727 VRZ327698:VRZ327727 WBV327698:WBV327727 WLR327698:WLR327727 WVN327698:WVN327727 F393234:F393263 JB393234:JB393263 SX393234:SX393263 ACT393234:ACT393263 AMP393234:AMP393263 AWL393234:AWL393263 BGH393234:BGH393263 BQD393234:BQD393263 BZZ393234:BZZ393263 CJV393234:CJV393263 CTR393234:CTR393263 DDN393234:DDN393263 DNJ393234:DNJ393263 DXF393234:DXF393263 EHB393234:EHB393263 EQX393234:EQX393263 FAT393234:FAT393263 FKP393234:FKP393263 FUL393234:FUL393263 GEH393234:GEH393263 GOD393234:GOD393263 GXZ393234:GXZ393263 HHV393234:HHV393263 HRR393234:HRR393263 IBN393234:IBN393263 ILJ393234:ILJ393263 IVF393234:IVF393263 JFB393234:JFB393263 JOX393234:JOX393263 JYT393234:JYT393263 KIP393234:KIP393263 KSL393234:KSL393263 LCH393234:LCH393263 LMD393234:LMD393263 LVZ393234:LVZ393263 MFV393234:MFV393263 MPR393234:MPR393263 MZN393234:MZN393263 NJJ393234:NJJ393263 NTF393234:NTF393263 ODB393234:ODB393263 OMX393234:OMX393263 OWT393234:OWT393263 PGP393234:PGP393263 PQL393234:PQL393263 QAH393234:QAH393263 QKD393234:QKD393263 QTZ393234:QTZ393263 RDV393234:RDV393263 RNR393234:RNR393263 RXN393234:RXN393263 SHJ393234:SHJ393263 SRF393234:SRF393263 TBB393234:TBB393263 TKX393234:TKX393263 TUT393234:TUT393263 UEP393234:UEP393263 UOL393234:UOL393263 UYH393234:UYH393263 VID393234:VID393263 VRZ393234:VRZ393263 WBV393234:WBV393263 WLR393234:WLR393263 WVN393234:WVN393263 F458770:F458799 JB458770:JB458799 SX458770:SX458799 ACT458770:ACT458799 AMP458770:AMP458799 AWL458770:AWL458799 BGH458770:BGH458799 BQD458770:BQD458799 BZZ458770:BZZ458799 CJV458770:CJV458799 CTR458770:CTR458799 DDN458770:DDN458799 DNJ458770:DNJ458799 DXF458770:DXF458799 EHB458770:EHB458799 EQX458770:EQX458799 FAT458770:FAT458799 FKP458770:FKP458799 FUL458770:FUL458799 GEH458770:GEH458799 GOD458770:GOD458799 GXZ458770:GXZ458799 HHV458770:HHV458799 HRR458770:HRR458799 IBN458770:IBN458799 ILJ458770:ILJ458799 IVF458770:IVF458799 JFB458770:JFB458799 JOX458770:JOX458799 JYT458770:JYT458799 KIP458770:KIP458799 KSL458770:KSL458799 LCH458770:LCH458799 LMD458770:LMD458799 LVZ458770:LVZ458799 MFV458770:MFV458799 MPR458770:MPR458799 MZN458770:MZN458799 NJJ458770:NJJ458799 NTF458770:NTF458799 ODB458770:ODB458799 OMX458770:OMX458799 OWT458770:OWT458799 PGP458770:PGP458799 PQL458770:PQL458799 QAH458770:QAH458799 QKD458770:QKD458799 QTZ458770:QTZ458799 RDV458770:RDV458799 RNR458770:RNR458799 RXN458770:RXN458799 SHJ458770:SHJ458799 SRF458770:SRF458799 TBB458770:TBB458799 TKX458770:TKX458799 TUT458770:TUT458799 UEP458770:UEP458799 UOL458770:UOL458799 UYH458770:UYH458799 VID458770:VID458799 VRZ458770:VRZ458799 WBV458770:WBV458799 WLR458770:WLR458799 WVN458770:WVN458799 F524306:F524335 JB524306:JB524335 SX524306:SX524335 ACT524306:ACT524335 AMP524306:AMP524335 AWL524306:AWL524335 BGH524306:BGH524335 BQD524306:BQD524335 BZZ524306:BZZ524335 CJV524306:CJV524335 CTR524306:CTR524335 DDN524306:DDN524335 DNJ524306:DNJ524335 DXF524306:DXF524335 EHB524306:EHB524335 EQX524306:EQX524335 FAT524306:FAT524335 FKP524306:FKP524335 FUL524306:FUL524335 GEH524306:GEH524335 GOD524306:GOD524335 GXZ524306:GXZ524335 HHV524306:HHV524335 HRR524306:HRR524335 IBN524306:IBN524335 ILJ524306:ILJ524335 IVF524306:IVF524335 JFB524306:JFB524335 JOX524306:JOX524335 JYT524306:JYT524335 KIP524306:KIP524335 KSL524306:KSL524335 LCH524306:LCH524335 LMD524306:LMD524335 LVZ524306:LVZ524335 MFV524306:MFV524335 MPR524306:MPR524335 MZN524306:MZN524335 NJJ524306:NJJ524335 NTF524306:NTF524335 ODB524306:ODB524335 OMX524306:OMX524335 OWT524306:OWT524335 PGP524306:PGP524335 PQL524306:PQL524335 QAH524306:QAH524335 QKD524306:QKD524335 QTZ524306:QTZ524335 RDV524306:RDV524335 RNR524306:RNR524335 RXN524306:RXN524335 SHJ524306:SHJ524335 SRF524306:SRF524335 TBB524306:TBB524335 TKX524306:TKX524335 TUT524306:TUT524335 UEP524306:UEP524335 UOL524306:UOL524335 UYH524306:UYH524335 VID524306:VID524335 VRZ524306:VRZ524335 WBV524306:WBV524335 WLR524306:WLR524335 WVN524306:WVN524335 F589842:F589871 JB589842:JB589871 SX589842:SX589871 ACT589842:ACT589871 AMP589842:AMP589871 AWL589842:AWL589871 BGH589842:BGH589871 BQD589842:BQD589871 BZZ589842:BZZ589871 CJV589842:CJV589871 CTR589842:CTR589871 DDN589842:DDN589871 DNJ589842:DNJ589871 DXF589842:DXF589871 EHB589842:EHB589871 EQX589842:EQX589871 FAT589842:FAT589871 FKP589842:FKP589871 FUL589842:FUL589871 GEH589842:GEH589871 GOD589842:GOD589871 GXZ589842:GXZ589871 HHV589842:HHV589871 HRR589842:HRR589871 IBN589842:IBN589871 ILJ589842:ILJ589871 IVF589842:IVF589871 JFB589842:JFB589871 JOX589842:JOX589871 JYT589842:JYT589871 KIP589842:KIP589871 KSL589842:KSL589871 LCH589842:LCH589871 LMD589842:LMD589871 LVZ589842:LVZ589871 MFV589842:MFV589871 MPR589842:MPR589871 MZN589842:MZN589871 NJJ589842:NJJ589871 NTF589842:NTF589871 ODB589842:ODB589871 OMX589842:OMX589871 OWT589842:OWT589871 PGP589842:PGP589871 PQL589842:PQL589871 QAH589842:QAH589871 QKD589842:QKD589871 QTZ589842:QTZ589871 RDV589842:RDV589871 RNR589842:RNR589871 RXN589842:RXN589871 SHJ589842:SHJ589871 SRF589842:SRF589871 TBB589842:TBB589871 TKX589842:TKX589871 TUT589842:TUT589871 UEP589842:UEP589871 UOL589842:UOL589871 UYH589842:UYH589871 VID589842:VID589871 VRZ589842:VRZ589871 WBV589842:WBV589871 WLR589842:WLR589871 WVN589842:WVN589871 F655378:F655407 JB655378:JB655407 SX655378:SX655407 ACT655378:ACT655407 AMP655378:AMP655407 AWL655378:AWL655407 BGH655378:BGH655407 BQD655378:BQD655407 BZZ655378:BZZ655407 CJV655378:CJV655407 CTR655378:CTR655407 DDN655378:DDN655407 DNJ655378:DNJ655407 DXF655378:DXF655407 EHB655378:EHB655407 EQX655378:EQX655407 FAT655378:FAT655407 FKP655378:FKP655407 FUL655378:FUL655407 GEH655378:GEH655407 GOD655378:GOD655407 GXZ655378:GXZ655407 HHV655378:HHV655407 HRR655378:HRR655407 IBN655378:IBN655407 ILJ655378:ILJ655407 IVF655378:IVF655407 JFB655378:JFB655407 JOX655378:JOX655407 JYT655378:JYT655407 KIP655378:KIP655407 KSL655378:KSL655407 LCH655378:LCH655407 LMD655378:LMD655407 LVZ655378:LVZ655407 MFV655378:MFV655407 MPR655378:MPR655407 MZN655378:MZN655407 NJJ655378:NJJ655407 NTF655378:NTF655407 ODB655378:ODB655407 OMX655378:OMX655407 OWT655378:OWT655407 PGP655378:PGP655407 PQL655378:PQL655407 QAH655378:QAH655407 QKD655378:QKD655407 QTZ655378:QTZ655407 RDV655378:RDV655407 RNR655378:RNR655407 RXN655378:RXN655407 SHJ655378:SHJ655407 SRF655378:SRF655407 TBB655378:TBB655407 TKX655378:TKX655407 TUT655378:TUT655407 UEP655378:UEP655407 UOL655378:UOL655407 UYH655378:UYH655407 VID655378:VID655407 VRZ655378:VRZ655407 WBV655378:WBV655407 WLR655378:WLR655407 WVN655378:WVN655407 F720914:F720943 JB720914:JB720943 SX720914:SX720943 ACT720914:ACT720943 AMP720914:AMP720943 AWL720914:AWL720943 BGH720914:BGH720943 BQD720914:BQD720943 BZZ720914:BZZ720943 CJV720914:CJV720943 CTR720914:CTR720943 DDN720914:DDN720943 DNJ720914:DNJ720943 DXF720914:DXF720943 EHB720914:EHB720943 EQX720914:EQX720943 FAT720914:FAT720943 FKP720914:FKP720943 FUL720914:FUL720943 GEH720914:GEH720943 GOD720914:GOD720943 GXZ720914:GXZ720943 HHV720914:HHV720943 HRR720914:HRR720943 IBN720914:IBN720943 ILJ720914:ILJ720943 IVF720914:IVF720943 JFB720914:JFB720943 JOX720914:JOX720943 JYT720914:JYT720943 KIP720914:KIP720943 KSL720914:KSL720943 LCH720914:LCH720943 LMD720914:LMD720943 LVZ720914:LVZ720943 MFV720914:MFV720943 MPR720914:MPR720943 MZN720914:MZN720943 NJJ720914:NJJ720943 NTF720914:NTF720943 ODB720914:ODB720943 OMX720914:OMX720943 OWT720914:OWT720943 PGP720914:PGP720943 PQL720914:PQL720943 QAH720914:QAH720943 QKD720914:QKD720943 QTZ720914:QTZ720943 RDV720914:RDV720943 RNR720914:RNR720943 RXN720914:RXN720943 SHJ720914:SHJ720943 SRF720914:SRF720943 TBB720914:TBB720943 TKX720914:TKX720943 TUT720914:TUT720943 UEP720914:UEP720943 UOL720914:UOL720943 UYH720914:UYH720943 VID720914:VID720943 VRZ720914:VRZ720943 WBV720914:WBV720943 WLR720914:WLR720943 WVN720914:WVN720943 F786450:F786479 JB786450:JB786479 SX786450:SX786479 ACT786450:ACT786479 AMP786450:AMP786479 AWL786450:AWL786479 BGH786450:BGH786479 BQD786450:BQD786479 BZZ786450:BZZ786479 CJV786450:CJV786479 CTR786450:CTR786479 DDN786450:DDN786479 DNJ786450:DNJ786479 DXF786450:DXF786479 EHB786450:EHB786479 EQX786450:EQX786479 FAT786450:FAT786479 FKP786450:FKP786479 FUL786450:FUL786479 GEH786450:GEH786479 GOD786450:GOD786479 GXZ786450:GXZ786479 HHV786450:HHV786479 HRR786450:HRR786479 IBN786450:IBN786479 ILJ786450:ILJ786479 IVF786450:IVF786479 JFB786450:JFB786479 JOX786450:JOX786479 JYT786450:JYT786479 KIP786450:KIP786479 KSL786450:KSL786479 LCH786450:LCH786479 LMD786450:LMD786479 LVZ786450:LVZ786479 MFV786450:MFV786479 MPR786450:MPR786479 MZN786450:MZN786479 NJJ786450:NJJ786479 NTF786450:NTF786479 ODB786450:ODB786479 OMX786450:OMX786479 OWT786450:OWT786479 PGP786450:PGP786479 PQL786450:PQL786479 QAH786450:QAH786479 QKD786450:QKD786479 QTZ786450:QTZ786479 RDV786450:RDV786479 RNR786450:RNR786479 RXN786450:RXN786479 SHJ786450:SHJ786479 SRF786450:SRF786479 TBB786450:TBB786479 TKX786450:TKX786479 TUT786450:TUT786479 UEP786450:UEP786479 UOL786450:UOL786479 UYH786450:UYH786479 VID786450:VID786479 VRZ786450:VRZ786479 WBV786450:WBV786479 WLR786450:WLR786479 WVN786450:WVN786479 F851986:F852015 JB851986:JB852015 SX851986:SX852015 ACT851986:ACT852015 AMP851986:AMP852015 AWL851986:AWL852015 BGH851986:BGH852015 BQD851986:BQD852015 BZZ851986:BZZ852015 CJV851986:CJV852015 CTR851986:CTR852015 DDN851986:DDN852015 DNJ851986:DNJ852015 DXF851986:DXF852015 EHB851986:EHB852015 EQX851986:EQX852015 FAT851986:FAT852015 FKP851986:FKP852015 FUL851986:FUL852015 GEH851986:GEH852015 GOD851986:GOD852015 GXZ851986:GXZ852015 HHV851986:HHV852015 HRR851986:HRR852015 IBN851986:IBN852015 ILJ851986:ILJ852015 IVF851986:IVF852015 JFB851986:JFB852015 JOX851986:JOX852015 JYT851986:JYT852015 KIP851986:KIP852015 KSL851986:KSL852015 LCH851986:LCH852015 LMD851986:LMD852015 LVZ851986:LVZ852015 MFV851986:MFV852015 MPR851986:MPR852015 MZN851986:MZN852015 NJJ851986:NJJ852015 NTF851986:NTF852015 ODB851986:ODB852015 OMX851986:OMX852015 OWT851986:OWT852015 PGP851986:PGP852015 PQL851986:PQL852015 QAH851986:QAH852015 QKD851986:QKD852015 QTZ851986:QTZ852015 RDV851986:RDV852015 RNR851986:RNR852015 RXN851986:RXN852015 SHJ851986:SHJ852015 SRF851986:SRF852015 TBB851986:TBB852015 TKX851986:TKX852015 TUT851986:TUT852015 UEP851986:UEP852015 UOL851986:UOL852015 UYH851986:UYH852015 VID851986:VID852015 VRZ851986:VRZ852015 WBV851986:WBV852015 WLR851986:WLR852015 WVN851986:WVN852015 F917522:F917551 JB917522:JB917551 SX917522:SX917551 ACT917522:ACT917551 AMP917522:AMP917551 AWL917522:AWL917551 BGH917522:BGH917551 BQD917522:BQD917551 BZZ917522:BZZ917551 CJV917522:CJV917551 CTR917522:CTR917551 DDN917522:DDN917551 DNJ917522:DNJ917551 DXF917522:DXF917551 EHB917522:EHB917551 EQX917522:EQX917551 FAT917522:FAT917551 FKP917522:FKP917551 FUL917522:FUL917551 GEH917522:GEH917551 GOD917522:GOD917551 GXZ917522:GXZ917551 HHV917522:HHV917551 HRR917522:HRR917551 IBN917522:IBN917551 ILJ917522:ILJ917551 IVF917522:IVF917551 JFB917522:JFB917551 JOX917522:JOX917551 JYT917522:JYT917551 KIP917522:KIP917551 KSL917522:KSL917551 LCH917522:LCH917551 LMD917522:LMD917551 LVZ917522:LVZ917551 MFV917522:MFV917551 MPR917522:MPR917551 MZN917522:MZN917551 NJJ917522:NJJ917551 NTF917522:NTF917551 ODB917522:ODB917551 OMX917522:OMX917551 OWT917522:OWT917551 PGP917522:PGP917551 PQL917522:PQL917551 QAH917522:QAH917551 QKD917522:QKD917551 QTZ917522:QTZ917551 RDV917522:RDV917551 RNR917522:RNR917551 RXN917522:RXN917551 SHJ917522:SHJ917551 SRF917522:SRF917551 TBB917522:TBB917551 TKX917522:TKX917551 TUT917522:TUT917551 UEP917522:UEP917551 UOL917522:UOL917551 UYH917522:UYH917551 VID917522:VID917551 VRZ917522:VRZ917551 WBV917522:WBV917551 WLR917522:WLR917551 WVN917522:WVN917551 F983058:F983087 JB983058:JB983087 SX983058:SX983087 ACT983058:ACT983087 AMP983058:AMP983087 AWL983058:AWL983087 BGH983058:BGH983087 BQD983058:BQD983087 BZZ983058:BZZ983087 CJV983058:CJV983087 CTR983058:CTR983087 DDN983058:DDN983087 DNJ983058:DNJ983087 DXF983058:DXF983087 EHB983058:EHB983087 EQX983058:EQX983087 FAT983058:FAT983087 FKP983058:FKP983087 FUL983058:FUL983087 GEH983058:GEH983087 GOD983058:GOD983087 GXZ983058:GXZ983087 HHV983058:HHV983087 HRR983058:HRR983087 IBN983058:IBN983087 ILJ983058:ILJ983087 IVF983058:IVF983087 JFB983058:JFB983087 JOX983058:JOX983087 JYT983058:JYT983087 KIP983058:KIP983087 KSL983058:KSL983087 LCH983058:LCH983087 LMD983058:LMD983087 LVZ983058:LVZ983087 MFV983058:MFV983087 MPR983058:MPR983087 MZN983058:MZN983087 NJJ983058:NJJ983087 NTF983058:NTF983087 ODB983058:ODB983087 OMX983058:OMX983087 OWT983058:OWT983087 PGP983058:PGP983087 PQL983058:PQL983087 QAH983058:QAH983087 QKD983058:QKD983087 QTZ983058:QTZ983087 RDV983058:RDV983087 RNR983058:RNR983087 RXN983058:RXN983087 SHJ983058:SHJ983087 SRF983058:SRF983087 TBB983058:TBB983087 TKX983058:TKX983087 TUT983058:TUT983087 UEP983058:UEP983087 UOL983058:UOL983087 UYH983058:UYH983087 VID983058:VID983087 VRZ983058:VRZ983087 WBV983058:WBV983087 WLR983058:WLR983087 F8:F47" xr:uid="{00000000-0002-0000-1000-000002000000}">
      <formula1>-99999999999999900</formula1>
      <formula2>999999999999999000</formula2>
    </dataValidation>
    <dataValidation type="decimal" errorStyle="warning" operator="greaterThanOrEqual" allowBlank="1" showInputMessage="1" showErrorMessage="1" errorTitle="טעות בהזנה" error="יש להזין סכום_x000a_סכום חיובי (או אפס) לפי גובה הקיצוץ" sqref="WVO983058:WVO983087 JC8:JC47 SY8:SY47 ACU8:ACU47 AMQ8:AMQ47 AWM8:AWM47 BGI8:BGI47 BQE8:BQE47 CAA8:CAA47 CJW8:CJW47 CTS8:CTS47 DDO8:DDO47 DNK8:DNK47 DXG8:DXG47 EHC8:EHC47 EQY8:EQY47 FAU8:FAU47 FKQ8:FKQ47 FUM8:FUM47 GEI8:GEI47 GOE8:GOE47 GYA8:GYA47 HHW8:HHW47 HRS8:HRS47 IBO8:IBO47 ILK8:ILK47 IVG8:IVG47 JFC8:JFC47 JOY8:JOY47 JYU8:JYU47 KIQ8:KIQ47 KSM8:KSM47 LCI8:LCI47 LME8:LME47 LWA8:LWA47 MFW8:MFW47 MPS8:MPS47 MZO8:MZO47 NJK8:NJK47 NTG8:NTG47 ODC8:ODC47 OMY8:OMY47 OWU8:OWU47 PGQ8:PGQ47 PQM8:PQM47 QAI8:QAI47 QKE8:QKE47 QUA8:QUA47 RDW8:RDW47 RNS8:RNS47 RXO8:RXO47 SHK8:SHK47 SRG8:SRG47 TBC8:TBC47 TKY8:TKY47 TUU8:TUU47 UEQ8:UEQ47 UOM8:UOM47 UYI8:UYI47 VIE8:VIE47 VSA8:VSA47 WBW8:WBW47 WLS8:WLS47 WVO8:WVO47 G65554:G65583 JC65554:JC65583 SY65554:SY65583 ACU65554:ACU65583 AMQ65554:AMQ65583 AWM65554:AWM65583 BGI65554:BGI65583 BQE65554:BQE65583 CAA65554:CAA65583 CJW65554:CJW65583 CTS65554:CTS65583 DDO65554:DDO65583 DNK65554:DNK65583 DXG65554:DXG65583 EHC65554:EHC65583 EQY65554:EQY65583 FAU65554:FAU65583 FKQ65554:FKQ65583 FUM65554:FUM65583 GEI65554:GEI65583 GOE65554:GOE65583 GYA65554:GYA65583 HHW65554:HHW65583 HRS65554:HRS65583 IBO65554:IBO65583 ILK65554:ILK65583 IVG65554:IVG65583 JFC65554:JFC65583 JOY65554:JOY65583 JYU65554:JYU65583 KIQ65554:KIQ65583 KSM65554:KSM65583 LCI65554:LCI65583 LME65554:LME65583 LWA65554:LWA65583 MFW65554:MFW65583 MPS65554:MPS65583 MZO65554:MZO65583 NJK65554:NJK65583 NTG65554:NTG65583 ODC65554:ODC65583 OMY65554:OMY65583 OWU65554:OWU65583 PGQ65554:PGQ65583 PQM65554:PQM65583 QAI65554:QAI65583 QKE65554:QKE65583 QUA65554:QUA65583 RDW65554:RDW65583 RNS65554:RNS65583 RXO65554:RXO65583 SHK65554:SHK65583 SRG65554:SRG65583 TBC65554:TBC65583 TKY65554:TKY65583 TUU65554:TUU65583 UEQ65554:UEQ65583 UOM65554:UOM65583 UYI65554:UYI65583 VIE65554:VIE65583 VSA65554:VSA65583 WBW65554:WBW65583 WLS65554:WLS65583 WVO65554:WVO65583 G131090:G131119 JC131090:JC131119 SY131090:SY131119 ACU131090:ACU131119 AMQ131090:AMQ131119 AWM131090:AWM131119 BGI131090:BGI131119 BQE131090:BQE131119 CAA131090:CAA131119 CJW131090:CJW131119 CTS131090:CTS131119 DDO131090:DDO131119 DNK131090:DNK131119 DXG131090:DXG131119 EHC131090:EHC131119 EQY131090:EQY131119 FAU131090:FAU131119 FKQ131090:FKQ131119 FUM131090:FUM131119 GEI131090:GEI131119 GOE131090:GOE131119 GYA131090:GYA131119 HHW131090:HHW131119 HRS131090:HRS131119 IBO131090:IBO131119 ILK131090:ILK131119 IVG131090:IVG131119 JFC131090:JFC131119 JOY131090:JOY131119 JYU131090:JYU131119 KIQ131090:KIQ131119 KSM131090:KSM131119 LCI131090:LCI131119 LME131090:LME131119 LWA131090:LWA131119 MFW131090:MFW131119 MPS131090:MPS131119 MZO131090:MZO131119 NJK131090:NJK131119 NTG131090:NTG131119 ODC131090:ODC131119 OMY131090:OMY131119 OWU131090:OWU131119 PGQ131090:PGQ131119 PQM131090:PQM131119 QAI131090:QAI131119 QKE131090:QKE131119 QUA131090:QUA131119 RDW131090:RDW131119 RNS131090:RNS131119 RXO131090:RXO131119 SHK131090:SHK131119 SRG131090:SRG131119 TBC131090:TBC131119 TKY131090:TKY131119 TUU131090:TUU131119 UEQ131090:UEQ131119 UOM131090:UOM131119 UYI131090:UYI131119 VIE131090:VIE131119 VSA131090:VSA131119 WBW131090:WBW131119 WLS131090:WLS131119 WVO131090:WVO131119 G196626:G196655 JC196626:JC196655 SY196626:SY196655 ACU196626:ACU196655 AMQ196626:AMQ196655 AWM196626:AWM196655 BGI196626:BGI196655 BQE196626:BQE196655 CAA196626:CAA196655 CJW196626:CJW196655 CTS196626:CTS196655 DDO196626:DDO196655 DNK196626:DNK196655 DXG196626:DXG196655 EHC196626:EHC196655 EQY196626:EQY196655 FAU196626:FAU196655 FKQ196626:FKQ196655 FUM196626:FUM196655 GEI196626:GEI196655 GOE196626:GOE196655 GYA196626:GYA196655 HHW196626:HHW196655 HRS196626:HRS196655 IBO196626:IBO196655 ILK196626:ILK196655 IVG196626:IVG196655 JFC196626:JFC196655 JOY196626:JOY196655 JYU196626:JYU196655 KIQ196626:KIQ196655 KSM196626:KSM196655 LCI196626:LCI196655 LME196626:LME196655 LWA196626:LWA196655 MFW196626:MFW196655 MPS196626:MPS196655 MZO196626:MZO196655 NJK196626:NJK196655 NTG196626:NTG196655 ODC196626:ODC196655 OMY196626:OMY196655 OWU196626:OWU196655 PGQ196626:PGQ196655 PQM196626:PQM196655 QAI196626:QAI196655 QKE196626:QKE196655 QUA196626:QUA196655 RDW196626:RDW196655 RNS196626:RNS196655 RXO196626:RXO196655 SHK196626:SHK196655 SRG196626:SRG196655 TBC196626:TBC196655 TKY196626:TKY196655 TUU196626:TUU196655 UEQ196626:UEQ196655 UOM196626:UOM196655 UYI196626:UYI196655 VIE196626:VIE196655 VSA196626:VSA196655 WBW196626:WBW196655 WLS196626:WLS196655 WVO196626:WVO196655 G262162:G262191 JC262162:JC262191 SY262162:SY262191 ACU262162:ACU262191 AMQ262162:AMQ262191 AWM262162:AWM262191 BGI262162:BGI262191 BQE262162:BQE262191 CAA262162:CAA262191 CJW262162:CJW262191 CTS262162:CTS262191 DDO262162:DDO262191 DNK262162:DNK262191 DXG262162:DXG262191 EHC262162:EHC262191 EQY262162:EQY262191 FAU262162:FAU262191 FKQ262162:FKQ262191 FUM262162:FUM262191 GEI262162:GEI262191 GOE262162:GOE262191 GYA262162:GYA262191 HHW262162:HHW262191 HRS262162:HRS262191 IBO262162:IBO262191 ILK262162:ILK262191 IVG262162:IVG262191 JFC262162:JFC262191 JOY262162:JOY262191 JYU262162:JYU262191 KIQ262162:KIQ262191 KSM262162:KSM262191 LCI262162:LCI262191 LME262162:LME262191 LWA262162:LWA262191 MFW262162:MFW262191 MPS262162:MPS262191 MZO262162:MZO262191 NJK262162:NJK262191 NTG262162:NTG262191 ODC262162:ODC262191 OMY262162:OMY262191 OWU262162:OWU262191 PGQ262162:PGQ262191 PQM262162:PQM262191 QAI262162:QAI262191 QKE262162:QKE262191 QUA262162:QUA262191 RDW262162:RDW262191 RNS262162:RNS262191 RXO262162:RXO262191 SHK262162:SHK262191 SRG262162:SRG262191 TBC262162:TBC262191 TKY262162:TKY262191 TUU262162:TUU262191 UEQ262162:UEQ262191 UOM262162:UOM262191 UYI262162:UYI262191 VIE262162:VIE262191 VSA262162:VSA262191 WBW262162:WBW262191 WLS262162:WLS262191 WVO262162:WVO262191 G327698:G327727 JC327698:JC327727 SY327698:SY327727 ACU327698:ACU327727 AMQ327698:AMQ327727 AWM327698:AWM327727 BGI327698:BGI327727 BQE327698:BQE327727 CAA327698:CAA327727 CJW327698:CJW327727 CTS327698:CTS327727 DDO327698:DDO327727 DNK327698:DNK327727 DXG327698:DXG327727 EHC327698:EHC327727 EQY327698:EQY327727 FAU327698:FAU327727 FKQ327698:FKQ327727 FUM327698:FUM327727 GEI327698:GEI327727 GOE327698:GOE327727 GYA327698:GYA327727 HHW327698:HHW327727 HRS327698:HRS327727 IBO327698:IBO327727 ILK327698:ILK327727 IVG327698:IVG327727 JFC327698:JFC327727 JOY327698:JOY327727 JYU327698:JYU327727 KIQ327698:KIQ327727 KSM327698:KSM327727 LCI327698:LCI327727 LME327698:LME327727 LWA327698:LWA327727 MFW327698:MFW327727 MPS327698:MPS327727 MZO327698:MZO327727 NJK327698:NJK327727 NTG327698:NTG327727 ODC327698:ODC327727 OMY327698:OMY327727 OWU327698:OWU327727 PGQ327698:PGQ327727 PQM327698:PQM327727 QAI327698:QAI327727 QKE327698:QKE327727 QUA327698:QUA327727 RDW327698:RDW327727 RNS327698:RNS327727 RXO327698:RXO327727 SHK327698:SHK327727 SRG327698:SRG327727 TBC327698:TBC327727 TKY327698:TKY327727 TUU327698:TUU327727 UEQ327698:UEQ327727 UOM327698:UOM327727 UYI327698:UYI327727 VIE327698:VIE327727 VSA327698:VSA327727 WBW327698:WBW327727 WLS327698:WLS327727 WVO327698:WVO327727 G393234:G393263 JC393234:JC393263 SY393234:SY393263 ACU393234:ACU393263 AMQ393234:AMQ393263 AWM393234:AWM393263 BGI393234:BGI393263 BQE393234:BQE393263 CAA393234:CAA393263 CJW393234:CJW393263 CTS393234:CTS393263 DDO393234:DDO393263 DNK393234:DNK393263 DXG393234:DXG393263 EHC393234:EHC393263 EQY393234:EQY393263 FAU393234:FAU393263 FKQ393234:FKQ393263 FUM393234:FUM393263 GEI393234:GEI393263 GOE393234:GOE393263 GYA393234:GYA393263 HHW393234:HHW393263 HRS393234:HRS393263 IBO393234:IBO393263 ILK393234:ILK393263 IVG393234:IVG393263 JFC393234:JFC393263 JOY393234:JOY393263 JYU393234:JYU393263 KIQ393234:KIQ393263 KSM393234:KSM393263 LCI393234:LCI393263 LME393234:LME393263 LWA393234:LWA393263 MFW393234:MFW393263 MPS393234:MPS393263 MZO393234:MZO393263 NJK393234:NJK393263 NTG393234:NTG393263 ODC393234:ODC393263 OMY393234:OMY393263 OWU393234:OWU393263 PGQ393234:PGQ393263 PQM393234:PQM393263 QAI393234:QAI393263 QKE393234:QKE393263 QUA393234:QUA393263 RDW393234:RDW393263 RNS393234:RNS393263 RXO393234:RXO393263 SHK393234:SHK393263 SRG393234:SRG393263 TBC393234:TBC393263 TKY393234:TKY393263 TUU393234:TUU393263 UEQ393234:UEQ393263 UOM393234:UOM393263 UYI393234:UYI393263 VIE393234:VIE393263 VSA393234:VSA393263 WBW393234:WBW393263 WLS393234:WLS393263 WVO393234:WVO393263 G458770:G458799 JC458770:JC458799 SY458770:SY458799 ACU458770:ACU458799 AMQ458770:AMQ458799 AWM458770:AWM458799 BGI458770:BGI458799 BQE458770:BQE458799 CAA458770:CAA458799 CJW458770:CJW458799 CTS458770:CTS458799 DDO458770:DDO458799 DNK458770:DNK458799 DXG458770:DXG458799 EHC458770:EHC458799 EQY458770:EQY458799 FAU458770:FAU458799 FKQ458770:FKQ458799 FUM458770:FUM458799 GEI458770:GEI458799 GOE458770:GOE458799 GYA458770:GYA458799 HHW458770:HHW458799 HRS458770:HRS458799 IBO458770:IBO458799 ILK458770:ILK458799 IVG458770:IVG458799 JFC458770:JFC458799 JOY458770:JOY458799 JYU458770:JYU458799 KIQ458770:KIQ458799 KSM458770:KSM458799 LCI458770:LCI458799 LME458770:LME458799 LWA458770:LWA458799 MFW458770:MFW458799 MPS458770:MPS458799 MZO458770:MZO458799 NJK458770:NJK458799 NTG458770:NTG458799 ODC458770:ODC458799 OMY458770:OMY458799 OWU458770:OWU458799 PGQ458770:PGQ458799 PQM458770:PQM458799 QAI458770:QAI458799 QKE458770:QKE458799 QUA458770:QUA458799 RDW458770:RDW458799 RNS458770:RNS458799 RXO458770:RXO458799 SHK458770:SHK458799 SRG458770:SRG458799 TBC458770:TBC458799 TKY458770:TKY458799 TUU458770:TUU458799 UEQ458770:UEQ458799 UOM458770:UOM458799 UYI458770:UYI458799 VIE458770:VIE458799 VSA458770:VSA458799 WBW458770:WBW458799 WLS458770:WLS458799 WVO458770:WVO458799 G524306:G524335 JC524306:JC524335 SY524306:SY524335 ACU524306:ACU524335 AMQ524306:AMQ524335 AWM524306:AWM524335 BGI524306:BGI524335 BQE524306:BQE524335 CAA524306:CAA524335 CJW524306:CJW524335 CTS524306:CTS524335 DDO524306:DDO524335 DNK524306:DNK524335 DXG524306:DXG524335 EHC524306:EHC524335 EQY524306:EQY524335 FAU524306:FAU524335 FKQ524306:FKQ524335 FUM524306:FUM524335 GEI524306:GEI524335 GOE524306:GOE524335 GYA524306:GYA524335 HHW524306:HHW524335 HRS524306:HRS524335 IBO524306:IBO524335 ILK524306:ILK524335 IVG524306:IVG524335 JFC524306:JFC524335 JOY524306:JOY524335 JYU524306:JYU524335 KIQ524306:KIQ524335 KSM524306:KSM524335 LCI524306:LCI524335 LME524306:LME524335 LWA524306:LWA524335 MFW524306:MFW524335 MPS524306:MPS524335 MZO524306:MZO524335 NJK524306:NJK524335 NTG524306:NTG524335 ODC524306:ODC524335 OMY524306:OMY524335 OWU524306:OWU524335 PGQ524306:PGQ524335 PQM524306:PQM524335 QAI524306:QAI524335 QKE524306:QKE524335 QUA524306:QUA524335 RDW524306:RDW524335 RNS524306:RNS524335 RXO524306:RXO524335 SHK524306:SHK524335 SRG524306:SRG524335 TBC524306:TBC524335 TKY524306:TKY524335 TUU524306:TUU524335 UEQ524306:UEQ524335 UOM524306:UOM524335 UYI524306:UYI524335 VIE524306:VIE524335 VSA524306:VSA524335 WBW524306:WBW524335 WLS524306:WLS524335 WVO524306:WVO524335 G589842:G589871 JC589842:JC589871 SY589842:SY589871 ACU589842:ACU589871 AMQ589842:AMQ589871 AWM589842:AWM589871 BGI589842:BGI589871 BQE589842:BQE589871 CAA589842:CAA589871 CJW589842:CJW589871 CTS589842:CTS589871 DDO589842:DDO589871 DNK589842:DNK589871 DXG589842:DXG589871 EHC589842:EHC589871 EQY589842:EQY589871 FAU589842:FAU589871 FKQ589842:FKQ589871 FUM589842:FUM589871 GEI589842:GEI589871 GOE589842:GOE589871 GYA589842:GYA589871 HHW589842:HHW589871 HRS589842:HRS589871 IBO589842:IBO589871 ILK589842:ILK589871 IVG589842:IVG589871 JFC589842:JFC589871 JOY589842:JOY589871 JYU589842:JYU589871 KIQ589842:KIQ589871 KSM589842:KSM589871 LCI589842:LCI589871 LME589842:LME589871 LWA589842:LWA589871 MFW589842:MFW589871 MPS589842:MPS589871 MZO589842:MZO589871 NJK589842:NJK589871 NTG589842:NTG589871 ODC589842:ODC589871 OMY589842:OMY589871 OWU589842:OWU589871 PGQ589842:PGQ589871 PQM589842:PQM589871 QAI589842:QAI589871 QKE589842:QKE589871 QUA589842:QUA589871 RDW589842:RDW589871 RNS589842:RNS589871 RXO589842:RXO589871 SHK589842:SHK589871 SRG589842:SRG589871 TBC589842:TBC589871 TKY589842:TKY589871 TUU589842:TUU589871 UEQ589842:UEQ589871 UOM589842:UOM589871 UYI589842:UYI589871 VIE589842:VIE589871 VSA589842:VSA589871 WBW589842:WBW589871 WLS589842:WLS589871 WVO589842:WVO589871 G655378:G655407 JC655378:JC655407 SY655378:SY655407 ACU655378:ACU655407 AMQ655378:AMQ655407 AWM655378:AWM655407 BGI655378:BGI655407 BQE655378:BQE655407 CAA655378:CAA655407 CJW655378:CJW655407 CTS655378:CTS655407 DDO655378:DDO655407 DNK655378:DNK655407 DXG655378:DXG655407 EHC655378:EHC655407 EQY655378:EQY655407 FAU655378:FAU655407 FKQ655378:FKQ655407 FUM655378:FUM655407 GEI655378:GEI655407 GOE655378:GOE655407 GYA655378:GYA655407 HHW655378:HHW655407 HRS655378:HRS655407 IBO655378:IBO655407 ILK655378:ILK655407 IVG655378:IVG655407 JFC655378:JFC655407 JOY655378:JOY655407 JYU655378:JYU655407 KIQ655378:KIQ655407 KSM655378:KSM655407 LCI655378:LCI655407 LME655378:LME655407 LWA655378:LWA655407 MFW655378:MFW655407 MPS655378:MPS655407 MZO655378:MZO655407 NJK655378:NJK655407 NTG655378:NTG655407 ODC655378:ODC655407 OMY655378:OMY655407 OWU655378:OWU655407 PGQ655378:PGQ655407 PQM655378:PQM655407 QAI655378:QAI655407 QKE655378:QKE655407 QUA655378:QUA655407 RDW655378:RDW655407 RNS655378:RNS655407 RXO655378:RXO655407 SHK655378:SHK655407 SRG655378:SRG655407 TBC655378:TBC655407 TKY655378:TKY655407 TUU655378:TUU655407 UEQ655378:UEQ655407 UOM655378:UOM655407 UYI655378:UYI655407 VIE655378:VIE655407 VSA655378:VSA655407 WBW655378:WBW655407 WLS655378:WLS655407 WVO655378:WVO655407 G720914:G720943 JC720914:JC720943 SY720914:SY720943 ACU720914:ACU720943 AMQ720914:AMQ720943 AWM720914:AWM720943 BGI720914:BGI720943 BQE720914:BQE720943 CAA720914:CAA720943 CJW720914:CJW720943 CTS720914:CTS720943 DDO720914:DDO720943 DNK720914:DNK720943 DXG720914:DXG720943 EHC720914:EHC720943 EQY720914:EQY720943 FAU720914:FAU720943 FKQ720914:FKQ720943 FUM720914:FUM720943 GEI720914:GEI720943 GOE720914:GOE720943 GYA720914:GYA720943 HHW720914:HHW720943 HRS720914:HRS720943 IBO720914:IBO720943 ILK720914:ILK720943 IVG720914:IVG720943 JFC720914:JFC720943 JOY720914:JOY720943 JYU720914:JYU720943 KIQ720914:KIQ720943 KSM720914:KSM720943 LCI720914:LCI720943 LME720914:LME720943 LWA720914:LWA720943 MFW720914:MFW720943 MPS720914:MPS720943 MZO720914:MZO720943 NJK720914:NJK720943 NTG720914:NTG720943 ODC720914:ODC720943 OMY720914:OMY720943 OWU720914:OWU720943 PGQ720914:PGQ720943 PQM720914:PQM720943 QAI720914:QAI720943 QKE720914:QKE720943 QUA720914:QUA720943 RDW720914:RDW720943 RNS720914:RNS720943 RXO720914:RXO720943 SHK720914:SHK720943 SRG720914:SRG720943 TBC720914:TBC720943 TKY720914:TKY720943 TUU720914:TUU720943 UEQ720914:UEQ720943 UOM720914:UOM720943 UYI720914:UYI720943 VIE720914:VIE720943 VSA720914:VSA720943 WBW720914:WBW720943 WLS720914:WLS720943 WVO720914:WVO720943 G786450:G786479 JC786450:JC786479 SY786450:SY786479 ACU786450:ACU786479 AMQ786450:AMQ786479 AWM786450:AWM786479 BGI786450:BGI786479 BQE786450:BQE786479 CAA786450:CAA786479 CJW786450:CJW786479 CTS786450:CTS786479 DDO786450:DDO786479 DNK786450:DNK786479 DXG786450:DXG786479 EHC786450:EHC786479 EQY786450:EQY786479 FAU786450:FAU786479 FKQ786450:FKQ786479 FUM786450:FUM786479 GEI786450:GEI786479 GOE786450:GOE786479 GYA786450:GYA786479 HHW786450:HHW786479 HRS786450:HRS786479 IBO786450:IBO786479 ILK786450:ILK786479 IVG786450:IVG786479 JFC786450:JFC786479 JOY786450:JOY786479 JYU786450:JYU786479 KIQ786450:KIQ786479 KSM786450:KSM786479 LCI786450:LCI786479 LME786450:LME786479 LWA786450:LWA786479 MFW786450:MFW786479 MPS786450:MPS786479 MZO786450:MZO786479 NJK786450:NJK786479 NTG786450:NTG786479 ODC786450:ODC786479 OMY786450:OMY786479 OWU786450:OWU786479 PGQ786450:PGQ786479 PQM786450:PQM786479 QAI786450:QAI786479 QKE786450:QKE786479 QUA786450:QUA786479 RDW786450:RDW786479 RNS786450:RNS786479 RXO786450:RXO786479 SHK786450:SHK786479 SRG786450:SRG786479 TBC786450:TBC786479 TKY786450:TKY786479 TUU786450:TUU786479 UEQ786450:UEQ786479 UOM786450:UOM786479 UYI786450:UYI786479 VIE786450:VIE786479 VSA786450:VSA786479 WBW786450:WBW786479 WLS786450:WLS786479 WVO786450:WVO786479 G851986:G852015 JC851986:JC852015 SY851986:SY852015 ACU851986:ACU852015 AMQ851986:AMQ852015 AWM851986:AWM852015 BGI851986:BGI852015 BQE851986:BQE852015 CAA851986:CAA852015 CJW851986:CJW852015 CTS851986:CTS852015 DDO851986:DDO852015 DNK851986:DNK852015 DXG851986:DXG852015 EHC851986:EHC852015 EQY851986:EQY852015 FAU851986:FAU852015 FKQ851986:FKQ852015 FUM851986:FUM852015 GEI851986:GEI852015 GOE851986:GOE852015 GYA851986:GYA852015 HHW851986:HHW852015 HRS851986:HRS852015 IBO851986:IBO852015 ILK851986:ILK852015 IVG851986:IVG852015 JFC851986:JFC852015 JOY851986:JOY852015 JYU851986:JYU852015 KIQ851986:KIQ852015 KSM851986:KSM852015 LCI851986:LCI852015 LME851986:LME852015 LWA851986:LWA852015 MFW851986:MFW852015 MPS851986:MPS852015 MZO851986:MZO852015 NJK851986:NJK852015 NTG851986:NTG852015 ODC851986:ODC852015 OMY851986:OMY852015 OWU851986:OWU852015 PGQ851986:PGQ852015 PQM851986:PQM852015 QAI851986:QAI852015 QKE851986:QKE852015 QUA851986:QUA852015 RDW851986:RDW852015 RNS851986:RNS852015 RXO851986:RXO852015 SHK851986:SHK852015 SRG851986:SRG852015 TBC851986:TBC852015 TKY851986:TKY852015 TUU851986:TUU852015 UEQ851986:UEQ852015 UOM851986:UOM852015 UYI851986:UYI852015 VIE851986:VIE852015 VSA851986:VSA852015 WBW851986:WBW852015 WLS851986:WLS852015 WVO851986:WVO852015 G917522:G917551 JC917522:JC917551 SY917522:SY917551 ACU917522:ACU917551 AMQ917522:AMQ917551 AWM917522:AWM917551 BGI917522:BGI917551 BQE917522:BQE917551 CAA917522:CAA917551 CJW917522:CJW917551 CTS917522:CTS917551 DDO917522:DDO917551 DNK917522:DNK917551 DXG917522:DXG917551 EHC917522:EHC917551 EQY917522:EQY917551 FAU917522:FAU917551 FKQ917522:FKQ917551 FUM917522:FUM917551 GEI917522:GEI917551 GOE917522:GOE917551 GYA917522:GYA917551 HHW917522:HHW917551 HRS917522:HRS917551 IBO917522:IBO917551 ILK917522:ILK917551 IVG917522:IVG917551 JFC917522:JFC917551 JOY917522:JOY917551 JYU917522:JYU917551 KIQ917522:KIQ917551 KSM917522:KSM917551 LCI917522:LCI917551 LME917522:LME917551 LWA917522:LWA917551 MFW917522:MFW917551 MPS917522:MPS917551 MZO917522:MZO917551 NJK917522:NJK917551 NTG917522:NTG917551 ODC917522:ODC917551 OMY917522:OMY917551 OWU917522:OWU917551 PGQ917522:PGQ917551 PQM917522:PQM917551 QAI917522:QAI917551 QKE917522:QKE917551 QUA917522:QUA917551 RDW917522:RDW917551 RNS917522:RNS917551 RXO917522:RXO917551 SHK917522:SHK917551 SRG917522:SRG917551 TBC917522:TBC917551 TKY917522:TKY917551 TUU917522:TUU917551 UEQ917522:UEQ917551 UOM917522:UOM917551 UYI917522:UYI917551 VIE917522:VIE917551 VSA917522:VSA917551 WBW917522:WBW917551 WLS917522:WLS917551 WVO917522:WVO917551 G983058:G983087 JC983058:JC983087 SY983058:SY983087 ACU983058:ACU983087 AMQ983058:AMQ983087 AWM983058:AWM983087 BGI983058:BGI983087 BQE983058:BQE983087 CAA983058:CAA983087 CJW983058:CJW983087 CTS983058:CTS983087 DDO983058:DDO983087 DNK983058:DNK983087 DXG983058:DXG983087 EHC983058:EHC983087 EQY983058:EQY983087 FAU983058:FAU983087 FKQ983058:FKQ983087 FUM983058:FUM983087 GEI983058:GEI983087 GOE983058:GOE983087 GYA983058:GYA983087 HHW983058:HHW983087 HRS983058:HRS983087 IBO983058:IBO983087 ILK983058:ILK983087 IVG983058:IVG983087 JFC983058:JFC983087 JOY983058:JOY983087 JYU983058:JYU983087 KIQ983058:KIQ983087 KSM983058:KSM983087 LCI983058:LCI983087 LME983058:LME983087 LWA983058:LWA983087 MFW983058:MFW983087 MPS983058:MPS983087 MZO983058:MZO983087 NJK983058:NJK983087 NTG983058:NTG983087 ODC983058:ODC983087 OMY983058:OMY983087 OWU983058:OWU983087 PGQ983058:PGQ983087 PQM983058:PQM983087 QAI983058:QAI983087 QKE983058:QKE983087 QUA983058:QUA983087 RDW983058:RDW983087 RNS983058:RNS983087 RXO983058:RXO983087 SHK983058:SHK983087 SRG983058:SRG983087 TBC983058:TBC983087 TKY983058:TKY983087 TUU983058:TUU983087 UEQ983058:UEQ983087 UOM983058:UOM983087 UYI983058:UYI983087 VIE983058:VIE983087 VSA983058:VSA983087 WBW983058:WBW983087 WLS983058:WLS983087 G8:G47" xr:uid="{00000000-0002-0000-1000-000003000000}">
      <formula1>0</formula1>
    </dataValidation>
    <dataValidation type="decimal" errorStyle="warning" allowBlank="1" showInputMessage="1" showErrorMessage="1" errorTitle="טעות בהזנה" error="יש להזין סכום_x000a_סכום חיובי (או אפס) עבור עודף (או איזון)_x000a_סכום שלילי עבור גרעון" sqref="WVR983058:WVR983087 JF8:JF47 TB8:TB47 ACX8:ACX47 AMT8:AMT47 AWP8:AWP47 BGL8:BGL47 BQH8:BQH47 CAD8:CAD47 CJZ8:CJZ47 CTV8:CTV47 DDR8:DDR47 DNN8:DNN47 DXJ8:DXJ47 EHF8:EHF47 ERB8:ERB47 FAX8:FAX47 FKT8:FKT47 FUP8:FUP47 GEL8:GEL47 GOH8:GOH47 GYD8:GYD47 HHZ8:HHZ47 HRV8:HRV47 IBR8:IBR47 ILN8:ILN47 IVJ8:IVJ47 JFF8:JFF47 JPB8:JPB47 JYX8:JYX47 KIT8:KIT47 KSP8:KSP47 LCL8:LCL47 LMH8:LMH47 LWD8:LWD47 MFZ8:MFZ47 MPV8:MPV47 MZR8:MZR47 NJN8:NJN47 NTJ8:NTJ47 ODF8:ODF47 ONB8:ONB47 OWX8:OWX47 PGT8:PGT47 PQP8:PQP47 QAL8:QAL47 QKH8:QKH47 QUD8:QUD47 RDZ8:RDZ47 RNV8:RNV47 RXR8:RXR47 SHN8:SHN47 SRJ8:SRJ47 TBF8:TBF47 TLB8:TLB47 TUX8:TUX47 UET8:UET47 UOP8:UOP47 UYL8:UYL47 VIH8:VIH47 VSD8:VSD47 WBZ8:WBZ47 WLV8:WLV47 WVR8:WVR47 J65554:J65583 JF65554:JF65583 TB65554:TB65583 ACX65554:ACX65583 AMT65554:AMT65583 AWP65554:AWP65583 BGL65554:BGL65583 BQH65554:BQH65583 CAD65554:CAD65583 CJZ65554:CJZ65583 CTV65554:CTV65583 DDR65554:DDR65583 DNN65554:DNN65583 DXJ65554:DXJ65583 EHF65554:EHF65583 ERB65554:ERB65583 FAX65554:FAX65583 FKT65554:FKT65583 FUP65554:FUP65583 GEL65554:GEL65583 GOH65554:GOH65583 GYD65554:GYD65583 HHZ65554:HHZ65583 HRV65554:HRV65583 IBR65554:IBR65583 ILN65554:ILN65583 IVJ65554:IVJ65583 JFF65554:JFF65583 JPB65554:JPB65583 JYX65554:JYX65583 KIT65554:KIT65583 KSP65554:KSP65583 LCL65554:LCL65583 LMH65554:LMH65583 LWD65554:LWD65583 MFZ65554:MFZ65583 MPV65554:MPV65583 MZR65554:MZR65583 NJN65554:NJN65583 NTJ65554:NTJ65583 ODF65554:ODF65583 ONB65554:ONB65583 OWX65554:OWX65583 PGT65554:PGT65583 PQP65554:PQP65583 QAL65554:QAL65583 QKH65554:QKH65583 QUD65554:QUD65583 RDZ65554:RDZ65583 RNV65554:RNV65583 RXR65554:RXR65583 SHN65554:SHN65583 SRJ65554:SRJ65583 TBF65554:TBF65583 TLB65554:TLB65583 TUX65554:TUX65583 UET65554:UET65583 UOP65554:UOP65583 UYL65554:UYL65583 VIH65554:VIH65583 VSD65554:VSD65583 WBZ65554:WBZ65583 WLV65554:WLV65583 WVR65554:WVR65583 J131090:J131119 JF131090:JF131119 TB131090:TB131119 ACX131090:ACX131119 AMT131090:AMT131119 AWP131090:AWP131119 BGL131090:BGL131119 BQH131090:BQH131119 CAD131090:CAD131119 CJZ131090:CJZ131119 CTV131090:CTV131119 DDR131090:DDR131119 DNN131090:DNN131119 DXJ131090:DXJ131119 EHF131090:EHF131119 ERB131090:ERB131119 FAX131090:FAX131119 FKT131090:FKT131119 FUP131090:FUP131119 GEL131090:GEL131119 GOH131090:GOH131119 GYD131090:GYD131119 HHZ131090:HHZ131119 HRV131090:HRV131119 IBR131090:IBR131119 ILN131090:ILN131119 IVJ131090:IVJ131119 JFF131090:JFF131119 JPB131090:JPB131119 JYX131090:JYX131119 KIT131090:KIT131119 KSP131090:KSP131119 LCL131090:LCL131119 LMH131090:LMH131119 LWD131090:LWD131119 MFZ131090:MFZ131119 MPV131090:MPV131119 MZR131090:MZR131119 NJN131090:NJN131119 NTJ131090:NTJ131119 ODF131090:ODF131119 ONB131090:ONB131119 OWX131090:OWX131119 PGT131090:PGT131119 PQP131090:PQP131119 QAL131090:QAL131119 QKH131090:QKH131119 QUD131090:QUD131119 RDZ131090:RDZ131119 RNV131090:RNV131119 RXR131090:RXR131119 SHN131090:SHN131119 SRJ131090:SRJ131119 TBF131090:TBF131119 TLB131090:TLB131119 TUX131090:TUX131119 UET131090:UET131119 UOP131090:UOP131119 UYL131090:UYL131119 VIH131090:VIH131119 VSD131090:VSD131119 WBZ131090:WBZ131119 WLV131090:WLV131119 WVR131090:WVR131119 J196626:J196655 JF196626:JF196655 TB196626:TB196655 ACX196626:ACX196655 AMT196626:AMT196655 AWP196626:AWP196655 BGL196626:BGL196655 BQH196626:BQH196655 CAD196626:CAD196655 CJZ196626:CJZ196655 CTV196626:CTV196655 DDR196626:DDR196655 DNN196626:DNN196655 DXJ196626:DXJ196655 EHF196626:EHF196655 ERB196626:ERB196655 FAX196626:FAX196655 FKT196626:FKT196655 FUP196626:FUP196655 GEL196626:GEL196655 GOH196626:GOH196655 GYD196626:GYD196655 HHZ196626:HHZ196655 HRV196626:HRV196655 IBR196626:IBR196655 ILN196626:ILN196655 IVJ196626:IVJ196655 JFF196626:JFF196655 JPB196626:JPB196655 JYX196626:JYX196655 KIT196626:KIT196655 KSP196626:KSP196655 LCL196626:LCL196655 LMH196626:LMH196655 LWD196626:LWD196655 MFZ196626:MFZ196655 MPV196626:MPV196655 MZR196626:MZR196655 NJN196626:NJN196655 NTJ196626:NTJ196655 ODF196626:ODF196655 ONB196626:ONB196655 OWX196626:OWX196655 PGT196626:PGT196655 PQP196626:PQP196655 QAL196626:QAL196655 QKH196626:QKH196655 QUD196626:QUD196655 RDZ196626:RDZ196655 RNV196626:RNV196655 RXR196626:RXR196655 SHN196626:SHN196655 SRJ196626:SRJ196655 TBF196626:TBF196655 TLB196626:TLB196655 TUX196626:TUX196655 UET196626:UET196655 UOP196626:UOP196655 UYL196626:UYL196655 VIH196626:VIH196655 VSD196626:VSD196655 WBZ196626:WBZ196655 WLV196626:WLV196655 WVR196626:WVR196655 J262162:J262191 JF262162:JF262191 TB262162:TB262191 ACX262162:ACX262191 AMT262162:AMT262191 AWP262162:AWP262191 BGL262162:BGL262191 BQH262162:BQH262191 CAD262162:CAD262191 CJZ262162:CJZ262191 CTV262162:CTV262191 DDR262162:DDR262191 DNN262162:DNN262191 DXJ262162:DXJ262191 EHF262162:EHF262191 ERB262162:ERB262191 FAX262162:FAX262191 FKT262162:FKT262191 FUP262162:FUP262191 GEL262162:GEL262191 GOH262162:GOH262191 GYD262162:GYD262191 HHZ262162:HHZ262191 HRV262162:HRV262191 IBR262162:IBR262191 ILN262162:ILN262191 IVJ262162:IVJ262191 JFF262162:JFF262191 JPB262162:JPB262191 JYX262162:JYX262191 KIT262162:KIT262191 KSP262162:KSP262191 LCL262162:LCL262191 LMH262162:LMH262191 LWD262162:LWD262191 MFZ262162:MFZ262191 MPV262162:MPV262191 MZR262162:MZR262191 NJN262162:NJN262191 NTJ262162:NTJ262191 ODF262162:ODF262191 ONB262162:ONB262191 OWX262162:OWX262191 PGT262162:PGT262191 PQP262162:PQP262191 QAL262162:QAL262191 QKH262162:QKH262191 QUD262162:QUD262191 RDZ262162:RDZ262191 RNV262162:RNV262191 RXR262162:RXR262191 SHN262162:SHN262191 SRJ262162:SRJ262191 TBF262162:TBF262191 TLB262162:TLB262191 TUX262162:TUX262191 UET262162:UET262191 UOP262162:UOP262191 UYL262162:UYL262191 VIH262162:VIH262191 VSD262162:VSD262191 WBZ262162:WBZ262191 WLV262162:WLV262191 WVR262162:WVR262191 J327698:J327727 JF327698:JF327727 TB327698:TB327727 ACX327698:ACX327727 AMT327698:AMT327727 AWP327698:AWP327727 BGL327698:BGL327727 BQH327698:BQH327727 CAD327698:CAD327727 CJZ327698:CJZ327727 CTV327698:CTV327727 DDR327698:DDR327727 DNN327698:DNN327727 DXJ327698:DXJ327727 EHF327698:EHF327727 ERB327698:ERB327727 FAX327698:FAX327727 FKT327698:FKT327727 FUP327698:FUP327727 GEL327698:GEL327727 GOH327698:GOH327727 GYD327698:GYD327727 HHZ327698:HHZ327727 HRV327698:HRV327727 IBR327698:IBR327727 ILN327698:ILN327727 IVJ327698:IVJ327727 JFF327698:JFF327727 JPB327698:JPB327727 JYX327698:JYX327727 KIT327698:KIT327727 KSP327698:KSP327727 LCL327698:LCL327727 LMH327698:LMH327727 LWD327698:LWD327727 MFZ327698:MFZ327727 MPV327698:MPV327727 MZR327698:MZR327727 NJN327698:NJN327727 NTJ327698:NTJ327727 ODF327698:ODF327727 ONB327698:ONB327727 OWX327698:OWX327727 PGT327698:PGT327727 PQP327698:PQP327727 QAL327698:QAL327727 QKH327698:QKH327727 QUD327698:QUD327727 RDZ327698:RDZ327727 RNV327698:RNV327727 RXR327698:RXR327727 SHN327698:SHN327727 SRJ327698:SRJ327727 TBF327698:TBF327727 TLB327698:TLB327727 TUX327698:TUX327727 UET327698:UET327727 UOP327698:UOP327727 UYL327698:UYL327727 VIH327698:VIH327727 VSD327698:VSD327727 WBZ327698:WBZ327727 WLV327698:WLV327727 WVR327698:WVR327727 J393234:J393263 JF393234:JF393263 TB393234:TB393263 ACX393234:ACX393263 AMT393234:AMT393263 AWP393234:AWP393263 BGL393234:BGL393263 BQH393234:BQH393263 CAD393234:CAD393263 CJZ393234:CJZ393263 CTV393234:CTV393263 DDR393234:DDR393263 DNN393234:DNN393263 DXJ393234:DXJ393263 EHF393234:EHF393263 ERB393234:ERB393263 FAX393234:FAX393263 FKT393234:FKT393263 FUP393234:FUP393263 GEL393234:GEL393263 GOH393234:GOH393263 GYD393234:GYD393263 HHZ393234:HHZ393263 HRV393234:HRV393263 IBR393234:IBR393263 ILN393234:ILN393263 IVJ393234:IVJ393263 JFF393234:JFF393263 JPB393234:JPB393263 JYX393234:JYX393263 KIT393234:KIT393263 KSP393234:KSP393263 LCL393234:LCL393263 LMH393234:LMH393263 LWD393234:LWD393263 MFZ393234:MFZ393263 MPV393234:MPV393263 MZR393234:MZR393263 NJN393234:NJN393263 NTJ393234:NTJ393263 ODF393234:ODF393263 ONB393234:ONB393263 OWX393234:OWX393263 PGT393234:PGT393263 PQP393234:PQP393263 QAL393234:QAL393263 QKH393234:QKH393263 QUD393234:QUD393263 RDZ393234:RDZ393263 RNV393234:RNV393263 RXR393234:RXR393263 SHN393234:SHN393263 SRJ393234:SRJ393263 TBF393234:TBF393263 TLB393234:TLB393263 TUX393234:TUX393263 UET393234:UET393263 UOP393234:UOP393263 UYL393234:UYL393263 VIH393234:VIH393263 VSD393234:VSD393263 WBZ393234:WBZ393263 WLV393234:WLV393263 WVR393234:WVR393263 J458770:J458799 JF458770:JF458799 TB458770:TB458799 ACX458770:ACX458799 AMT458770:AMT458799 AWP458770:AWP458799 BGL458770:BGL458799 BQH458770:BQH458799 CAD458770:CAD458799 CJZ458770:CJZ458799 CTV458770:CTV458799 DDR458770:DDR458799 DNN458770:DNN458799 DXJ458770:DXJ458799 EHF458770:EHF458799 ERB458770:ERB458799 FAX458770:FAX458799 FKT458770:FKT458799 FUP458770:FUP458799 GEL458770:GEL458799 GOH458770:GOH458799 GYD458770:GYD458799 HHZ458770:HHZ458799 HRV458770:HRV458799 IBR458770:IBR458799 ILN458770:ILN458799 IVJ458770:IVJ458799 JFF458770:JFF458799 JPB458770:JPB458799 JYX458770:JYX458799 KIT458770:KIT458799 KSP458770:KSP458799 LCL458770:LCL458799 LMH458770:LMH458799 LWD458770:LWD458799 MFZ458770:MFZ458799 MPV458770:MPV458799 MZR458770:MZR458799 NJN458770:NJN458799 NTJ458770:NTJ458799 ODF458770:ODF458799 ONB458770:ONB458799 OWX458770:OWX458799 PGT458770:PGT458799 PQP458770:PQP458799 QAL458770:QAL458799 QKH458770:QKH458799 QUD458770:QUD458799 RDZ458770:RDZ458799 RNV458770:RNV458799 RXR458770:RXR458799 SHN458770:SHN458799 SRJ458770:SRJ458799 TBF458770:TBF458799 TLB458770:TLB458799 TUX458770:TUX458799 UET458770:UET458799 UOP458770:UOP458799 UYL458770:UYL458799 VIH458770:VIH458799 VSD458770:VSD458799 WBZ458770:WBZ458799 WLV458770:WLV458799 WVR458770:WVR458799 J524306:J524335 JF524306:JF524335 TB524306:TB524335 ACX524306:ACX524335 AMT524306:AMT524335 AWP524306:AWP524335 BGL524306:BGL524335 BQH524306:BQH524335 CAD524306:CAD524335 CJZ524306:CJZ524335 CTV524306:CTV524335 DDR524306:DDR524335 DNN524306:DNN524335 DXJ524306:DXJ524335 EHF524306:EHF524335 ERB524306:ERB524335 FAX524306:FAX524335 FKT524306:FKT524335 FUP524306:FUP524335 GEL524306:GEL524335 GOH524306:GOH524335 GYD524306:GYD524335 HHZ524306:HHZ524335 HRV524306:HRV524335 IBR524306:IBR524335 ILN524306:ILN524335 IVJ524306:IVJ524335 JFF524306:JFF524335 JPB524306:JPB524335 JYX524306:JYX524335 KIT524306:KIT524335 KSP524306:KSP524335 LCL524306:LCL524335 LMH524306:LMH524335 LWD524306:LWD524335 MFZ524306:MFZ524335 MPV524306:MPV524335 MZR524306:MZR524335 NJN524306:NJN524335 NTJ524306:NTJ524335 ODF524306:ODF524335 ONB524306:ONB524335 OWX524306:OWX524335 PGT524306:PGT524335 PQP524306:PQP524335 QAL524306:QAL524335 QKH524306:QKH524335 QUD524306:QUD524335 RDZ524306:RDZ524335 RNV524306:RNV524335 RXR524306:RXR524335 SHN524306:SHN524335 SRJ524306:SRJ524335 TBF524306:TBF524335 TLB524306:TLB524335 TUX524306:TUX524335 UET524306:UET524335 UOP524306:UOP524335 UYL524306:UYL524335 VIH524306:VIH524335 VSD524306:VSD524335 WBZ524306:WBZ524335 WLV524306:WLV524335 WVR524306:WVR524335 J589842:J589871 JF589842:JF589871 TB589842:TB589871 ACX589842:ACX589871 AMT589842:AMT589871 AWP589842:AWP589871 BGL589842:BGL589871 BQH589842:BQH589871 CAD589842:CAD589871 CJZ589842:CJZ589871 CTV589842:CTV589871 DDR589842:DDR589871 DNN589842:DNN589871 DXJ589842:DXJ589871 EHF589842:EHF589871 ERB589842:ERB589871 FAX589842:FAX589871 FKT589842:FKT589871 FUP589842:FUP589871 GEL589842:GEL589871 GOH589842:GOH589871 GYD589842:GYD589871 HHZ589842:HHZ589871 HRV589842:HRV589871 IBR589842:IBR589871 ILN589842:ILN589871 IVJ589842:IVJ589871 JFF589842:JFF589871 JPB589842:JPB589871 JYX589842:JYX589871 KIT589842:KIT589871 KSP589842:KSP589871 LCL589842:LCL589871 LMH589842:LMH589871 LWD589842:LWD589871 MFZ589842:MFZ589871 MPV589842:MPV589871 MZR589842:MZR589871 NJN589842:NJN589871 NTJ589842:NTJ589871 ODF589842:ODF589871 ONB589842:ONB589871 OWX589842:OWX589871 PGT589842:PGT589871 PQP589842:PQP589871 QAL589842:QAL589871 QKH589842:QKH589871 QUD589842:QUD589871 RDZ589842:RDZ589871 RNV589842:RNV589871 RXR589842:RXR589871 SHN589842:SHN589871 SRJ589842:SRJ589871 TBF589842:TBF589871 TLB589842:TLB589871 TUX589842:TUX589871 UET589842:UET589871 UOP589842:UOP589871 UYL589842:UYL589871 VIH589842:VIH589871 VSD589842:VSD589871 WBZ589842:WBZ589871 WLV589842:WLV589871 WVR589842:WVR589871 J655378:J655407 JF655378:JF655407 TB655378:TB655407 ACX655378:ACX655407 AMT655378:AMT655407 AWP655378:AWP655407 BGL655378:BGL655407 BQH655378:BQH655407 CAD655378:CAD655407 CJZ655378:CJZ655407 CTV655378:CTV655407 DDR655378:DDR655407 DNN655378:DNN655407 DXJ655378:DXJ655407 EHF655378:EHF655407 ERB655378:ERB655407 FAX655378:FAX655407 FKT655378:FKT655407 FUP655378:FUP655407 GEL655378:GEL655407 GOH655378:GOH655407 GYD655378:GYD655407 HHZ655378:HHZ655407 HRV655378:HRV655407 IBR655378:IBR655407 ILN655378:ILN655407 IVJ655378:IVJ655407 JFF655378:JFF655407 JPB655378:JPB655407 JYX655378:JYX655407 KIT655378:KIT655407 KSP655378:KSP655407 LCL655378:LCL655407 LMH655378:LMH655407 LWD655378:LWD655407 MFZ655378:MFZ655407 MPV655378:MPV655407 MZR655378:MZR655407 NJN655378:NJN655407 NTJ655378:NTJ655407 ODF655378:ODF655407 ONB655378:ONB655407 OWX655378:OWX655407 PGT655378:PGT655407 PQP655378:PQP655407 QAL655378:QAL655407 QKH655378:QKH655407 QUD655378:QUD655407 RDZ655378:RDZ655407 RNV655378:RNV655407 RXR655378:RXR655407 SHN655378:SHN655407 SRJ655378:SRJ655407 TBF655378:TBF655407 TLB655378:TLB655407 TUX655378:TUX655407 UET655378:UET655407 UOP655378:UOP655407 UYL655378:UYL655407 VIH655378:VIH655407 VSD655378:VSD655407 WBZ655378:WBZ655407 WLV655378:WLV655407 WVR655378:WVR655407 J720914:J720943 JF720914:JF720943 TB720914:TB720943 ACX720914:ACX720943 AMT720914:AMT720943 AWP720914:AWP720943 BGL720914:BGL720943 BQH720914:BQH720943 CAD720914:CAD720943 CJZ720914:CJZ720943 CTV720914:CTV720943 DDR720914:DDR720943 DNN720914:DNN720943 DXJ720914:DXJ720943 EHF720914:EHF720943 ERB720914:ERB720943 FAX720914:FAX720943 FKT720914:FKT720943 FUP720914:FUP720943 GEL720914:GEL720943 GOH720914:GOH720943 GYD720914:GYD720943 HHZ720914:HHZ720943 HRV720914:HRV720943 IBR720914:IBR720943 ILN720914:ILN720943 IVJ720914:IVJ720943 JFF720914:JFF720943 JPB720914:JPB720943 JYX720914:JYX720943 KIT720914:KIT720943 KSP720914:KSP720943 LCL720914:LCL720943 LMH720914:LMH720943 LWD720914:LWD720943 MFZ720914:MFZ720943 MPV720914:MPV720943 MZR720914:MZR720943 NJN720914:NJN720943 NTJ720914:NTJ720943 ODF720914:ODF720943 ONB720914:ONB720943 OWX720914:OWX720943 PGT720914:PGT720943 PQP720914:PQP720943 QAL720914:QAL720943 QKH720914:QKH720943 QUD720914:QUD720943 RDZ720914:RDZ720943 RNV720914:RNV720943 RXR720914:RXR720943 SHN720914:SHN720943 SRJ720914:SRJ720943 TBF720914:TBF720943 TLB720914:TLB720943 TUX720914:TUX720943 UET720914:UET720943 UOP720914:UOP720943 UYL720914:UYL720943 VIH720914:VIH720943 VSD720914:VSD720943 WBZ720914:WBZ720943 WLV720914:WLV720943 WVR720914:WVR720943 J786450:J786479 JF786450:JF786479 TB786450:TB786479 ACX786450:ACX786479 AMT786450:AMT786479 AWP786450:AWP786479 BGL786450:BGL786479 BQH786450:BQH786479 CAD786450:CAD786479 CJZ786450:CJZ786479 CTV786450:CTV786479 DDR786450:DDR786479 DNN786450:DNN786479 DXJ786450:DXJ786479 EHF786450:EHF786479 ERB786450:ERB786479 FAX786450:FAX786479 FKT786450:FKT786479 FUP786450:FUP786479 GEL786450:GEL786479 GOH786450:GOH786479 GYD786450:GYD786479 HHZ786450:HHZ786479 HRV786450:HRV786479 IBR786450:IBR786479 ILN786450:ILN786479 IVJ786450:IVJ786479 JFF786450:JFF786479 JPB786450:JPB786479 JYX786450:JYX786479 KIT786450:KIT786479 KSP786450:KSP786479 LCL786450:LCL786479 LMH786450:LMH786479 LWD786450:LWD786479 MFZ786450:MFZ786479 MPV786450:MPV786479 MZR786450:MZR786479 NJN786450:NJN786479 NTJ786450:NTJ786479 ODF786450:ODF786479 ONB786450:ONB786479 OWX786450:OWX786479 PGT786450:PGT786479 PQP786450:PQP786479 QAL786450:QAL786479 QKH786450:QKH786479 QUD786450:QUD786479 RDZ786450:RDZ786479 RNV786450:RNV786479 RXR786450:RXR786479 SHN786450:SHN786479 SRJ786450:SRJ786479 TBF786450:TBF786479 TLB786450:TLB786479 TUX786450:TUX786479 UET786450:UET786479 UOP786450:UOP786479 UYL786450:UYL786479 VIH786450:VIH786479 VSD786450:VSD786479 WBZ786450:WBZ786479 WLV786450:WLV786479 WVR786450:WVR786479 J851986:J852015 JF851986:JF852015 TB851986:TB852015 ACX851986:ACX852015 AMT851986:AMT852015 AWP851986:AWP852015 BGL851986:BGL852015 BQH851986:BQH852015 CAD851986:CAD852015 CJZ851986:CJZ852015 CTV851986:CTV852015 DDR851986:DDR852015 DNN851986:DNN852015 DXJ851986:DXJ852015 EHF851986:EHF852015 ERB851986:ERB852015 FAX851986:FAX852015 FKT851986:FKT852015 FUP851986:FUP852015 GEL851986:GEL852015 GOH851986:GOH852015 GYD851986:GYD852015 HHZ851986:HHZ852015 HRV851986:HRV852015 IBR851986:IBR852015 ILN851986:ILN852015 IVJ851986:IVJ852015 JFF851986:JFF852015 JPB851986:JPB852015 JYX851986:JYX852015 KIT851986:KIT852015 KSP851986:KSP852015 LCL851986:LCL852015 LMH851986:LMH852015 LWD851986:LWD852015 MFZ851986:MFZ852015 MPV851986:MPV852015 MZR851986:MZR852015 NJN851986:NJN852015 NTJ851986:NTJ852015 ODF851986:ODF852015 ONB851986:ONB852015 OWX851986:OWX852015 PGT851986:PGT852015 PQP851986:PQP852015 QAL851986:QAL852015 QKH851986:QKH852015 QUD851986:QUD852015 RDZ851986:RDZ852015 RNV851986:RNV852015 RXR851986:RXR852015 SHN851986:SHN852015 SRJ851986:SRJ852015 TBF851986:TBF852015 TLB851986:TLB852015 TUX851986:TUX852015 UET851986:UET852015 UOP851986:UOP852015 UYL851986:UYL852015 VIH851986:VIH852015 VSD851986:VSD852015 WBZ851986:WBZ852015 WLV851986:WLV852015 WVR851986:WVR852015 J917522:J917551 JF917522:JF917551 TB917522:TB917551 ACX917522:ACX917551 AMT917522:AMT917551 AWP917522:AWP917551 BGL917522:BGL917551 BQH917522:BQH917551 CAD917522:CAD917551 CJZ917522:CJZ917551 CTV917522:CTV917551 DDR917522:DDR917551 DNN917522:DNN917551 DXJ917522:DXJ917551 EHF917522:EHF917551 ERB917522:ERB917551 FAX917522:FAX917551 FKT917522:FKT917551 FUP917522:FUP917551 GEL917522:GEL917551 GOH917522:GOH917551 GYD917522:GYD917551 HHZ917522:HHZ917551 HRV917522:HRV917551 IBR917522:IBR917551 ILN917522:ILN917551 IVJ917522:IVJ917551 JFF917522:JFF917551 JPB917522:JPB917551 JYX917522:JYX917551 KIT917522:KIT917551 KSP917522:KSP917551 LCL917522:LCL917551 LMH917522:LMH917551 LWD917522:LWD917551 MFZ917522:MFZ917551 MPV917522:MPV917551 MZR917522:MZR917551 NJN917522:NJN917551 NTJ917522:NTJ917551 ODF917522:ODF917551 ONB917522:ONB917551 OWX917522:OWX917551 PGT917522:PGT917551 PQP917522:PQP917551 QAL917522:QAL917551 QKH917522:QKH917551 QUD917522:QUD917551 RDZ917522:RDZ917551 RNV917522:RNV917551 RXR917522:RXR917551 SHN917522:SHN917551 SRJ917522:SRJ917551 TBF917522:TBF917551 TLB917522:TLB917551 TUX917522:TUX917551 UET917522:UET917551 UOP917522:UOP917551 UYL917522:UYL917551 VIH917522:VIH917551 VSD917522:VSD917551 WBZ917522:WBZ917551 WLV917522:WLV917551 WVR917522:WVR917551 J983058:J983087 JF983058:JF983087 TB983058:TB983087 ACX983058:ACX983087 AMT983058:AMT983087 AWP983058:AWP983087 BGL983058:BGL983087 BQH983058:BQH983087 CAD983058:CAD983087 CJZ983058:CJZ983087 CTV983058:CTV983087 DDR983058:DDR983087 DNN983058:DNN983087 DXJ983058:DXJ983087 EHF983058:EHF983087 ERB983058:ERB983087 FAX983058:FAX983087 FKT983058:FKT983087 FUP983058:FUP983087 GEL983058:GEL983087 GOH983058:GOH983087 GYD983058:GYD983087 HHZ983058:HHZ983087 HRV983058:HRV983087 IBR983058:IBR983087 ILN983058:ILN983087 IVJ983058:IVJ983087 JFF983058:JFF983087 JPB983058:JPB983087 JYX983058:JYX983087 KIT983058:KIT983087 KSP983058:KSP983087 LCL983058:LCL983087 LMH983058:LMH983087 LWD983058:LWD983087 MFZ983058:MFZ983087 MPV983058:MPV983087 MZR983058:MZR983087 NJN983058:NJN983087 NTJ983058:NTJ983087 ODF983058:ODF983087 ONB983058:ONB983087 OWX983058:OWX983087 PGT983058:PGT983087 PQP983058:PQP983087 QAL983058:QAL983087 QKH983058:QKH983087 QUD983058:QUD983087 RDZ983058:RDZ983087 RNV983058:RNV983087 RXR983058:RXR983087 SHN983058:SHN983087 SRJ983058:SRJ983087 TBF983058:TBF983087 TLB983058:TLB983087 TUX983058:TUX983087 UET983058:UET983087 UOP983058:UOP983087 UYL983058:UYL983087 VIH983058:VIH983087 VSD983058:VSD983087 WBZ983058:WBZ983087 WLV983058:WLV983087 J8:J47" xr:uid="{00000000-0002-0000-1000-000004000000}">
      <formula1>-1E+24</formula1>
      <formula2>1E+28</formula2>
    </dataValidation>
  </dataValidations>
  <printOptions horizontalCentered="1"/>
  <pageMargins left="0.19685039370078741" right="0.19685039370078741" top="0.62992125984251968" bottom="0.51181102362204722" header="0.19685039370078741" footer="0.19685039370078741"/>
  <pageSetup paperSize="9" scale="56" orientation="landscape" cellComments="asDisplayed" horizontalDpi="1200" verticalDpi="1200" r:id="rId1"/>
  <headerFooter alignWithMargins="0">
    <oddHeader>&amp;L
גרסא 2.9&amp;C&amp;12מבחנים לחלוקת כספי תמיכות של משרד החינוך התרבות והספורט למוסדות ציבור לפי חוק יסודות התקציב, התשמ"ה  - 1985
&amp;Uתמיכה במוסדות תרבות בתחום להקות מחול</oddHeader>
    <oddFooter>&amp;L&amp;"Arial,מודגש"&amp;12א. חפץ ושות'
יעוץ כלכלי&amp;Cעמוד &amp;P מתוך &amp;N&amp;R&amp;A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6">
    <tabColor indexed="44"/>
    <pageSetUpPr fitToPage="1"/>
  </sheetPr>
  <dimension ref="A1:P51"/>
  <sheetViews>
    <sheetView rightToLeft="1" view="pageBreakPreview" zoomScale="80" zoomScaleNormal="75" zoomScaleSheetLayoutView="80" workbookViewId="0"/>
  </sheetViews>
  <sheetFormatPr defaultRowHeight="12.75" x14ac:dyDescent="0.2"/>
  <cols>
    <col min="1" max="1" width="8.5703125" bestFit="1" customWidth="1"/>
    <col min="2" max="2" width="48.42578125" bestFit="1" customWidth="1"/>
    <col min="3" max="5" width="22.42578125" customWidth="1"/>
    <col min="6" max="7" width="22.42578125" hidden="1" customWidth="1"/>
    <col min="8" max="8" width="18.7109375" hidden="1" customWidth="1"/>
    <col min="9" max="13" width="22.140625" hidden="1" customWidth="1"/>
    <col min="14" max="14" width="21.5703125" customWidth="1"/>
    <col min="15" max="15" width="21.28515625" customWidth="1"/>
    <col min="16" max="16" width="45.42578125" hidden="1" customWidth="1"/>
  </cols>
  <sheetData>
    <row r="1" spans="1:16" ht="21.75" thickTop="1" thickBot="1" x14ac:dyDescent="0.3">
      <c r="A1" s="7"/>
      <c r="B1" s="134" t="str">
        <f>פרמטרים!$B$1</f>
        <v>שנת התקציב</v>
      </c>
      <c r="C1" s="135">
        <f>פרמטרים!$C$1</f>
        <v>2025</v>
      </c>
      <c r="O1" s="198" t="s">
        <v>225</v>
      </c>
    </row>
    <row r="2" spans="1:16" ht="21" thickBot="1" x14ac:dyDescent="0.3">
      <c r="A2" s="7"/>
      <c r="B2" s="136" t="str">
        <f>פרמטרים!$B$2</f>
        <v>תקציב</v>
      </c>
      <c r="C2" s="137">
        <f>פרמטרים!$C$2</f>
        <v>1906914</v>
      </c>
      <c r="O2" s="199">
        <f ca="1">C2-O51</f>
        <v>0</v>
      </c>
    </row>
    <row r="3" spans="1:16" ht="18.75" hidden="1" thickTop="1" x14ac:dyDescent="0.25">
      <c r="A3" s="7"/>
    </row>
    <row r="4" spans="1:16" ht="18.75" hidden="1" thickTop="1" x14ac:dyDescent="0.25">
      <c r="A4" s="7"/>
    </row>
    <row r="5" spans="1:16" ht="18.75" hidden="1" thickTop="1" x14ac:dyDescent="0.25">
      <c r="A5" s="7"/>
    </row>
    <row r="6" spans="1:16" ht="18.75" hidden="1" thickTop="1" x14ac:dyDescent="0.25">
      <c r="A6" s="7"/>
    </row>
    <row r="7" spans="1:16" ht="18.75" hidden="1" thickTop="1" x14ac:dyDescent="0.25">
      <c r="A7" s="7"/>
    </row>
    <row r="8" spans="1:16" ht="18.75" hidden="1" thickTop="1" x14ac:dyDescent="0.25">
      <c r="A8" s="7"/>
    </row>
    <row r="9" spans="1:16" ht="19.5" thickTop="1" thickBot="1" x14ac:dyDescent="0.3">
      <c r="A9" s="660" t="s">
        <v>226</v>
      </c>
      <c r="B9" s="661"/>
      <c r="C9" s="661"/>
      <c r="D9" s="661"/>
      <c r="E9" s="661"/>
      <c r="F9" s="661"/>
      <c r="G9" s="661"/>
      <c r="H9" s="661"/>
      <c r="I9" s="661"/>
      <c r="J9" s="661"/>
      <c r="K9" s="661"/>
      <c r="L9" s="661"/>
      <c r="M9" s="661"/>
      <c r="N9" s="661"/>
      <c r="O9" s="662"/>
    </row>
    <row r="10" spans="1:16" ht="56.25" customHeight="1" thickBot="1" x14ac:dyDescent="0.3">
      <c r="A10" s="184" t="str">
        <f>'הרכב חברי וועדה'!A10</f>
        <v>מספר סידורי</v>
      </c>
      <c r="B10" s="51" t="str">
        <f>'הרכב חברי וועדה'!B10</f>
        <v>שם כתב העת</v>
      </c>
      <c r="C10" s="52" t="s">
        <v>227</v>
      </c>
      <c r="D10" s="52" t="s">
        <v>228</v>
      </c>
      <c r="E10" s="157" t="s">
        <v>229</v>
      </c>
      <c r="F10" s="157" t="s">
        <v>230</v>
      </c>
      <c r="G10" s="157"/>
      <c r="H10" s="157" t="s">
        <v>230</v>
      </c>
      <c r="I10" s="157"/>
      <c r="J10" s="157" t="s">
        <v>230</v>
      </c>
      <c r="K10" s="157"/>
      <c r="L10" s="157" t="s">
        <v>230</v>
      </c>
      <c r="M10" s="157"/>
      <c r="N10" s="157" t="s">
        <v>231</v>
      </c>
      <c r="O10" s="187" t="s">
        <v>232</v>
      </c>
      <c r="P10" s="192" t="s">
        <v>233</v>
      </c>
    </row>
    <row r="11" spans="1:16" ht="20.25" x14ac:dyDescent="0.25">
      <c r="A11" s="448">
        <f>'הרכב חברי וועדה'!A11</f>
        <v>1</v>
      </c>
      <c r="B11" s="425" t="str">
        <f ca="1">'הרכב חברי וועדה'!B11</f>
        <v>1280 מעלות (אמנים יוצרים)</v>
      </c>
      <c r="C11" s="182">
        <f ca="1">'הרכב חברי וועדה'!H11</f>
        <v>3.4136989294792967E-2</v>
      </c>
      <c r="D11" s="183">
        <f t="shared" ref="D11:D14" ca="1" si="0">IF(B11="","",C11*$C$2)</f>
        <v>65096.302804090839</v>
      </c>
      <c r="E11" s="556">
        <f>'סיכום לועדה- הזנת נתונים'!N31</f>
        <v>100000</v>
      </c>
      <c r="F11" s="188">
        <f t="shared" ref="F11:F14" ca="1" si="1">IF(OR($B11="",$C11="",$D11=""),"",IF($E11&lt;D11,2,1))</f>
        <v>1</v>
      </c>
      <c r="G11" s="189">
        <f t="shared" ref="G11:G14" ca="1" si="2">IF(F11="","",IF(F11=2,$E11,($C$2-SUMIF(F$11:F$50,2,$E$11:$E$50))*$D11/SUMIF(F$11:F$50,1,$D$11:$D$50)))</f>
        <v>66144.47652798082</v>
      </c>
      <c r="H11" s="188">
        <f t="shared" ref="H11:H14" ca="1" si="3">IF(OR($B11="",$C11="",$D11=""),"",IF(OR($E11&lt;G11,$E11=G11),2,1))</f>
        <v>1</v>
      </c>
      <c r="I11" s="189">
        <f t="shared" ref="I11:I14" ca="1" si="4">IF(H11="","",IF(H11=2,$E11,($C$2-SUMIF(H$11:H$50,2,$E$11:$E$50))*$D11/SUMIF(H$11:H$50,1,$D$11:$D$50)))</f>
        <v>66144.47652798082</v>
      </c>
      <c r="J11" s="188">
        <f t="shared" ref="J11:J14" ca="1" si="5">IF(OR($B11="",$C11="",$D11=""),"",IF(OR($E11&lt;I11,$E11=I11),2,1))</f>
        <v>1</v>
      </c>
      <c r="K11" s="189">
        <f t="shared" ref="K11:K14" ca="1" si="6">IF(J11="","",IF(J11=2,$E11,($C$2-SUMIF(J$11:J$50,2,$E$11:$E$50))*$D11/SUMIF(J$11:J$50,1,$D$11:$D$50)))</f>
        <v>66144.47652798082</v>
      </c>
      <c r="L11" s="188">
        <f t="shared" ref="L11:L14" ca="1" si="7">IF(OR($B11="",$C11="",$D11=""),"",IF(OR($E11&lt;K11,$E11=K11),2,1))</f>
        <v>1</v>
      </c>
      <c r="M11" s="189">
        <f t="shared" ref="M11:M14" ca="1" si="8">IF(L11="","",IF(L11=2,$E11,($C$2-SUMIF(L$11:L$50,2,$E$11:$E$50))*$D11/SUMIF(L$11:L$50,1,$D$11:$D$50)))</f>
        <v>66144.47652798082</v>
      </c>
      <c r="N11" s="190">
        <f t="shared" ref="N11:N14" ca="1" si="9">IF(OR($B11="",$C11="",$D11=""),"",O11/O$51)</f>
        <v>3.4686659455004695E-2</v>
      </c>
      <c r="O11" s="193">
        <f t="shared" ref="O11:O14" ca="1" si="10">IF(OR($B11="",$C11="",$D11=""),"",MIN(M11,E11))</f>
        <v>66144.47652798082</v>
      </c>
      <c r="P11" s="197">
        <f t="shared" ref="P11:P14" ca="1" si="11">IFERROR(MAX(D11-E11,0),"")</f>
        <v>0</v>
      </c>
    </row>
    <row r="12" spans="1:16" ht="20.25" x14ac:dyDescent="0.25">
      <c r="A12" s="448">
        <f>'הרכב חברי וועדה'!A12</f>
        <v>2</v>
      </c>
      <c r="B12" s="425" t="str">
        <f ca="1">'הרכב חברי וועדה'!B12</f>
        <v>יהי (אורי צבי גרינברג)</v>
      </c>
      <c r="C12" s="182">
        <f ca="1">'הרכב חברי וועדה'!H12</f>
        <v>2.8586407827041766E-2</v>
      </c>
      <c r="D12" s="183">
        <f t="shared" ca="1" si="0"/>
        <v>54511.82129509552</v>
      </c>
      <c r="E12" s="556">
        <f>'סיכום לועדה- הזנת נתונים'!N32</f>
        <v>150000</v>
      </c>
      <c r="F12" s="188">
        <f t="shared" ca="1" si="1"/>
        <v>1</v>
      </c>
      <c r="G12" s="189">
        <f t="shared" ca="1" si="2"/>
        <v>55389.564826780625</v>
      </c>
      <c r="H12" s="188">
        <f t="shared" ca="1" si="3"/>
        <v>1</v>
      </c>
      <c r="I12" s="189">
        <f t="shared" ca="1" si="4"/>
        <v>55389.564826780625</v>
      </c>
      <c r="J12" s="188">
        <f t="shared" ca="1" si="5"/>
        <v>1</v>
      </c>
      <c r="K12" s="189">
        <f t="shared" ca="1" si="6"/>
        <v>55389.564826780625</v>
      </c>
      <c r="L12" s="188">
        <f t="shared" ca="1" si="7"/>
        <v>1</v>
      </c>
      <c r="M12" s="189">
        <f t="shared" ca="1" si="8"/>
        <v>55389.564826780625</v>
      </c>
      <c r="N12" s="190">
        <f t="shared" ca="1" si="9"/>
        <v>2.9046703116543601E-2</v>
      </c>
      <c r="O12" s="193">
        <f t="shared" ca="1" si="10"/>
        <v>55389.564826780625</v>
      </c>
      <c r="P12" s="197">
        <f t="shared" ca="1" si="11"/>
        <v>0</v>
      </c>
    </row>
    <row r="13" spans="1:16" ht="20.25" x14ac:dyDescent="0.25">
      <c r="A13" s="448">
        <f>'הרכב חברי וועדה'!A13</f>
        <v>3</v>
      </c>
      <c r="B13" s="425" t="str">
        <f ca="1">'הרכב חברי וועדה'!B13</f>
        <v/>
      </c>
      <c r="C13" s="182" t="str">
        <f ca="1">'הרכב חברי וועדה'!H13</f>
        <v/>
      </c>
      <c r="D13" s="183" t="str">
        <f t="shared" ca="1" si="0"/>
        <v/>
      </c>
      <c r="E13" s="556" t="str">
        <f>'סיכום לועדה- הזנת נתונים'!N33</f>
        <v/>
      </c>
      <c r="F13" s="188" t="str">
        <f t="shared" ca="1" si="1"/>
        <v/>
      </c>
      <c r="G13" s="189" t="str">
        <f t="shared" ca="1" si="2"/>
        <v/>
      </c>
      <c r="H13" s="188" t="str">
        <f t="shared" ca="1" si="3"/>
        <v/>
      </c>
      <c r="I13" s="189" t="str">
        <f t="shared" ca="1" si="4"/>
        <v/>
      </c>
      <c r="J13" s="188" t="str">
        <f t="shared" ca="1" si="5"/>
        <v/>
      </c>
      <c r="K13" s="189" t="str">
        <f t="shared" ca="1" si="6"/>
        <v/>
      </c>
      <c r="L13" s="188" t="str">
        <f t="shared" ca="1" si="7"/>
        <v/>
      </c>
      <c r="M13" s="189" t="str">
        <f t="shared" ca="1" si="8"/>
        <v/>
      </c>
      <c r="N13" s="190" t="str">
        <f t="shared" ca="1" si="9"/>
        <v/>
      </c>
      <c r="O13" s="193" t="str">
        <f t="shared" ca="1" si="10"/>
        <v/>
      </c>
      <c r="P13" s="197" t="str">
        <f t="shared" ca="1" si="11"/>
        <v/>
      </c>
    </row>
    <row r="14" spans="1:16" ht="20.25" x14ac:dyDescent="0.25">
      <c r="A14" s="448">
        <f>'הרכב חברי וועדה'!A14</f>
        <v>4</v>
      </c>
      <c r="B14" s="425" t="str">
        <f ca="1">'הרכב חברי וועדה'!B14</f>
        <v>דעות (ברית נאמני תורה ועבודה)</v>
      </c>
      <c r="C14" s="182">
        <f ca="1">'הרכב חברי וועדה'!H14</f>
        <v>4.8196797935709218E-2</v>
      </c>
      <c r="D14" s="183">
        <f t="shared" ca="1" si="0"/>
        <v>91907.148738775009</v>
      </c>
      <c r="E14" s="556">
        <f>'סיכום לועדה- הזנת נתונים'!N34</f>
        <v>165000</v>
      </c>
      <c r="F14" s="188">
        <f t="shared" ca="1" si="1"/>
        <v>1</v>
      </c>
      <c r="G14" s="189">
        <f t="shared" ca="1" si="2"/>
        <v>93387.02784397635</v>
      </c>
      <c r="H14" s="188">
        <f t="shared" ca="1" si="3"/>
        <v>1</v>
      </c>
      <c r="I14" s="189">
        <f t="shared" ca="1" si="4"/>
        <v>93387.02784397635</v>
      </c>
      <c r="J14" s="188">
        <f t="shared" ca="1" si="5"/>
        <v>1</v>
      </c>
      <c r="K14" s="189">
        <f t="shared" ca="1" si="6"/>
        <v>93387.02784397635</v>
      </c>
      <c r="L14" s="188">
        <f t="shared" ca="1" si="7"/>
        <v>1</v>
      </c>
      <c r="M14" s="189">
        <f t="shared" ca="1" si="8"/>
        <v>93387.02784397635</v>
      </c>
      <c r="N14" s="190">
        <f t="shared" ca="1" si="9"/>
        <v>4.8972857634888803E-2</v>
      </c>
      <c r="O14" s="193">
        <f t="shared" ca="1" si="10"/>
        <v>93387.02784397635</v>
      </c>
      <c r="P14" s="197">
        <f t="shared" ca="1" si="11"/>
        <v>0</v>
      </c>
    </row>
    <row r="15" spans="1:16" ht="20.25" x14ac:dyDescent="0.25">
      <c r="A15" s="448">
        <f>'הרכב חברי וועדה'!A15</f>
        <v>5</v>
      </c>
      <c r="B15" s="425" t="str">
        <f ca="1">'הרכב חברי וועדה'!B15</f>
        <v>הליקון</v>
      </c>
      <c r="C15" s="182">
        <f ca="1">'הרכב חברי וועדה'!H15</f>
        <v>5.9614766335010047E-2</v>
      </c>
      <c r="D15" s="183">
        <f t="shared" ref="D15:D50" ca="1" si="12">IF(B15="","",C15*$C$2)</f>
        <v>113680.23253095934</v>
      </c>
      <c r="E15" s="556">
        <f>'סיכום לועדה- הזנת נתונים'!N35</f>
        <v>240000</v>
      </c>
      <c r="F15" s="188">
        <f t="shared" ref="F15:F50" ca="1" si="13">IF(OR($B15="",$C15="",$D15=""),"",IF($E15&lt;D15,2,1))</f>
        <v>1</v>
      </c>
      <c r="G15" s="189">
        <f t="shared" ref="G15:I50" ca="1" si="14">IF(F15="","",IF(F15=2,$E15,($C$2-SUMIF(F$11:F$50,2,$E$11:$E$50))*$D15/SUMIF(F$11:F$50,1,$D$11:$D$50)))</f>
        <v>115510.69950883459</v>
      </c>
      <c r="H15" s="188">
        <f t="shared" ref="H15:J50" ca="1" si="15">IF(OR($B15="",$C15="",$D15=""),"",IF(OR($E15&lt;G15,$E15=G15),2,1))</f>
        <v>1</v>
      </c>
      <c r="I15" s="189">
        <f t="shared" ca="1" si="14"/>
        <v>115510.69950883459</v>
      </c>
      <c r="J15" s="188">
        <f t="shared" ca="1" si="15"/>
        <v>1</v>
      </c>
      <c r="K15" s="189">
        <f t="shared" ref="K15:K50" ca="1" si="16">IF(J15="","",IF(J15=2,$E15,($C$2-SUMIF(J$11:J$50,2,$E$11:$E$50))*$D15/SUMIF(J$11:J$50,1,$D$11:$D$50)))</f>
        <v>115510.69950883459</v>
      </c>
      <c r="L15" s="188">
        <f t="shared" ref="L15:L50" ca="1" si="17">IF(OR($B15="",$C15="",$D15=""),"",IF(OR($E15&lt;K15,$E15=K15),2,1))</f>
        <v>1</v>
      </c>
      <c r="M15" s="189">
        <f t="shared" ref="M15:M50" ca="1" si="18">IF(L15="","",IF(L15=2,$E15,($C$2-SUMIF(L$11:L$50,2,$E$11:$E$50))*$D15/SUMIF(L$11:L$50,1,$D$11:$D$50)))</f>
        <v>115510.69950883459</v>
      </c>
      <c r="N15" s="190">
        <f t="shared" ref="N15:N50" ca="1" si="19">IF(OR($B15="",$C15="",$D15=""),"",O15/O$51)</f>
        <v>6.0574676943393663E-2</v>
      </c>
      <c r="O15" s="193">
        <f t="shared" ref="O15:O50" ca="1" si="20">IF(OR($B15="",$C15="",$D15=""),"",MIN(M15,E15))</f>
        <v>115510.69950883459</v>
      </c>
      <c r="P15" s="197">
        <f t="shared" ref="P15:P50" ca="1" si="21">IFERROR(MAX(D15-E15,0),"")</f>
        <v>0</v>
      </c>
    </row>
    <row r="16" spans="1:16" ht="20.25" x14ac:dyDescent="0.25">
      <c r="A16" s="448">
        <f>'הרכב חברי וועדה'!A16</f>
        <v>6</v>
      </c>
      <c r="B16" s="425" t="str">
        <f ca="1">'הרכב חברי וועדה'!B16</f>
        <v/>
      </c>
      <c r="C16" s="182" t="str">
        <f ca="1">'הרכב חברי וועדה'!H16</f>
        <v/>
      </c>
      <c r="D16" s="183" t="str">
        <f t="shared" ca="1" si="12"/>
        <v/>
      </c>
      <c r="E16" s="556" t="str">
        <f>'סיכום לועדה- הזנת נתונים'!N36</f>
        <v/>
      </c>
      <c r="F16" s="188" t="str">
        <f t="shared" ca="1" si="13"/>
        <v/>
      </c>
      <c r="G16" s="189" t="str">
        <f t="shared" ca="1" si="14"/>
        <v/>
      </c>
      <c r="H16" s="188" t="str">
        <f t="shared" ca="1" si="15"/>
        <v/>
      </c>
      <c r="I16" s="189" t="str">
        <f t="shared" ca="1" si="14"/>
        <v/>
      </c>
      <c r="J16" s="188" t="str">
        <f t="shared" ca="1" si="15"/>
        <v/>
      </c>
      <c r="K16" s="189" t="str">
        <f t="shared" ca="1" si="16"/>
        <v/>
      </c>
      <c r="L16" s="188" t="str">
        <f t="shared" ca="1" si="17"/>
        <v/>
      </c>
      <c r="M16" s="189" t="str">
        <f t="shared" ca="1" si="18"/>
        <v/>
      </c>
      <c r="N16" s="190" t="str">
        <f t="shared" ca="1" si="19"/>
        <v/>
      </c>
      <c r="O16" s="193" t="str">
        <f t="shared" ca="1" si="20"/>
        <v/>
      </c>
      <c r="P16" s="197" t="str">
        <f t="shared" ca="1" si="21"/>
        <v/>
      </c>
    </row>
    <row r="17" spans="1:16" ht="20.25" x14ac:dyDescent="0.25">
      <c r="A17" s="448">
        <f>'הרכב חברי וועדה'!A17</f>
        <v>7</v>
      </c>
      <c r="B17" s="425" t="str">
        <f ca="1">'הרכב חברי וועדה'!B17</f>
        <v/>
      </c>
      <c r="C17" s="182" t="str">
        <f ca="1">'הרכב חברי וועדה'!H17</f>
        <v/>
      </c>
      <c r="D17" s="183" t="str">
        <f t="shared" ca="1" si="12"/>
        <v/>
      </c>
      <c r="E17" s="556" t="str">
        <f>'סיכום לועדה- הזנת נתונים'!N37</f>
        <v/>
      </c>
      <c r="F17" s="188" t="str">
        <f t="shared" ca="1" si="13"/>
        <v/>
      </c>
      <c r="G17" s="189" t="str">
        <f t="shared" ca="1" si="14"/>
        <v/>
      </c>
      <c r="H17" s="188" t="str">
        <f t="shared" ca="1" si="15"/>
        <v/>
      </c>
      <c r="I17" s="189" t="str">
        <f t="shared" ca="1" si="14"/>
        <v/>
      </c>
      <c r="J17" s="188" t="str">
        <f t="shared" ca="1" si="15"/>
        <v/>
      </c>
      <c r="K17" s="189" t="str">
        <f t="shared" ca="1" si="16"/>
        <v/>
      </c>
      <c r="L17" s="188" t="str">
        <f t="shared" ca="1" si="17"/>
        <v/>
      </c>
      <c r="M17" s="189" t="str">
        <f t="shared" ca="1" si="18"/>
        <v/>
      </c>
      <c r="N17" s="190" t="str">
        <f t="shared" ca="1" si="19"/>
        <v/>
      </c>
      <c r="O17" s="193" t="str">
        <f t="shared" ca="1" si="20"/>
        <v/>
      </c>
      <c r="P17" s="197" t="str">
        <f t="shared" ca="1" si="21"/>
        <v/>
      </c>
    </row>
    <row r="18" spans="1:16" ht="20.25" x14ac:dyDescent="0.25">
      <c r="A18" s="448">
        <f>'הרכב חברי וועדה'!A18</f>
        <v>8</v>
      </c>
      <c r="B18" s="425" t="str">
        <f ca="1">'הרכב חברי וועדה'!B18</f>
        <v>ננפואטיקה (עמותת מקום לשירה)</v>
      </c>
      <c r="C18" s="182">
        <f ca="1">'הרכב חברי וועדה'!H18</f>
        <v>7.3269709495808188E-2</v>
      </c>
      <c r="D18" s="183">
        <f t="shared" ca="1" si="12"/>
        <v>139719.03481348959</v>
      </c>
      <c r="E18" s="556">
        <f>'סיכום לועדה- הזנת נתונים'!N38</f>
        <v>170000</v>
      </c>
      <c r="F18" s="188">
        <f t="shared" ca="1" si="13"/>
        <v>1</v>
      </c>
      <c r="G18" s="189">
        <f t="shared" ca="1" si="14"/>
        <v>141968.77580814355</v>
      </c>
      <c r="H18" s="188">
        <f t="shared" ca="1" si="15"/>
        <v>1</v>
      </c>
      <c r="I18" s="189">
        <f t="shared" ca="1" si="14"/>
        <v>141968.77580814355</v>
      </c>
      <c r="J18" s="188">
        <f t="shared" ca="1" si="15"/>
        <v>1</v>
      </c>
      <c r="K18" s="189">
        <f t="shared" ca="1" si="16"/>
        <v>141968.77580814355</v>
      </c>
      <c r="L18" s="188">
        <f t="shared" ca="1" si="17"/>
        <v>1</v>
      </c>
      <c r="M18" s="189">
        <f t="shared" ca="1" si="18"/>
        <v>141968.77580814355</v>
      </c>
      <c r="N18" s="190">
        <f t="shared" ca="1" si="19"/>
        <v>7.4449490542386046E-2</v>
      </c>
      <c r="O18" s="193">
        <f t="shared" ca="1" si="20"/>
        <v>141968.77580814355</v>
      </c>
      <c r="P18" s="197">
        <f t="shared" ca="1" si="21"/>
        <v>0</v>
      </c>
    </row>
    <row r="19" spans="1:16" ht="20.25" x14ac:dyDescent="0.25">
      <c r="A19" s="448">
        <f>'הרכב חברי וועדה'!A19</f>
        <v>9</v>
      </c>
      <c r="B19" s="425" t="str">
        <f ca="1">'הרכב חברי וועדה'!B19</f>
        <v>מאזניים (אגודת הסופרים העבריים)</v>
      </c>
      <c r="C19" s="182">
        <f ca="1">'הרכב חברי וועדה'!H19</f>
        <v>8.2026447142758599E-2</v>
      </c>
      <c r="D19" s="183">
        <f t="shared" ca="1" si="12"/>
        <v>156417.38042678637</v>
      </c>
      <c r="E19" s="556">
        <f>'סיכום לועדה- הזנת נתונים'!N39</f>
        <v>220000</v>
      </c>
      <c r="F19" s="188">
        <f t="shared" ca="1" si="13"/>
        <v>1</v>
      </c>
      <c r="G19" s="189">
        <f t="shared" ca="1" si="14"/>
        <v>158935.99640128316</v>
      </c>
      <c r="H19" s="188">
        <f t="shared" ca="1" si="15"/>
        <v>1</v>
      </c>
      <c r="I19" s="189">
        <f t="shared" ca="1" si="14"/>
        <v>158935.99640128316</v>
      </c>
      <c r="J19" s="188">
        <f t="shared" ca="1" si="15"/>
        <v>1</v>
      </c>
      <c r="K19" s="189">
        <f t="shared" ca="1" si="16"/>
        <v>158935.99640128316</v>
      </c>
      <c r="L19" s="188">
        <f t="shared" ca="1" si="17"/>
        <v>1</v>
      </c>
      <c r="M19" s="189">
        <f t="shared" ca="1" si="18"/>
        <v>158935.99640128316</v>
      </c>
      <c r="N19" s="190">
        <f t="shared" ca="1" si="19"/>
        <v>8.3347228244841226E-2</v>
      </c>
      <c r="O19" s="193">
        <f t="shared" ca="1" si="20"/>
        <v>158935.99640128316</v>
      </c>
      <c r="P19" s="197">
        <f t="shared" ca="1" si="21"/>
        <v>0</v>
      </c>
    </row>
    <row r="20" spans="1:16" ht="20.25" x14ac:dyDescent="0.25">
      <c r="A20" s="448">
        <f>'הרכב חברי וועדה'!A20</f>
        <v>10</v>
      </c>
      <c r="B20" s="425" t="str">
        <f ca="1">'הרכב חברי וועדה'!B20</f>
        <v>משיב הרוח</v>
      </c>
      <c r="C20" s="182">
        <f ca="1">'הרכב חברי וועדה'!H20</f>
        <v>7.6763016655306354E-2</v>
      </c>
      <c r="D20" s="183">
        <f t="shared" ca="1" si="12"/>
        <v>146380.47114223687</v>
      </c>
      <c r="E20" s="556">
        <f>'סיכום לועדה- הזנת נתונים'!N40</f>
        <v>300000</v>
      </c>
      <c r="F20" s="188">
        <f t="shared" ca="1" si="13"/>
        <v>1</v>
      </c>
      <c r="G20" s="189">
        <f t="shared" ca="1" si="14"/>
        <v>148737.47387407691</v>
      </c>
      <c r="H20" s="188">
        <f t="shared" ca="1" si="15"/>
        <v>1</v>
      </c>
      <c r="I20" s="189">
        <f t="shared" ca="1" si="14"/>
        <v>148737.47387407691</v>
      </c>
      <c r="J20" s="188">
        <f t="shared" ca="1" si="15"/>
        <v>1</v>
      </c>
      <c r="K20" s="189">
        <f t="shared" ca="1" si="16"/>
        <v>148737.47387407691</v>
      </c>
      <c r="L20" s="188">
        <f t="shared" ca="1" si="17"/>
        <v>1</v>
      </c>
      <c r="M20" s="189">
        <f t="shared" ca="1" si="18"/>
        <v>148737.47387407691</v>
      </c>
      <c r="N20" s="190">
        <f t="shared" ca="1" si="19"/>
        <v>7.7999046561133281E-2</v>
      </c>
      <c r="O20" s="193">
        <f t="shared" ca="1" si="20"/>
        <v>148737.47387407691</v>
      </c>
      <c r="P20" s="197">
        <f t="shared" ca="1" si="21"/>
        <v>0</v>
      </c>
    </row>
    <row r="21" spans="1:16" ht="20.25" x14ac:dyDescent="0.25">
      <c r="A21" s="448">
        <f>'הרכב חברי וועדה'!A21</f>
        <v>11</v>
      </c>
      <c r="B21" s="425" t="str">
        <f ca="1">'הרכב חברי וועדה'!B21</f>
        <v>עמדה (עמותת מונטן)</v>
      </c>
      <c r="C21" s="182">
        <f ca="1">'הרכב חברי וועדה'!H21</f>
        <v>2.2051621708747134E-2</v>
      </c>
      <c r="D21" s="183">
        <f t="shared" ca="1" si="12"/>
        <v>42050.54615911383</v>
      </c>
      <c r="E21" s="556">
        <f>'סיכום לועדה- הזנת נתונים'!N41</f>
        <v>34000</v>
      </c>
      <c r="F21" s="188">
        <f t="shared" ca="1" si="13"/>
        <v>2</v>
      </c>
      <c r="G21" s="189">
        <f t="shared" ca="1" si="14"/>
        <v>34000</v>
      </c>
      <c r="H21" s="188">
        <f t="shared" ca="1" si="15"/>
        <v>2</v>
      </c>
      <c r="I21" s="189">
        <f t="shared" ca="1" si="14"/>
        <v>34000</v>
      </c>
      <c r="J21" s="188">
        <f t="shared" ca="1" si="15"/>
        <v>2</v>
      </c>
      <c r="K21" s="189">
        <f t="shared" ca="1" si="16"/>
        <v>34000</v>
      </c>
      <c r="L21" s="188">
        <f t="shared" ca="1" si="17"/>
        <v>2</v>
      </c>
      <c r="M21" s="189">
        <f t="shared" ca="1" si="18"/>
        <v>34000</v>
      </c>
      <c r="N21" s="190">
        <f t="shared" ca="1" si="19"/>
        <v>1.7829854938397852E-2</v>
      </c>
      <c r="O21" s="193">
        <f t="shared" ca="1" si="20"/>
        <v>34000</v>
      </c>
      <c r="P21" s="197">
        <f t="shared" ca="1" si="21"/>
        <v>8050.5461591138301</v>
      </c>
    </row>
    <row r="22" spans="1:16" ht="20.25" x14ac:dyDescent="0.25">
      <c r="A22" s="448">
        <f>'הרכב חברי וועדה'!A22</f>
        <v>12</v>
      </c>
      <c r="B22" s="425" t="str">
        <f ca="1">'הרכב חברי וועדה'!B22</f>
        <v>עתון 77 (אגודת סופרים ואמנים)</v>
      </c>
      <c r="C22" s="182">
        <f ca="1">'הרכב חברי וועדה'!H22</f>
        <v>6.9295935067949399E-2</v>
      </c>
      <c r="D22" s="183">
        <f t="shared" ca="1" si="12"/>
        <v>132141.38872416367</v>
      </c>
      <c r="E22" s="556">
        <f>'סיכום לועדה- הזנת נתונים'!N42</f>
        <v>300000</v>
      </c>
      <c r="F22" s="188">
        <f t="shared" ca="1" si="13"/>
        <v>1</v>
      </c>
      <c r="G22" s="189">
        <f t="shared" ca="1" si="14"/>
        <v>134269.11526979934</v>
      </c>
      <c r="H22" s="188">
        <f t="shared" ca="1" si="15"/>
        <v>1</v>
      </c>
      <c r="I22" s="189">
        <f t="shared" ca="1" si="14"/>
        <v>134269.11526979934</v>
      </c>
      <c r="J22" s="188">
        <f t="shared" ca="1" si="15"/>
        <v>1</v>
      </c>
      <c r="K22" s="189">
        <f t="shared" ca="1" si="16"/>
        <v>134269.11526979934</v>
      </c>
      <c r="L22" s="188">
        <f t="shared" ca="1" si="17"/>
        <v>1</v>
      </c>
      <c r="M22" s="189">
        <f t="shared" ca="1" si="18"/>
        <v>134269.11526979934</v>
      </c>
      <c r="N22" s="190">
        <f t="shared" ca="1" si="19"/>
        <v>7.0411730822574764E-2</v>
      </c>
      <c r="O22" s="193">
        <f t="shared" ca="1" si="20"/>
        <v>134269.11526979934</v>
      </c>
      <c r="P22" s="197">
        <f t="shared" ca="1" si="21"/>
        <v>0</v>
      </c>
    </row>
    <row r="23" spans="1:16" ht="20.25" x14ac:dyDescent="0.25">
      <c r="A23" s="448">
        <f>'הרכב חברי וועדה'!A23</f>
        <v>13</v>
      </c>
      <c r="B23" s="425" t="str">
        <f ca="1">'הרכב חברי וועדה'!B23</f>
        <v/>
      </c>
      <c r="C23" s="182" t="str">
        <f ca="1">'הרכב חברי וועדה'!H23</f>
        <v/>
      </c>
      <c r="D23" s="183" t="str">
        <f t="shared" ca="1" si="12"/>
        <v/>
      </c>
      <c r="E23" s="556" t="str">
        <f>'סיכום לועדה- הזנת נתונים'!N43</f>
        <v/>
      </c>
      <c r="F23" s="188" t="str">
        <f t="shared" ca="1" si="13"/>
        <v/>
      </c>
      <c r="G23" s="189" t="str">
        <f t="shared" ca="1" si="14"/>
        <v/>
      </c>
      <c r="H23" s="188" t="str">
        <f t="shared" ca="1" si="15"/>
        <v/>
      </c>
      <c r="I23" s="189" t="str">
        <f t="shared" ca="1" si="14"/>
        <v/>
      </c>
      <c r="J23" s="188" t="str">
        <f t="shared" ca="1" si="15"/>
        <v/>
      </c>
      <c r="K23" s="189" t="str">
        <f t="shared" ca="1" si="16"/>
        <v/>
      </c>
      <c r="L23" s="188" t="str">
        <f t="shared" ca="1" si="17"/>
        <v/>
      </c>
      <c r="M23" s="189" t="str">
        <f t="shared" ca="1" si="18"/>
        <v/>
      </c>
      <c r="N23" s="190" t="str">
        <f t="shared" ca="1" si="19"/>
        <v/>
      </c>
      <c r="O23" s="193" t="str">
        <f t="shared" ca="1" si="20"/>
        <v/>
      </c>
      <c r="P23" s="197" t="str">
        <f t="shared" ca="1" si="21"/>
        <v/>
      </c>
    </row>
    <row r="24" spans="1:16" ht="20.25" x14ac:dyDescent="0.25">
      <c r="A24" s="448">
        <f>'הרכב חברי וועדה'!A24</f>
        <v>14</v>
      </c>
      <c r="B24" s="425" t="str">
        <f ca="1">'הרכב חברי וועדה'!B24</f>
        <v>פסיפס</v>
      </c>
      <c r="C24" s="182">
        <f ca="1">'הרכב חברי וועדה'!H24</f>
        <v>1.9898602949996728E-2</v>
      </c>
      <c r="D24" s="183">
        <f t="shared" ca="1" si="12"/>
        <v>37944.924545790062</v>
      </c>
      <c r="E24" s="556">
        <f>'סיכום לועדה- הזנת נתונים'!N44</f>
        <v>90000</v>
      </c>
      <c r="F24" s="188">
        <f t="shared" ca="1" si="13"/>
        <v>1</v>
      </c>
      <c r="G24" s="189">
        <f t="shared" ca="1" si="14"/>
        <v>38555.909673218623</v>
      </c>
      <c r="H24" s="188">
        <f t="shared" ca="1" si="15"/>
        <v>1</v>
      </c>
      <c r="I24" s="189">
        <f t="shared" ca="1" si="14"/>
        <v>38555.909673218623</v>
      </c>
      <c r="J24" s="188">
        <f t="shared" ca="1" si="15"/>
        <v>1</v>
      </c>
      <c r="K24" s="189">
        <f t="shared" ca="1" si="16"/>
        <v>38555.909673218623</v>
      </c>
      <c r="L24" s="188">
        <f t="shared" ca="1" si="17"/>
        <v>1</v>
      </c>
      <c r="M24" s="189">
        <f t="shared" ca="1" si="18"/>
        <v>38555.909673218623</v>
      </c>
      <c r="N24" s="190">
        <f t="shared" ca="1" si="19"/>
        <v>2.0219008132101722E-2</v>
      </c>
      <c r="O24" s="193">
        <f t="shared" ca="1" si="20"/>
        <v>38555.909673218623</v>
      </c>
      <c r="P24" s="197">
        <f t="shared" ca="1" si="21"/>
        <v>0</v>
      </c>
    </row>
    <row r="25" spans="1:16" ht="20.25" x14ac:dyDescent="0.25">
      <c r="A25" s="448">
        <f>'הרכב חברי וועדה'!A25</f>
        <v>15</v>
      </c>
      <c r="B25" s="425" t="str">
        <f ca="1">'הרכב חברי וועדה'!B25</f>
        <v>קתרזיס ( עמותת מצרף)</v>
      </c>
      <c r="C25" s="182">
        <f ca="1">'הרכב חברי וועדה'!H25</f>
        <v>1.8362934900924884E-2</v>
      </c>
      <c r="D25" s="183">
        <f t="shared" ca="1" si="12"/>
        <v>35016.537643662276</v>
      </c>
      <c r="E25" s="556">
        <f>'סיכום לועדה- הזנת נתונים'!N45</f>
        <v>29000</v>
      </c>
      <c r="F25" s="188">
        <f t="shared" ca="1" si="13"/>
        <v>2</v>
      </c>
      <c r="G25" s="189">
        <f t="shared" ca="1" si="14"/>
        <v>29000</v>
      </c>
      <c r="H25" s="188">
        <f t="shared" ca="1" si="15"/>
        <v>2</v>
      </c>
      <c r="I25" s="189">
        <f t="shared" ca="1" si="14"/>
        <v>29000</v>
      </c>
      <c r="J25" s="188">
        <f t="shared" ca="1" si="15"/>
        <v>2</v>
      </c>
      <c r="K25" s="189">
        <f t="shared" ca="1" si="16"/>
        <v>29000</v>
      </c>
      <c r="L25" s="188">
        <f t="shared" ca="1" si="17"/>
        <v>2</v>
      </c>
      <c r="M25" s="189">
        <f t="shared" ca="1" si="18"/>
        <v>29000</v>
      </c>
      <c r="N25" s="190">
        <f t="shared" ca="1" si="19"/>
        <v>1.520781744745699E-2</v>
      </c>
      <c r="O25" s="193">
        <f t="shared" ca="1" si="20"/>
        <v>29000</v>
      </c>
      <c r="P25" s="197">
        <f t="shared" ca="1" si="21"/>
        <v>6016.5376436622755</v>
      </c>
    </row>
    <row r="26" spans="1:16" ht="20.25" x14ac:dyDescent="0.25">
      <c r="A26" s="448">
        <f>'הרכב חברי וועדה'!A26</f>
        <v>16</v>
      </c>
      <c r="B26" s="425" t="str">
        <f ca="1">'הרכב חברי וועדה'!B26</f>
        <v/>
      </c>
      <c r="C26" s="182" t="str">
        <f ca="1">'הרכב חברי וועדה'!H26</f>
        <v/>
      </c>
      <c r="D26" s="183" t="str">
        <f t="shared" ca="1" si="12"/>
        <v/>
      </c>
      <c r="E26" s="556" t="str">
        <f>'סיכום לועדה- הזנת נתונים'!N46</f>
        <v/>
      </c>
      <c r="F26" s="188" t="str">
        <f t="shared" ca="1" si="13"/>
        <v/>
      </c>
      <c r="G26" s="189" t="str">
        <f t="shared" ca="1" si="14"/>
        <v/>
      </c>
      <c r="H26" s="188" t="str">
        <f t="shared" ca="1" si="15"/>
        <v/>
      </c>
      <c r="I26" s="189" t="str">
        <f t="shared" ca="1" si="14"/>
        <v/>
      </c>
      <c r="J26" s="188" t="str">
        <f t="shared" ca="1" si="15"/>
        <v/>
      </c>
      <c r="K26" s="189" t="str">
        <f t="shared" ca="1" si="16"/>
        <v/>
      </c>
      <c r="L26" s="188" t="str">
        <f t="shared" ca="1" si="17"/>
        <v/>
      </c>
      <c r="M26" s="189" t="str">
        <f t="shared" ca="1" si="18"/>
        <v/>
      </c>
      <c r="N26" s="190" t="str">
        <f t="shared" ca="1" si="19"/>
        <v/>
      </c>
      <c r="O26" s="193" t="str">
        <f t="shared" ca="1" si="20"/>
        <v/>
      </c>
      <c r="P26" s="197" t="str">
        <f t="shared" ca="1" si="21"/>
        <v/>
      </c>
    </row>
    <row r="27" spans="1:16" ht="20.25" x14ac:dyDescent="0.25">
      <c r="A27" s="448">
        <f>'הרכב חברי וועדה'!A27</f>
        <v>17</v>
      </c>
      <c r="B27" s="425" t="str">
        <f ca="1">'הרכב חברי וועדה'!B27</f>
        <v>הכיוון מזרח (עמותת אחותי)</v>
      </c>
      <c r="C27" s="182">
        <f ca="1">'הרכב חברי וועדה'!H27</f>
        <v>5.071324760112058E-2</v>
      </c>
      <c r="D27" s="183">
        <f t="shared" ca="1" si="12"/>
        <v>96705.801836043247</v>
      </c>
      <c r="E27" s="556">
        <f>'סיכום לועדה- הזנת נתונים'!N47</f>
        <v>180000</v>
      </c>
      <c r="F27" s="188">
        <f t="shared" ca="1" si="13"/>
        <v>1</v>
      </c>
      <c r="G27" s="189">
        <f t="shared" ca="1" si="14"/>
        <v>98262.948341541589</v>
      </c>
      <c r="H27" s="188">
        <f t="shared" ca="1" si="15"/>
        <v>1</v>
      </c>
      <c r="I27" s="189">
        <f t="shared" ca="1" si="14"/>
        <v>98262.948341541589</v>
      </c>
      <c r="J27" s="188">
        <f t="shared" ca="1" si="15"/>
        <v>1</v>
      </c>
      <c r="K27" s="189">
        <f t="shared" ca="1" si="16"/>
        <v>98262.948341541589</v>
      </c>
      <c r="L27" s="188">
        <f t="shared" ca="1" si="17"/>
        <v>1</v>
      </c>
      <c r="M27" s="189">
        <f t="shared" ca="1" si="18"/>
        <v>98262.948341541589</v>
      </c>
      <c r="N27" s="190">
        <f t="shared" ca="1" si="19"/>
        <v>5.1529826904381418E-2</v>
      </c>
      <c r="O27" s="193">
        <f t="shared" ca="1" si="20"/>
        <v>98262.948341541589</v>
      </c>
      <c r="P27" s="197">
        <f t="shared" ca="1" si="21"/>
        <v>0</v>
      </c>
    </row>
    <row r="28" spans="1:16" ht="20.25" x14ac:dyDescent="0.25">
      <c r="A28" s="448">
        <f>'הרכב חברי וועדה'!A28</f>
        <v>18</v>
      </c>
      <c r="B28" s="425" t="str">
        <f ca="1">'הרכב חברי וועדה'!B28</f>
        <v/>
      </c>
      <c r="C28" s="182" t="str">
        <f ca="1">'הרכב חברי וועדה'!H28</f>
        <v/>
      </c>
      <c r="D28" s="183" t="str">
        <f t="shared" ca="1" si="12"/>
        <v/>
      </c>
      <c r="E28" s="556" t="str">
        <f>'סיכום לועדה- הזנת נתונים'!N48</f>
        <v/>
      </c>
      <c r="F28" s="188" t="str">
        <f t="shared" ca="1" si="13"/>
        <v/>
      </c>
      <c r="G28" s="189" t="str">
        <f t="shared" ca="1" si="14"/>
        <v/>
      </c>
      <c r="H28" s="188" t="str">
        <f t="shared" ca="1" si="15"/>
        <v/>
      </c>
      <c r="I28" s="189" t="str">
        <f t="shared" ca="1" si="14"/>
        <v/>
      </c>
      <c r="J28" s="188" t="str">
        <f t="shared" ca="1" si="15"/>
        <v/>
      </c>
      <c r="K28" s="189" t="str">
        <f t="shared" ca="1" si="16"/>
        <v/>
      </c>
      <c r="L28" s="188" t="str">
        <f t="shared" ca="1" si="17"/>
        <v/>
      </c>
      <c r="M28" s="189" t="str">
        <f t="shared" ca="1" si="18"/>
        <v/>
      </c>
      <c r="N28" s="190" t="str">
        <f t="shared" ca="1" si="19"/>
        <v/>
      </c>
      <c r="O28" s="193" t="str">
        <f t="shared" ca="1" si="20"/>
        <v/>
      </c>
      <c r="P28" s="197" t="str">
        <f t="shared" ca="1" si="21"/>
        <v/>
      </c>
    </row>
    <row r="29" spans="1:16" ht="20.25" x14ac:dyDescent="0.25">
      <c r="A29" s="448">
        <f>'הרכב חברי וועדה'!A29</f>
        <v>19</v>
      </c>
      <c r="B29" s="425" t="str">
        <f ca="1">'הרכב חברי וועדה'!B29</f>
        <v>הו</v>
      </c>
      <c r="C29" s="182">
        <f ca="1">'הרכב חברי וועדה'!H29</f>
        <v>5.1682321784143524E-2</v>
      </c>
      <c r="D29" s="183">
        <f t="shared" ca="1" si="12"/>
        <v>98553.742962688266</v>
      </c>
      <c r="E29" s="556">
        <f>'סיכום לועדה- הזנת נתונים'!N49</f>
        <v>180000</v>
      </c>
      <c r="F29" s="188">
        <f t="shared" ca="1" si="13"/>
        <v>1</v>
      </c>
      <c r="G29" s="189">
        <f t="shared" ca="1" si="14"/>
        <v>100140.64481908687</v>
      </c>
      <c r="H29" s="188">
        <f t="shared" ca="1" si="15"/>
        <v>1</v>
      </c>
      <c r="I29" s="189">
        <f t="shared" ca="1" si="14"/>
        <v>100140.64481908687</v>
      </c>
      <c r="J29" s="188">
        <f t="shared" ca="1" si="15"/>
        <v>1</v>
      </c>
      <c r="K29" s="189">
        <f t="shared" ca="1" si="16"/>
        <v>100140.64481908687</v>
      </c>
      <c r="L29" s="188">
        <f t="shared" ca="1" si="17"/>
        <v>1</v>
      </c>
      <c r="M29" s="189">
        <f t="shared" ca="1" si="18"/>
        <v>100140.64481908687</v>
      </c>
      <c r="N29" s="190">
        <f t="shared" ca="1" si="19"/>
        <v>5.2514505016527685E-2</v>
      </c>
      <c r="O29" s="193">
        <f t="shared" ca="1" si="20"/>
        <v>100140.64481908687</v>
      </c>
      <c r="P29" s="197">
        <f t="shared" ca="1" si="21"/>
        <v>0</v>
      </c>
    </row>
    <row r="30" spans="1:16" ht="20.25" x14ac:dyDescent="0.25">
      <c r="A30" s="448">
        <f>'הרכב חברי וועדה'!A30</f>
        <v>20</v>
      </c>
      <c r="B30" s="425" t="str">
        <f ca="1">'הרכב חברי וועדה'!B30</f>
        <v>הבא להבא (עמותת מקום לשירה)</v>
      </c>
      <c r="C30" s="182">
        <f ca="1">'הרכב חברי וועדה'!H30</f>
        <v>3.9173026897813025E-2</v>
      </c>
      <c r="D30" s="183">
        <f t="shared" ca="1" si="12"/>
        <v>74699.593413816227</v>
      </c>
      <c r="E30" s="556">
        <f>'סיכום לועדה- הזנת נתונים'!N50</f>
        <v>80000</v>
      </c>
      <c r="F30" s="188">
        <f t="shared" ca="1" si="13"/>
        <v>1</v>
      </c>
      <c r="G30" s="189">
        <f t="shared" ca="1" si="14"/>
        <v>75902.39829871527</v>
      </c>
      <c r="H30" s="188">
        <f t="shared" ca="1" si="15"/>
        <v>1</v>
      </c>
      <c r="I30" s="189">
        <f t="shared" ca="1" si="14"/>
        <v>75902.39829871527</v>
      </c>
      <c r="J30" s="188">
        <f t="shared" ca="1" si="15"/>
        <v>1</v>
      </c>
      <c r="K30" s="189">
        <f t="shared" ca="1" si="16"/>
        <v>75902.39829871527</v>
      </c>
      <c r="L30" s="188">
        <f t="shared" ca="1" si="17"/>
        <v>1</v>
      </c>
      <c r="M30" s="189">
        <f t="shared" ca="1" si="18"/>
        <v>75902.39829871527</v>
      </c>
      <c r="N30" s="190">
        <f t="shared" ca="1" si="19"/>
        <v>3.9803786798311445E-2</v>
      </c>
      <c r="O30" s="193">
        <f t="shared" ca="1" si="20"/>
        <v>75902.39829871527</v>
      </c>
      <c r="P30" s="197">
        <f t="shared" ca="1" si="21"/>
        <v>0</v>
      </c>
    </row>
    <row r="31" spans="1:16" ht="20.25" x14ac:dyDescent="0.25">
      <c r="A31" s="448">
        <f>'הרכב חברי וועדה'!A31</f>
        <v>21</v>
      </c>
      <c r="B31" s="425" t="str">
        <f ca="1">'הרכב חברי וועדה'!B31</f>
        <v>היסטוריה (החברה ההיסטורית הישרא</v>
      </c>
      <c r="C31" s="182">
        <f ca="1">'הרכב חברי וועדה'!H31</f>
        <v>2.6481441007570657E-2</v>
      </c>
      <c r="D31" s="183">
        <f t="shared" ca="1" si="12"/>
        <v>50497.83059751059</v>
      </c>
      <c r="E31" s="556">
        <f>'סיכום לועדה- הזנת נתונים'!N51</f>
        <v>120000</v>
      </c>
      <c r="F31" s="188">
        <f t="shared" ca="1" si="13"/>
        <v>1</v>
      </c>
      <c r="G31" s="189">
        <f t="shared" ca="1" si="14"/>
        <v>51310.941279157974</v>
      </c>
      <c r="H31" s="188">
        <f t="shared" ca="1" si="15"/>
        <v>1</v>
      </c>
      <c r="I31" s="189">
        <f t="shared" ca="1" si="14"/>
        <v>51310.941279157974</v>
      </c>
      <c r="J31" s="188">
        <f t="shared" ca="1" si="15"/>
        <v>1</v>
      </c>
      <c r="K31" s="189">
        <f t="shared" ca="1" si="16"/>
        <v>51310.941279157974</v>
      </c>
      <c r="L31" s="188">
        <f t="shared" ca="1" si="17"/>
        <v>1</v>
      </c>
      <c r="M31" s="189">
        <f t="shared" ca="1" si="18"/>
        <v>51310.941279157974</v>
      </c>
      <c r="N31" s="190">
        <f t="shared" ca="1" si="19"/>
        <v>2.6907842345883441E-2</v>
      </c>
      <c r="O31" s="193">
        <f t="shared" ca="1" si="20"/>
        <v>51310.941279157974</v>
      </c>
      <c r="P31" s="197">
        <f t="shared" ca="1" si="21"/>
        <v>0</v>
      </c>
    </row>
    <row r="32" spans="1:16" ht="20.25" x14ac:dyDescent="0.25">
      <c r="A32" s="448">
        <f>'הרכב חברי וועדה'!A32</f>
        <v>22</v>
      </c>
      <c r="B32" s="425" t="str">
        <f ca="1">'הרכב חברי וועדה'!B32</f>
        <v>מחול עכשיו (תמונע)</v>
      </c>
      <c r="C32" s="182">
        <f ca="1">'הרכב חברי וועדה'!H32</f>
        <v>3.28999935291951E-2</v>
      </c>
      <c r="D32" s="183">
        <f t="shared" ca="1" si="12"/>
        <v>62737.458260731546</v>
      </c>
      <c r="E32" s="556">
        <f>'סיכום לועדה- הזנת נתונים'!N52</f>
        <v>60000</v>
      </c>
      <c r="F32" s="188">
        <f t="shared" ca="1" si="13"/>
        <v>2</v>
      </c>
      <c r="G32" s="189">
        <f t="shared" ca="1" si="14"/>
        <v>60000</v>
      </c>
      <c r="H32" s="188">
        <f t="shared" ca="1" si="15"/>
        <v>2</v>
      </c>
      <c r="I32" s="189">
        <f t="shared" ca="1" si="14"/>
        <v>60000</v>
      </c>
      <c r="J32" s="188">
        <f t="shared" ca="1" si="15"/>
        <v>2</v>
      </c>
      <c r="K32" s="189">
        <f t="shared" ca="1" si="16"/>
        <v>60000</v>
      </c>
      <c r="L32" s="188">
        <f t="shared" ca="1" si="17"/>
        <v>2</v>
      </c>
      <c r="M32" s="189">
        <f t="shared" ca="1" si="18"/>
        <v>60000</v>
      </c>
      <c r="N32" s="190">
        <f t="shared" ca="1" si="19"/>
        <v>3.1464449891290325E-2</v>
      </c>
      <c r="O32" s="193">
        <f t="shared" ca="1" si="20"/>
        <v>60000</v>
      </c>
      <c r="P32" s="197">
        <f t="shared" ca="1" si="21"/>
        <v>2737.458260731546</v>
      </c>
    </row>
    <row r="33" spans="1:16" ht="20.25" x14ac:dyDescent="0.25">
      <c r="A33" s="448">
        <f>'הרכב חברי וועדה'!A33</f>
        <v>23</v>
      </c>
      <c r="B33" s="425" t="str">
        <f ca="1">'הרכב חברי וועדה'!B33</f>
        <v>קול אישה שירה (תואר)</v>
      </c>
      <c r="C33" s="182">
        <f ca="1">'הרכב חברי וועדה'!H33</f>
        <v>4.4719456842143721E-2</v>
      </c>
      <c r="D33" s="183">
        <f t="shared" ca="1" si="12"/>
        <v>85276.158324679651</v>
      </c>
      <c r="E33" s="556">
        <f>'סיכום לועדה- הזנת נתונים'!N53</f>
        <v>75000</v>
      </c>
      <c r="F33" s="188">
        <f t="shared" ca="1" si="13"/>
        <v>2</v>
      </c>
      <c r="G33" s="189">
        <f t="shared" ca="1" si="14"/>
        <v>75000</v>
      </c>
      <c r="H33" s="188">
        <f t="shared" ca="1" si="15"/>
        <v>2</v>
      </c>
      <c r="I33" s="189">
        <f t="shared" ca="1" si="14"/>
        <v>75000</v>
      </c>
      <c r="J33" s="188">
        <f t="shared" ca="1" si="15"/>
        <v>2</v>
      </c>
      <c r="K33" s="189">
        <f t="shared" ca="1" si="16"/>
        <v>75000</v>
      </c>
      <c r="L33" s="188">
        <f t="shared" ca="1" si="17"/>
        <v>2</v>
      </c>
      <c r="M33" s="189">
        <f t="shared" ca="1" si="18"/>
        <v>75000</v>
      </c>
      <c r="N33" s="190">
        <f t="shared" ca="1" si="19"/>
        <v>3.9330562364112906E-2</v>
      </c>
      <c r="O33" s="193">
        <f t="shared" ca="1" si="20"/>
        <v>75000</v>
      </c>
      <c r="P33" s="197">
        <f t="shared" ca="1" si="21"/>
        <v>10276.158324679651</v>
      </c>
    </row>
    <row r="34" spans="1:16" ht="20.25" x14ac:dyDescent="0.25">
      <c r="A34" s="448">
        <f>'הרכב חברי וועדה'!A34</f>
        <v>24</v>
      </c>
      <c r="B34" s="425" t="str">
        <f ca="1">'הרכב חברי וועדה'!B34</f>
        <v>האיגוד העולמי למדעי היהדות</v>
      </c>
      <c r="C34" s="182">
        <f ca="1">'הרכב חברי וועדה'!H34</f>
        <v>3.3326603076683357E-2</v>
      </c>
      <c r="D34" s="183">
        <f t="shared" ca="1" si="12"/>
        <v>63550.965979370565</v>
      </c>
      <c r="E34" s="556">
        <f>'סיכום לועדה- הזנת נתונים'!N54</f>
        <v>180000</v>
      </c>
      <c r="F34" s="188">
        <f t="shared" ca="1" si="13"/>
        <v>1</v>
      </c>
      <c r="G34" s="189">
        <f t="shared" ca="1" si="14"/>
        <v>64574.256854550913</v>
      </c>
      <c r="H34" s="188">
        <f t="shared" ca="1" si="15"/>
        <v>1</v>
      </c>
      <c r="I34" s="189">
        <f t="shared" ca="1" si="14"/>
        <v>64574.256854550913</v>
      </c>
      <c r="J34" s="188">
        <f t="shared" ca="1" si="15"/>
        <v>1</v>
      </c>
      <c r="K34" s="189">
        <f t="shared" ca="1" si="16"/>
        <v>64574.256854550913</v>
      </c>
      <c r="L34" s="188">
        <f t="shared" ca="1" si="17"/>
        <v>1</v>
      </c>
      <c r="M34" s="189">
        <f t="shared" ca="1" si="18"/>
        <v>64574.256854550913</v>
      </c>
      <c r="N34" s="190">
        <f t="shared" ca="1" si="19"/>
        <v>3.3863224484455466E-2</v>
      </c>
      <c r="O34" s="193">
        <f t="shared" ca="1" si="20"/>
        <v>64574.256854550913</v>
      </c>
      <c r="P34" s="197">
        <f t="shared" ca="1" si="21"/>
        <v>0</v>
      </c>
    </row>
    <row r="35" spans="1:16" ht="20.25" x14ac:dyDescent="0.25">
      <c r="A35" s="448">
        <f>'הרכב חברי וועדה'!A35</f>
        <v>25</v>
      </c>
      <c r="B35" s="425" t="str">
        <f ca="1">'הרכב חברי וועדה'!B35</f>
        <v/>
      </c>
      <c r="C35" s="182" t="str">
        <f ca="1">'הרכב חברי וועדה'!H35</f>
        <v/>
      </c>
      <c r="D35" s="183" t="str">
        <f t="shared" ca="1" si="12"/>
        <v/>
      </c>
      <c r="E35" s="556" t="str">
        <f>'סיכום לועדה- הזנת נתונים'!N55</f>
        <v/>
      </c>
      <c r="F35" s="188" t="str">
        <f t="shared" ca="1" si="13"/>
        <v/>
      </c>
      <c r="G35" s="189" t="str">
        <f t="shared" ca="1" si="14"/>
        <v/>
      </c>
      <c r="H35" s="188" t="str">
        <f t="shared" ca="1" si="15"/>
        <v/>
      </c>
      <c r="I35" s="189" t="str">
        <f t="shared" ca="1" si="14"/>
        <v/>
      </c>
      <c r="J35" s="188" t="str">
        <f t="shared" ca="1" si="15"/>
        <v/>
      </c>
      <c r="K35" s="189" t="str">
        <f t="shared" ca="1" si="16"/>
        <v/>
      </c>
      <c r="L35" s="188" t="str">
        <f t="shared" ca="1" si="17"/>
        <v/>
      </c>
      <c r="M35" s="189" t="str">
        <f t="shared" ca="1" si="18"/>
        <v/>
      </c>
      <c r="N35" s="190" t="str">
        <f t="shared" ca="1" si="19"/>
        <v/>
      </c>
      <c r="O35" s="193" t="str">
        <f t="shared" ca="1" si="20"/>
        <v/>
      </c>
      <c r="P35" s="197" t="str">
        <f t="shared" ca="1" si="21"/>
        <v/>
      </c>
    </row>
    <row r="36" spans="1:16" ht="20.25" x14ac:dyDescent="0.25">
      <c r="A36" s="448">
        <f>'הרכב חברי וועדה'!A36</f>
        <v>26</v>
      </c>
      <c r="B36" s="425" t="str">
        <f ca="1">'הרכב חברי וועדה'!B36</f>
        <v/>
      </c>
      <c r="C36" s="182" t="str">
        <f ca="1">'הרכב חברי וועדה'!H36</f>
        <v/>
      </c>
      <c r="D36" s="183" t="str">
        <f t="shared" ca="1" si="12"/>
        <v/>
      </c>
      <c r="E36" s="556" t="str">
        <f>'סיכום לועדה- הזנת נתונים'!N56</f>
        <v/>
      </c>
      <c r="F36" s="188" t="str">
        <f t="shared" ca="1" si="13"/>
        <v/>
      </c>
      <c r="G36" s="189" t="str">
        <f t="shared" ca="1" si="14"/>
        <v/>
      </c>
      <c r="H36" s="188" t="str">
        <f t="shared" ca="1" si="15"/>
        <v/>
      </c>
      <c r="I36" s="189" t="str">
        <f t="shared" ca="1" si="14"/>
        <v/>
      </c>
      <c r="J36" s="188" t="str">
        <f t="shared" ca="1" si="15"/>
        <v/>
      </c>
      <c r="K36" s="189" t="str">
        <f t="shared" ca="1" si="16"/>
        <v/>
      </c>
      <c r="L36" s="188" t="str">
        <f t="shared" ca="1" si="17"/>
        <v/>
      </c>
      <c r="M36" s="189" t="str">
        <f t="shared" ca="1" si="18"/>
        <v/>
      </c>
      <c r="N36" s="190" t="str">
        <f t="shared" ca="1" si="19"/>
        <v/>
      </c>
      <c r="O36" s="193" t="str">
        <f t="shared" ca="1" si="20"/>
        <v/>
      </c>
      <c r="P36" s="197" t="str">
        <f t="shared" ca="1" si="21"/>
        <v/>
      </c>
    </row>
    <row r="37" spans="1:16" ht="20.25" x14ac:dyDescent="0.25">
      <c r="A37" s="448">
        <f>'הרכב חברי וועדה'!A37</f>
        <v>27</v>
      </c>
      <c r="B37" s="425" t="str">
        <f ca="1">'הרכב חברי וועדה'!B37</f>
        <v/>
      </c>
      <c r="C37" s="182" t="str">
        <f ca="1">'הרכב חברי וועדה'!H37</f>
        <v/>
      </c>
      <c r="D37" s="183" t="str">
        <f t="shared" ca="1" si="12"/>
        <v/>
      </c>
      <c r="E37" s="556" t="str">
        <f>'סיכום לועדה- הזנת נתונים'!N57</f>
        <v/>
      </c>
      <c r="F37" s="188" t="str">
        <f t="shared" ca="1" si="13"/>
        <v/>
      </c>
      <c r="G37" s="189" t="str">
        <f t="shared" ca="1" si="14"/>
        <v/>
      </c>
      <c r="H37" s="188" t="str">
        <f t="shared" ca="1" si="15"/>
        <v/>
      </c>
      <c r="I37" s="189" t="str">
        <f t="shared" ca="1" si="14"/>
        <v/>
      </c>
      <c r="J37" s="188" t="str">
        <f t="shared" ca="1" si="15"/>
        <v/>
      </c>
      <c r="K37" s="189" t="str">
        <f t="shared" ca="1" si="16"/>
        <v/>
      </c>
      <c r="L37" s="188" t="str">
        <f t="shared" ca="1" si="17"/>
        <v/>
      </c>
      <c r="M37" s="189" t="str">
        <f t="shared" ca="1" si="18"/>
        <v/>
      </c>
      <c r="N37" s="190" t="str">
        <f t="shared" ca="1" si="19"/>
        <v/>
      </c>
      <c r="O37" s="193" t="str">
        <f t="shared" ca="1" si="20"/>
        <v/>
      </c>
      <c r="P37" s="197" t="str">
        <f t="shared" ca="1" si="21"/>
        <v/>
      </c>
    </row>
    <row r="38" spans="1:16" ht="20.25" x14ac:dyDescent="0.25">
      <c r="A38" s="448">
        <f>'הרכב חברי וועדה'!A38</f>
        <v>28</v>
      </c>
      <c r="B38" s="425" t="str">
        <f ca="1">'הרכב חברי וועדה'!B38</f>
        <v/>
      </c>
      <c r="C38" s="182" t="str">
        <f ca="1">'הרכב חברי וועדה'!H38</f>
        <v/>
      </c>
      <c r="D38" s="183" t="str">
        <f t="shared" ca="1" si="12"/>
        <v/>
      </c>
      <c r="E38" s="556" t="str">
        <f>'סיכום לועדה- הזנת נתונים'!N58</f>
        <v/>
      </c>
      <c r="F38" s="188" t="str">
        <f t="shared" ca="1" si="13"/>
        <v/>
      </c>
      <c r="G38" s="189" t="str">
        <f t="shared" ca="1" si="14"/>
        <v/>
      </c>
      <c r="H38" s="188" t="str">
        <f t="shared" ca="1" si="15"/>
        <v/>
      </c>
      <c r="I38" s="189" t="str">
        <f t="shared" ca="1" si="14"/>
        <v/>
      </c>
      <c r="J38" s="188" t="str">
        <f t="shared" ca="1" si="15"/>
        <v/>
      </c>
      <c r="K38" s="189" t="str">
        <f t="shared" ca="1" si="16"/>
        <v/>
      </c>
      <c r="L38" s="188" t="str">
        <f t="shared" ca="1" si="17"/>
        <v/>
      </c>
      <c r="M38" s="189" t="str">
        <f t="shared" ca="1" si="18"/>
        <v/>
      </c>
      <c r="N38" s="190" t="str">
        <f t="shared" ca="1" si="19"/>
        <v/>
      </c>
      <c r="O38" s="193" t="str">
        <f t="shared" ca="1" si="20"/>
        <v/>
      </c>
      <c r="P38" s="197" t="str">
        <f t="shared" ca="1" si="21"/>
        <v/>
      </c>
    </row>
    <row r="39" spans="1:16" ht="20.25" x14ac:dyDescent="0.25">
      <c r="A39" s="448">
        <f>'הרכב חברי וועדה'!A39</f>
        <v>29</v>
      </c>
      <c r="B39" s="425" t="str">
        <f ca="1">'הרכב חברי וועדה'!B39</f>
        <v>גופא (נתיב האומן )</v>
      </c>
      <c r="C39" s="182">
        <f ca="1">'הרכב חברי וועדה'!H39</f>
        <v>2.3109225394746174E-2</v>
      </c>
      <c r="D39" s="183">
        <f t="shared" ca="1" si="12"/>
        <v>44067.305434397007</v>
      </c>
      <c r="E39" s="556">
        <f>'סיכום לועדה- הזנת נתונים'!N59</f>
        <v>250000</v>
      </c>
      <c r="F39" s="188">
        <f t="shared" ca="1" si="13"/>
        <v>1</v>
      </c>
      <c r="G39" s="189">
        <f t="shared" ca="1" si="14"/>
        <v>44776.872485815889</v>
      </c>
      <c r="H39" s="188">
        <f t="shared" ca="1" si="15"/>
        <v>1</v>
      </c>
      <c r="I39" s="189">
        <f t="shared" ca="1" si="14"/>
        <v>44776.872485815889</v>
      </c>
      <c r="J39" s="188">
        <f t="shared" ca="1" si="15"/>
        <v>1</v>
      </c>
      <c r="K39" s="189">
        <f t="shared" ca="1" si="16"/>
        <v>44776.872485815889</v>
      </c>
      <c r="L39" s="188">
        <f t="shared" ca="1" si="17"/>
        <v>1</v>
      </c>
      <c r="M39" s="189">
        <f t="shared" ca="1" si="18"/>
        <v>44776.872485815889</v>
      </c>
      <c r="N39" s="190">
        <f t="shared" ca="1" si="19"/>
        <v>2.3481327676977509E-2</v>
      </c>
      <c r="O39" s="193">
        <f t="shared" ca="1" si="20"/>
        <v>44776.872485815889</v>
      </c>
      <c r="P39" s="197">
        <f t="shared" ca="1" si="21"/>
        <v>0</v>
      </c>
    </row>
    <row r="40" spans="1:16" ht="20.25" x14ac:dyDescent="0.25">
      <c r="A40" s="448">
        <f>'הרכב חברי וועדה'!A40</f>
        <v>30</v>
      </c>
      <c r="B40" s="425" t="str">
        <f ca="1">'הרכב חברי וועדה'!B40</f>
        <v>ערב רב (בר קיימא)</v>
      </c>
      <c r="C40" s="182">
        <f ca="1">'הרכב חברי וועדה'!H40</f>
        <v>3.4001501895750352E-2</v>
      </c>
      <c r="D40" s="183">
        <f t="shared" ca="1" si="12"/>
        <v>64837.939986032885</v>
      </c>
      <c r="E40" s="556">
        <f>'סיכום לועדה- הזנת נתונים'!N60</f>
        <v>150000</v>
      </c>
      <c r="F40" s="188">
        <f t="shared" ca="1" si="13"/>
        <v>1</v>
      </c>
      <c r="G40" s="189">
        <f t="shared" ca="1" si="14"/>
        <v>65881.953579386216</v>
      </c>
      <c r="H40" s="188">
        <f t="shared" ca="1" si="15"/>
        <v>1</v>
      </c>
      <c r="I40" s="189">
        <f t="shared" ca="1" si="14"/>
        <v>65881.953579386216</v>
      </c>
      <c r="J40" s="188">
        <f t="shared" ca="1" si="15"/>
        <v>1</v>
      </c>
      <c r="K40" s="189">
        <f t="shared" ca="1" si="16"/>
        <v>65881.953579386216</v>
      </c>
      <c r="L40" s="188">
        <f t="shared" ca="1" si="17"/>
        <v>1</v>
      </c>
      <c r="M40" s="189">
        <f t="shared" ca="1" si="18"/>
        <v>65881.953579386216</v>
      </c>
      <c r="N40" s="190">
        <f t="shared" ca="1" si="19"/>
        <v>3.4548990452315215E-2</v>
      </c>
      <c r="O40" s="193">
        <f t="shared" ca="1" si="20"/>
        <v>65881.953579386216</v>
      </c>
      <c r="P40" s="197">
        <f t="shared" ca="1" si="21"/>
        <v>0</v>
      </c>
    </row>
    <row r="41" spans="1:16" ht="20.25" x14ac:dyDescent="0.25">
      <c r="A41" s="448">
        <f>'הרכב חברי וועדה'!A41</f>
        <v>31</v>
      </c>
      <c r="B41" s="425" t="str">
        <f ca="1">'הרכב חברי וועדה'!B41</f>
        <v/>
      </c>
      <c r="C41" s="182" t="str">
        <f ca="1">'הרכב חברי וועדה'!H41</f>
        <v/>
      </c>
      <c r="D41" s="183" t="str">
        <f t="shared" ca="1" si="12"/>
        <v/>
      </c>
      <c r="E41" s="556" t="str">
        <f>'סיכום לועדה- הזנת נתונים'!N61</f>
        <v/>
      </c>
      <c r="F41" s="188" t="str">
        <f t="shared" ca="1" si="13"/>
        <v/>
      </c>
      <c r="G41" s="189" t="str">
        <f t="shared" ca="1" si="14"/>
        <v/>
      </c>
      <c r="H41" s="188" t="str">
        <f t="shared" ca="1" si="15"/>
        <v/>
      </c>
      <c r="I41" s="189" t="str">
        <f t="shared" ca="1" si="14"/>
        <v/>
      </c>
      <c r="J41" s="188" t="str">
        <f t="shared" ca="1" si="15"/>
        <v/>
      </c>
      <c r="K41" s="189" t="str">
        <f t="shared" ca="1" si="16"/>
        <v/>
      </c>
      <c r="L41" s="188" t="str">
        <f t="shared" ca="1" si="17"/>
        <v/>
      </c>
      <c r="M41" s="189" t="str">
        <f t="shared" ca="1" si="18"/>
        <v/>
      </c>
      <c r="N41" s="190" t="str">
        <f t="shared" ca="1" si="19"/>
        <v/>
      </c>
      <c r="O41" s="193" t="str">
        <f t="shared" ca="1" si="20"/>
        <v/>
      </c>
      <c r="P41" s="197" t="str">
        <f t="shared" ca="1" si="21"/>
        <v/>
      </c>
    </row>
    <row r="42" spans="1:16" ht="20.25" x14ac:dyDescent="0.25">
      <c r="A42" s="448">
        <f>'הרכב חברי וועדה'!A42</f>
        <v>32</v>
      </c>
      <c r="B42" s="425" t="str">
        <f ca="1">'הרכב חברי וועדה'!B42</f>
        <v>מעלה</v>
      </c>
      <c r="C42" s="182">
        <f ca="1">'הרכב חברי וועדה'!H42</f>
        <v>6.1990011963230437E-2</v>
      </c>
      <c r="D42" s="183">
        <f t="shared" ca="1" si="12"/>
        <v>118209.6216728516</v>
      </c>
      <c r="E42" s="556">
        <f>'סיכום לועדה- הזנת נתונים'!N62</f>
        <v>150000</v>
      </c>
      <c r="F42" s="188">
        <f t="shared" ca="1" si="13"/>
        <v>1</v>
      </c>
      <c r="G42" s="189">
        <f t="shared" ca="1" si="14"/>
        <v>120113.02039153693</v>
      </c>
      <c r="H42" s="188">
        <f t="shared" ca="1" si="15"/>
        <v>1</v>
      </c>
      <c r="I42" s="189">
        <f t="shared" ca="1" si="14"/>
        <v>120113.02039153693</v>
      </c>
      <c r="J42" s="188">
        <f t="shared" ca="1" si="15"/>
        <v>1</v>
      </c>
      <c r="K42" s="189">
        <f t="shared" ca="1" si="16"/>
        <v>120113.02039153693</v>
      </c>
      <c r="L42" s="188">
        <f t="shared" ca="1" si="17"/>
        <v>1</v>
      </c>
      <c r="M42" s="189">
        <f t="shared" ca="1" si="18"/>
        <v>120113.02039153693</v>
      </c>
      <c r="N42" s="190">
        <f t="shared" ca="1" si="19"/>
        <v>6.2988168523350777E-2</v>
      </c>
      <c r="O42" s="193">
        <f t="shared" ca="1" si="20"/>
        <v>120113.02039153693</v>
      </c>
      <c r="P42" s="197">
        <f t="shared" ca="1" si="21"/>
        <v>0</v>
      </c>
    </row>
    <row r="43" spans="1:16" ht="20.25" x14ac:dyDescent="0.25">
      <c r="A43" s="448">
        <f>'הרכב חברי וועדה'!A43</f>
        <v>33</v>
      </c>
      <c r="B43" s="425" t="str">
        <f ca="1">'הרכב חברי וועדה'!B43</f>
        <v/>
      </c>
      <c r="C43" s="182" t="str">
        <f ca="1">'הרכב חברי וועדה'!H43</f>
        <v/>
      </c>
      <c r="D43" s="183" t="str">
        <f t="shared" ca="1" si="12"/>
        <v/>
      </c>
      <c r="E43" s="556" t="str">
        <f>'סיכום לועדה- הזנת נתונים'!N63</f>
        <v/>
      </c>
      <c r="F43" s="188" t="str">
        <f t="shared" ca="1" si="13"/>
        <v/>
      </c>
      <c r="G43" s="189" t="str">
        <f t="shared" ca="1" si="14"/>
        <v/>
      </c>
      <c r="H43" s="188" t="str">
        <f t="shared" ca="1" si="15"/>
        <v/>
      </c>
      <c r="I43" s="189" t="str">
        <f t="shared" ca="1" si="14"/>
        <v/>
      </c>
      <c r="J43" s="188" t="str">
        <f t="shared" ca="1" si="15"/>
        <v/>
      </c>
      <c r="K43" s="189" t="str">
        <f t="shared" ca="1" si="16"/>
        <v/>
      </c>
      <c r="L43" s="188" t="str">
        <f t="shared" ca="1" si="17"/>
        <v/>
      </c>
      <c r="M43" s="189" t="str">
        <f t="shared" ca="1" si="18"/>
        <v/>
      </c>
      <c r="N43" s="190" t="str">
        <f t="shared" ca="1" si="19"/>
        <v/>
      </c>
      <c r="O43" s="193" t="str">
        <f t="shared" ca="1" si="20"/>
        <v/>
      </c>
      <c r="P43" s="197" t="str">
        <f t="shared" ca="1" si="21"/>
        <v/>
      </c>
    </row>
    <row r="44" spans="1:16" ht="20.25" x14ac:dyDescent="0.25">
      <c r="A44" s="448">
        <f>'הרכב חברי וועדה'!A44</f>
        <v>34</v>
      </c>
      <c r="B44" s="425" t="str">
        <f ca="1">'הרכב חברי וועדה'!B44</f>
        <v>כתב עת ירושלמי</v>
      </c>
      <c r="C44" s="182">
        <f ca="1">'הרכב חברי וועדה'!H44</f>
        <v>3.0890612919840413E-2</v>
      </c>
      <c r="D44" s="183">
        <f t="shared" ca="1" si="12"/>
        <v>58905.742245424561</v>
      </c>
      <c r="E44" s="556">
        <f>'סיכום לועדה- הזנת נתונים'!N64</f>
        <v>200000</v>
      </c>
      <c r="F44" s="188">
        <f t="shared" ca="1" si="13"/>
        <v>1</v>
      </c>
      <c r="G44" s="189">
        <f t="shared" ca="1" si="14"/>
        <v>59854.236223549698</v>
      </c>
      <c r="H44" s="188">
        <f t="shared" ca="1" si="15"/>
        <v>1</v>
      </c>
      <c r="I44" s="189">
        <f t="shared" ca="1" si="14"/>
        <v>59854.236223549698</v>
      </c>
      <c r="J44" s="188">
        <f t="shared" ca="1" si="15"/>
        <v>1</v>
      </c>
      <c r="K44" s="189">
        <f t="shared" ca="1" si="16"/>
        <v>59854.236223549698</v>
      </c>
      <c r="L44" s="188">
        <f t="shared" ca="1" si="17"/>
        <v>1</v>
      </c>
      <c r="M44" s="189">
        <f t="shared" ca="1" si="18"/>
        <v>59854.236223549698</v>
      </c>
      <c r="N44" s="190">
        <f t="shared" ca="1" si="19"/>
        <v>3.1388010273955561E-2</v>
      </c>
      <c r="O44" s="193">
        <f t="shared" ca="1" si="20"/>
        <v>59854.236223549698</v>
      </c>
      <c r="P44" s="197">
        <f t="shared" ca="1" si="21"/>
        <v>0</v>
      </c>
    </row>
    <row r="45" spans="1:16" ht="20.25" x14ac:dyDescent="0.25">
      <c r="A45" s="448">
        <f>'הרכב חברי וועדה'!A45</f>
        <v>35</v>
      </c>
      <c r="B45" s="425" t="str">
        <f ca="1">'הרכב חברי וועדה'!B45</f>
        <v/>
      </c>
      <c r="C45" s="182" t="str">
        <f ca="1">'הרכב חברי וועדה'!H45</f>
        <v/>
      </c>
      <c r="D45" s="183" t="str">
        <f t="shared" ca="1" si="12"/>
        <v/>
      </c>
      <c r="E45" s="556" t="str">
        <f>'סיכום לועדה- הזנת נתונים'!N65</f>
        <v/>
      </c>
      <c r="F45" s="188" t="str">
        <f t="shared" ca="1" si="13"/>
        <v/>
      </c>
      <c r="G45" s="189" t="str">
        <f t="shared" ca="1" si="14"/>
        <v/>
      </c>
      <c r="H45" s="188" t="str">
        <f t="shared" ca="1" si="15"/>
        <v/>
      </c>
      <c r="I45" s="189" t="str">
        <f t="shared" ca="1" si="14"/>
        <v/>
      </c>
      <c r="J45" s="188" t="str">
        <f t="shared" ca="1" si="15"/>
        <v/>
      </c>
      <c r="K45" s="189" t="str">
        <f t="shared" ca="1" si="16"/>
        <v/>
      </c>
      <c r="L45" s="188" t="str">
        <f t="shared" ca="1" si="17"/>
        <v/>
      </c>
      <c r="M45" s="189" t="str">
        <f t="shared" ca="1" si="18"/>
        <v/>
      </c>
      <c r="N45" s="190" t="str">
        <f t="shared" ca="1" si="19"/>
        <v/>
      </c>
      <c r="O45" s="193" t="str">
        <f t="shared" ca="1" si="20"/>
        <v/>
      </c>
      <c r="P45" s="197" t="str">
        <f t="shared" ca="1" si="21"/>
        <v/>
      </c>
    </row>
    <row r="46" spans="1:16" ht="20.25" x14ac:dyDescent="0.25">
      <c r="A46" s="448">
        <f>'הרכב חברי וועדה'!A46</f>
        <v>36</v>
      </c>
      <c r="B46" s="425" t="str">
        <f ca="1">'הרכב חברי וועדה'!B46</f>
        <v>העמותה ליצירה פנטסטית- אוטופיה</v>
      </c>
      <c r="C46" s="182">
        <f ca="1">'הרכב חברי וועדה'!H46</f>
        <v>3.8809327773717421E-2</v>
      </c>
      <c r="D46" s="183">
        <f t="shared" ca="1" si="12"/>
        <v>74006.050462290586</v>
      </c>
      <c r="E46" s="556">
        <f>'סיכום לועדה- הזנת נתונים'!N66</f>
        <v>100000</v>
      </c>
      <c r="F46" s="188">
        <f t="shared" ca="1" si="13"/>
        <v>1</v>
      </c>
      <c r="G46" s="189">
        <f t="shared" ca="1" si="14"/>
        <v>75197.68799256481</v>
      </c>
      <c r="H46" s="188">
        <f t="shared" ca="1" si="15"/>
        <v>1</v>
      </c>
      <c r="I46" s="189">
        <f t="shared" ca="1" si="14"/>
        <v>75197.68799256481</v>
      </c>
      <c r="J46" s="188">
        <f t="shared" ca="1" si="15"/>
        <v>1</v>
      </c>
      <c r="K46" s="189">
        <f t="shared" ca="1" si="16"/>
        <v>75197.68799256481</v>
      </c>
      <c r="L46" s="188">
        <f t="shared" ca="1" si="17"/>
        <v>1</v>
      </c>
      <c r="M46" s="189">
        <f t="shared" ca="1" si="18"/>
        <v>75197.68799256481</v>
      </c>
      <c r="N46" s="190">
        <f t="shared" ca="1" si="19"/>
        <v>3.9434231429715659E-2</v>
      </c>
      <c r="O46" s="193">
        <f t="shared" ca="1" si="20"/>
        <v>75197.68799256481</v>
      </c>
      <c r="P46" s="197">
        <f t="shared" ca="1" si="21"/>
        <v>0</v>
      </c>
    </row>
    <row r="47" spans="1:16" ht="20.25" x14ac:dyDescent="0.25">
      <c r="A47" s="448">
        <f>'הרכב חברי וועדה'!A47</f>
        <v>37</v>
      </c>
      <c r="B47" s="425" t="str">
        <f ca="1">'הרכב חברי וועדה'!B47</f>
        <v/>
      </c>
      <c r="C47" s="182" t="str">
        <f ca="1">'הרכב חברי וועדה'!H47</f>
        <v/>
      </c>
      <c r="D47" s="183" t="str">
        <f t="shared" ca="1" si="12"/>
        <v/>
      </c>
      <c r="E47" s="556" t="str">
        <f>'סיכום לועדה- הזנת נתונים'!N67</f>
        <v/>
      </c>
      <c r="F47" s="188" t="str">
        <f t="shared" ca="1" si="13"/>
        <v/>
      </c>
      <c r="G47" s="189" t="str">
        <f t="shared" ca="1" si="14"/>
        <v/>
      </c>
      <c r="H47" s="188" t="str">
        <f t="shared" ca="1" si="15"/>
        <v/>
      </c>
      <c r="I47" s="189" t="str">
        <f t="shared" ca="1" si="14"/>
        <v/>
      </c>
      <c r="J47" s="188" t="str">
        <f t="shared" ca="1" si="15"/>
        <v/>
      </c>
      <c r="K47" s="189" t="str">
        <f t="shared" ca="1" si="16"/>
        <v/>
      </c>
      <c r="L47" s="188" t="str">
        <f t="shared" ca="1" si="17"/>
        <v/>
      </c>
      <c r="M47" s="189" t="str">
        <f t="shared" ca="1" si="18"/>
        <v/>
      </c>
      <c r="N47" s="190" t="str">
        <f t="shared" ca="1" si="19"/>
        <v/>
      </c>
      <c r="O47" s="193" t="str">
        <f t="shared" ca="1" si="20"/>
        <v/>
      </c>
      <c r="P47" s="197" t="str">
        <f t="shared" ca="1" si="21"/>
        <v/>
      </c>
    </row>
    <row r="48" spans="1:16" ht="20.25" x14ac:dyDescent="0.25">
      <c r="A48" s="448">
        <f>'הרכב חברי וועדה'!A48</f>
        <v>38</v>
      </c>
      <c r="B48" s="425" t="str">
        <f ca="1">'הרכב חברי וועדה'!B48</f>
        <v/>
      </c>
      <c r="C48" s="182" t="str">
        <f ca="1">'הרכב חברי וועדה'!H48</f>
        <v/>
      </c>
      <c r="D48" s="183" t="str">
        <f t="shared" ca="1" si="12"/>
        <v/>
      </c>
      <c r="E48" s="556" t="str">
        <f>'סיכום לועדה- הזנת נתונים'!N68</f>
        <v/>
      </c>
      <c r="F48" s="188" t="str">
        <f t="shared" ca="1" si="13"/>
        <v/>
      </c>
      <c r="G48" s="189" t="str">
        <f t="shared" ca="1" si="14"/>
        <v/>
      </c>
      <c r="H48" s="188" t="str">
        <f t="shared" ca="1" si="15"/>
        <v/>
      </c>
      <c r="I48" s="189" t="str">
        <f t="shared" ca="1" si="14"/>
        <v/>
      </c>
      <c r="J48" s="188" t="str">
        <f t="shared" ca="1" si="15"/>
        <v/>
      </c>
      <c r="K48" s="189" t="str">
        <f t="shared" ca="1" si="16"/>
        <v/>
      </c>
      <c r="L48" s="188" t="str">
        <f t="shared" ca="1" si="17"/>
        <v/>
      </c>
      <c r="M48" s="189" t="str">
        <f t="shared" ca="1" si="18"/>
        <v/>
      </c>
      <c r="N48" s="190" t="str">
        <f t="shared" ca="1" si="19"/>
        <v/>
      </c>
      <c r="O48" s="193" t="str">
        <f t="shared" ca="1" si="20"/>
        <v/>
      </c>
      <c r="P48" s="197" t="str">
        <f t="shared" ca="1" si="21"/>
        <v/>
      </c>
    </row>
    <row r="49" spans="1:16" ht="20.25" x14ac:dyDescent="0.25">
      <c r="A49" s="448">
        <f>'הרכב חברי וועדה'!A49</f>
        <v>39</v>
      </c>
      <c r="B49" s="425" t="str">
        <f ca="1">'הרכב חברי וועדה'!B49</f>
        <v/>
      </c>
      <c r="C49" s="182" t="str">
        <f ca="1">'הרכב חברי וועדה'!H49</f>
        <v/>
      </c>
      <c r="D49" s="183" t="str">
        <f t="shared" ca="1" si="12"/>
        <v/>
      </c>
      <c r="E49" s="556" t="str">
        <f>'סיכום לועדה- הזנת נתונים'!N69</f>
        <v/>
      </c>
      <c r="F49" s="188" t="str">
        <f t="shared" ca="1" si="13"/>
        <v/>
      </c>
      <c r="G49" s="189" t="str">
        <f t="shared" ca="1" si="14"/>
        <v/>
      </c>
      <c r="H49" s="188" t="str">
        <f t="shared" ca="1" si="15"/>
        <v/>
      </c>
      <c r="I49" s="189" t="str">
        <f t="shared" ca="1" si="14"/>
        <v/>
      </c>
      <c r="J49" s="188" t="str">
        <f t="shared" ca="1" si="15"/>
        <v/>
      </c>
      <c r="K49" s="189" t="str">
        <f t="shared" ca="1" si="16"/>
        <v/>
      </c>
      <c r="L49" s="188" t="str">
        <f t="shared" ca="1" si="17"/>
        <v/>
      </c>
      <c r="M49" s="189" t="str">
        <f t="shared" ca="1" si="18"/>
        <v/>
      </c>
      <c r="N49" s="190" t="str">
        <f t="shared" ca="1" si="19"/>
        <v/>
      </c>
      <c r="O49" s="193" t="str">
        <f t="shared" ca="1" si="20"/>
        <v/>
      </c>
      <c r="P49" s="197" t="str">
        <f t="shared" ca="1" si="21"/>
        <v/>
      </c>
    </row>
    <row r="50" spans="1:16" ht="21" thickBot="1" x14ac:dyDescent="0.3">
      <c r="A50" s="448">
        <f>'הרכב חברי וועדה'!A50</f>
        <v>40</v>
      </c>
      <c r="B50" s="425" t="str">
        <f ca="1">'הרכב חברי וועדה'!B50</f>
        <v/>
      </c>
      <c r="C50" s="182" t="str">
        <f ca="1">'הרכב חברי וועדה'!H50</f>
        <v/>
      </c>
      <c r="D50" s="183" t="str">
        <f t="shared" ca="1" si="12"/>
        <v/>
      </c>
      <c r="E50" s="556" t="str">
        <f>'סיכום לועדה- הזנת נתונים'!N70</f>
        <v/>
      </c>
      <c r="F50" s="188" t="str">
        <f t="shared" ca="1" si="13"/>
        <v/>
      </c>
      <c r="G50" s="189" t="str">
        <f t="shared" ca="1" si="14"/>
        <v/>
      </c>
      <c r="H50" s="188" t="str">
        <f t="shared" ca="1" si="15"/>
        <v/>
      </c>
      <c r="I50" s="189" t="str">
        <f t="shared" ca="1" si="14"/>
        <v/>
      </c>
      <c r="J50" s="188" t="str">
        <f t="shared" ca="1" si="15"/>
        <v/>
      </c>
      <c r="K50" s="189" t="str">
        <f t="shared" ca="1" si="16"/>
        <v/>
      </c>
      <c r="L50" s="188" t="str">
        <f t="shared" ca="1" si="17"/>
        <v/>
      </c>
      <c r="M50" s="189" t="str">
        <f t="shared" ca="1" si="18"/>
        <v/>
      </c>
      <c r="N50" s="190" t="str">
        <f t="shared" ca="1" si="19"/>
        <v/>
      </c>
      <c r="O50" s="193" t="str">
        <f t="shared" ca="1" si="20"/>
        <v/>
      </c>
      <c r="P50" s="197" t="str">
        <f t="shared" ca="1" si="21"/>
        <v/>
      </c>
    </row>
    <row r="51" spans="1:16" ht="19.5" thickTop="1" thickBot="1" x14ac:dyDescent="0.3">
      <c r="A51" s="658" t="s">
        <v>54</v>
      </c>
      <c r="B51" s="659"/>
      <c r="C51" s="449">
        <f ca="1">SUM(C11:C50)</f>
        <v>1</v>
      </c>
      <c r="D51" s="450">
        <f ca="1">SUM(D11:D50)</f>
        <v>1906913.9999999998</v>
      </c>
      <c r="E51" s="450">
        <f>SUM(E11:E50)</f>
        <v>3523000</v>
      </c>
      <c r="F51" s="450"/>
      <c r="G51" s="450">
        <f ca="1">SUM(G11:G50)</f>
        <v>1906914</v>
      </c>
      <c r="H51" s="450"/>
      <c r="I51" s="450">
        <f ca="1">SUM(I11:I50)</f>
        <v>1906914</v>
      </c>
      <c r="J51" s="450"/>
      <c r="K51" s="450">
        <f ca="1">SUM(K11:K50)</f>
        <v>1906914</v>
      </c>
      <c r="L51" s="450"/>
      <c r="M51" s="450">
        <f ca="1">SUM(M11:M50)</f>
        <v>1906914</v>
      </c>
      <c r="N51" s="451">
        <f ca="1">SUM(N11:N50)</f>
        <v>0.99999999999999989</v>
      </c>
      <c r="O51" s="452">
        <f ca="1">SUM(O11:O50)</f>
        <v>1906914</v>
      </c>
      <c r="P51" s="453">
        <f ca="1">SUM(P10:P50)</f>
        <v>27080.700388187302</v>
      </c>
    </row>
  </sheetData>
  <sheetProtection algorithmName="SHA-512" hashValue="1ygwWEi+d4lpfcNQNRdPu8eVyRKqHR28rwzQfZJdCM58ATJ1lX5P4W4Pkp810xteQshEnHox1O1YdVM2p9Hu8g==" saltValue="l5wdrKBihskE//LW6VhMOA==" spinCount="100000" sheet="1" scenarios="1" formatColumns="0" formatRows="0"/>
  <mergeCells count="2">
    <mergeCell ref="A51:B51"/>
    <mergeCell ref="A9:O9"/>
  </mergeCells>
  <conditionalFormatting sqref="D11:D50">
    <cfRule type="cellIs" dxfId="1002" priority="2" stopIfTrue="1" operator="notEqual">
      <formula>#REF!</formula>
    </cfRule>
  </conditionalFormatting>
  <pageMargins left="0.27559055118110237" right="0.19685039370078741" top="0.51181102362204722" bottom="0.39370078740157483" header="0.15748031496062992" footer="0.19685039370078741"/>
  <pageSetup paperSize="9" scale="57" orientation="landscape" horizontalDpi="1200"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&amp;L&amp;"Arial,מודגש"&amp;12א. חפץ ושות'
יעוץ כלכלי&amp;Cעמוד &amp;P מתוך &amp;N&amp;R&amp;A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tabColor indexed="44"/>
    <pageSetUpPr fitToPage="1"/>
  </sheetPr>
  <dimension ref="A1:J52"/>
  <sheetViews>
    <sheetView rightToLeft="1" view="pageBreakPreview" zoomScale="70" zoomScaleNormal="75" zoomScaleSheetLayoutView="70" workbookViewId="0"/>
  </sheetViews>
  <sheetFormatPr defaultRowHeight="12.75" x14ac:dyDescent="0.2"/>
  <cols>
    <col min="1" max="1" width="8.5703125" bestFit="1" customWidth="1"/>
    <col min="2" max="2" width="48.42578125" bestFit="1" customWidth="1"/>
    <col min="3" max="7" width="22.42578125" customWidth="1"/>
    <col min="8" max="8" width="18.7109375" hidden="1" customWidth="1"/>
    <col min="9" max="9" width="22.140625" hidden="1" customWidth="1"/>
    <col min="10" max="10" width="29.5703125" hidden="1" customWidth="1"/>
  </cols>
  <sheetData>
    <row r="1" spans="1:10" ht="21.75" thickTop="1" thickBot="1" x14ac:dyDescent="0.3">
      <c r="A1" s="7"/>
      <c r="B1" s="134" t="str">
        <f>פרמטרים!$B$1</f>
        <v>שנת התקציב</v>
      </c>
      <c r="C1" s="135">
        <f>פרמטרים!$C$1</f>
        <v>2025</v>
      </c>
    </row>
    <row r="2" spans="1:10" ht="21" thickBot="1" x14ac:dyDescent="0.3">
      <c r="A2" s="7"/>
      <c r="B2" s="136" t="str">
        <f>פרמטרים!$B$2</f>
        <v>תקציב</v>
      </c>
      <c r="C2" s="137">
        <f>פרמטרים!$C$2</f>
        <v>1906914</v>
      </c>
    </row>
    <row r="3" spans="1:10" ht="18.75" hidden="1" thickTop="1" x14ac:dyDescent="0.25">
      <c r="A3" s="7"/>
    </row>
    <row r="4" spans="1:10" ht="18.75" hidden="1" thickTop="1" x14ac:dyDescent="0.25">
      <c r="A4" s="7"/>
    </row>
    <row r="5" spans="1:10" ht="18.75" hidden="1" thickTop="1" x14ac:dyDescent="0.25">
      <c r="A5" s="7"/>
    </row>
    <row r="6" spans="1:10" ht="18.75" hidden="1" thickTop="1" x14ac:dyDescent="0.25">
      <c r="A6" s="7"/>
    </row>
    <row r="7" spans="1:10" ht="18.75" hidden="1" thickTop="1" x14ac:dyDescent="0.25">
      <c r="A7" s="7"/>
    </row>
    <row r="8" spans="1:10" ht="18.75" hidden="1" thickTop="1" x14ac:dyDescent="0.25">
      <c r="A8" s="7"/>
    </row>
    <row r="9" spans="1:10" ht="19.5" thickTop="1" thickBot="1" x14ac:dyDescent="0.3">
      <c r="A9" s="665" t="s">
        <v>234</v>
      </c>
      <c r="B9" s="666"/>
      <c r="C9" s="666"/>
      <c r="D9" s="666"/>
      <c r="E9" s="666"/>
      <c r="F9" s="666"/>
      <c r="G9" s="667"/>
    </row>
    <row r="10" spans="1:10" ht="56.25" customHeight="1" thickBot="1" x14ac:dyDescent="0.25">
      <c r="A10" s="50" t="str">
        <f>'סכום מבוקש'!A10</f>
        <v>מספר סידורי</v>
      </c>
      <c r="B10" s="51" t="str">
        <f>'סכום מבוקש'!B10</f>
        <v>שם כתב העת</v>
      </c>
      <c r="C10" s="191" t="s">
        <v>235</v>
      </c>
      <c r="D10" s="191" t="s">
        <v>236</v>
      </c>
      <c r="E10" s="157" t="s">
        <v>237</v>
      </c>
      <c r="F10" s="157" t="s">
        <v>238</v>
      </c>
      <c r="G10" s="157" t="s">
        <v>239</v>
      </c>
      <c r="H10" s="158" t="s">
        <v>240</v>
      </c>
      <c r="I10" s="159" t="s">
        <v>241</v>
      </c>
      <c r="J10" s="160" t="s">
        <v>242</v>
      </c>
    </row>
    <row r="11" spans="1:10" ht="18.75" x14ac:dyDescent="0.3">
      <c r="A11" s="454">
        <f>'סכום מבוקש'!A11</f>
        <v>1</v>
      </c>
      <c r="B11" s="425" t="str">
        <f ca="1">'סכום מבוקש'!B11</f>
        <v>1280 מעלות (אמנים יוצרים)</v>
      </c>
      <c r="C11" s="53">
        <f ca="1">'סכום מבוקש'!N11</f>
        <v>3.4686659455004695E-2</v>
      </c>
      <c r="D11" s="55">
        <f ca="1">'סכום מבוקש'!O11</f>
        <v>66144.47652798082</v>
      </c>
      <c r="E11" s="173">
        <f ca="1">IF(B11="","",ייצוב!D11)</f>
        <v>71987</v>
      </c>
      <c r="F11" s="173">
        <f t="shared" ref="F11:F14" ca="1" si="0">IF(B11="","",IFERROR(D11-E11,""))</f>
        <v>-5842.5234720191802</v>
      </c>
      <c r="G11" s="174">
        <f ca="1">IF(B11="","",IF('תנאי סף'!AL11=0,-1,IFERROR(F11/E11,"")))</f>
        <v>-8.1160813369346968E-2</v>
      </c>
      <c r="H11" s="347">
        <v>94872</v>
      </c>
      <c r="I11" s="350">
        <f t="shared" ref="I11:I14" ca="1" si="1">IF(H11="","",D11/H11)</f>
        <v>0.69719702892297852</v>
      </c>
      <c r="J11" s="496" t="str">
        <f t="shared" ref="J11:J14" ca="1" si="2">IF(I11="","",IF(I11&gt;75%,"נדרש אישור ועדה לתמיכה",""))</f>
        <v/>
      </c>
    </row>
    <row r="12" spans="1:10" ht="18.75" x14ac:dyDescent="0.3">
      <c r="A12" s="454">
        <f>'סכום מבוקש'!A12</f>
        <v>2</v>
      </c>
      <c r="B12" s="425" t="str">
        <f ca="1">'סכום מבוקש'!B12</f>
        <v>יהי (אורי צבי גרינברג)</v>
      </c>
      <c r="C12" s="53">
        <f ca="1">'סכום מבוקש'!N12</f>
        <v>2.9046703116543601E-2</v>
      </c>
      <c r="D12" s="55">
        <f ca="1">'סכום מבוקש'!O12</f>
        <v>55389.564826780625</v>
      </c>
      <c r="E12" s="173">
        <f ca="1">IF(B12="","",ייצוב!D12)</f>
        <v>48732</v>
      </c>
      <c r="F12" s="173">
        <f t="shared" ca="1" si="0"/>
        <v>6657.5648267806246</v>
      </c>
      <c r="G12" s="174">
        <f ca="1">IF(B12="","",IF('תנאי סף'!AL12=0,-1,IFERROR(F12/E12,"")))</f>
        <v>0.1366158751288809</v>
      </c>
      <c r="H12" s="347">
        <v>59565</v>
      </c>
      <c r="I12" s="350">
        <f t="shared" ca="1" si="1"/>
        <v>0.92990119746127131</v>
      </c>
      <c r="J12" s="496" t="str">
        <f t="shared" ca="1" si="2"/>
        <v>נדרש אישור ועדה לתמיכה</v>
      </c>
    </row>
    <row r="13" spans="1:10" ht="18.75" x14ac:dyDescent="0.3">
      <c r="A13" s="454">
        <f>'סכום מבוקש'!A13</f>
        <v>3</v>
      </c>
      <c r="B13" s="425" t="str">
        <f ca="1">'סכום מבוקש'!B13</f>
        <v/>
      </c>
      <c r="C13" s="53" t="str">
        <f ca="1">'סכום מבוקש'!N13</f>
        <v/>
      </c>
      <c r="D13" s="55" t="str">
        <f ca="1">'סכום מבוקש'!O13</f>
        <v/>
      </c>
      <c r="E13" s="173" t="str">
        <f ca="1">IF(B13="","",ייצוב!D13)</f>
        <v/>
      </c>
      <c r="F13" s="173" t="str">
        <f t="shared" ca="1" si="0"/>
        <v/>
      </c>
      <c r="G13" s="174" t="str">
        <f ca="1">IF(B13="","",IF('תנאי סף'!AL13=0,-1,IFERROR(F13/E13,"")))</f>
        <v/>
      </c>
      <c r="H13" s="347"/>
      <c r="I13" s="350" t="str">
        <f t="shared" si="1"/>
        <v/>
      </c>
      <c r="J13" s="496" t="str">
        <f t="shared" si="2"/>
        <v/>
      </c>
    </row>
    <row r="14" spans="1:10" ht="18.75" x14ac:dyDescent="0.3">
      <c r="A14" s="454">
        <f>'סכום מבוקש'!A14</f>
        <v>4</v>
      </c>
      <c r="B14" s="425" t="str">
        <f ca="1">'סכום מבוקש'!B14</f>
        <v>דעות (ברית נאמני תורה ועבודה)</v>
      </c>
      <c r="C14" s="53">
        <f ca="1">'סכום מבוקש'!N14</f>
        <v>4.8972857634888803E-2</v>
      </c>
      <c r="D14" s="55">
        <f ca="1">'סכום מבוקש'!O14</f>
        <v>93387.02784397635</v>
      </c>
      <c r="E14" s="173">
        <f ca="1">IF(B14="","",ייצוב!D14)</f>
        <v>114119</v>
      </c>
      <c r="F14" s="173">
        <f t="shared" ca="1" si="0"/>
        <v>-20731.97215602365</v>
      </c>
      <c r="G14" s="174">
        <f ca="1">IF(B14="","",IF('תנאי סף'!AL14=0,-1,IFERROR(F14/E14,"")))</f>
        <v>-0.18166976713801952</v>
      </c>
      <c r="H14" s="347">
        <v>176821</v>
      </c>
      <c r="I14" s="350">
        <f t="shared" ca="1" si="1"/>
        <v>0.52814443897487484</v>
      </c>
      <c r="J14" s="496" t="str">
        <f t="shared" ca="1" si="2"/>
        <v/>
      </c>
    </row>
    <row r="15" spans="1:10" ht="18.75" x14ac:dyDescent="0.3">
      <c r="A15" s="454">
        <f>'סכום מבוקש'!A15</f>
        <v>5</v>
      </c>
      <c r="B15" s="425" t="str">
        <f ca="1">'סכום מבוקש'!B15</f>
        <v>הליקון</v>
      </c>
      <c r="C15" s="53">
        <f ca="1">'סכום מבוקש'!N15</f>
        <v>6.0574676943393663E-2</v>
      </c>
      <c r="D15" s="55">
        <f ca="1">'סכום מבוקש'!O15</f>
        <v>115510.69950883459</v>
      </c>
      <c r="E15" s="173">
        <f ca="1">IF(B15="","",ייצוב!D15)</f>
        <v>142850</v>
      </c>
      <c r="F15" s="173">
        <f t="shared" ref="F15:F50" ca="1" si="3">IF(B15="","",IFERROR(D15-E15,""))</f>
        <v>-27339.300491165413</v>
      </c>
      <c r="G15" s="174">
        <f ca="1">IF(B15="","",IF('תנאי סף'!AL15=0,-1,IFERROR(F15/E15,"")))</f>
        <v>-0.19138467267179149</v>
      </c>
      <c r="H15" s="347">
        <v>223295</v>
      </c>
      <c r="I15" s="350">
        <f t="shared" ref="I15:I50" ca="1" si="4">IF(H15="","",D15/H15)</f>
        <v>0.51730087780216572</v>
      </c>
      <c r="J15" s="496" t="str">
        <f t="shared" ref="J15:J32" ca="1" si="5">IF(I15="","",IF(I15&gt;75%,"נדרש אישור ועדה לתמיכה",""))</f>
        <v/>
      </c>
    </row>
    <row r="16" spans="1:10" ht="18.75" x14ac:dyDescent="0.3">
      <c r="A16" s="454">
        <f>'סכום מבוקש'!A16</f>
        <v>6</v>
      </c>
      <c r="B16" s="425" t="str">
        <f ca="1">'סכום מבוקש'!B16</f>
        <v/>
      </c>
      <c r="C16" s="53" t="str">
        <f ca="1">'סכום מבוקש'!N16</f>
        <v/>
      </c>
      <c r="D16" s="55" t="str">
        <f ca="1">'סכום מבוקש'!O16</f>
        <v/>
      </c>
      <c r="E16" s="173" t="str">
        <f ca="1">IF(B16="","",ייצוב!D16)</f>
        <v/>
      </c>
      <c r="F16" s="173" t="str">
        <f t="shared" ca="1" si="3"/>
        <v/>
      </c>
      <c r="G16" s="174" t="str">
        <f ca="1">IF(B16="","",IF('תנאי סף'!AL16=0,-1,IFERROR(F16/E16,"")))</f>
        <v/>
      </c>
      <c r="H16" s="347">
        <v>81457</v>
      </c>
      <c r="I16" s="350" t="e">
        <f t="shared" ca="1" si="4"/>
        <v>#VALUE!</v>
      </c>
      <c r="J16" s="496" t="e">
        <f t="shared" ca="1" si="5"/>
        <v>#VALUE!</v>
      </c>
    </row>
    <row r="17" spans="1:10" ht="18.75" x14ac:dyDescent="0.3">
      <c r="A17" s="454">
        <f>'סכום מבוקש'!A17</f>
        <v>7</v>
      </c>
      <c r="B17" s="425" t="str">
        <f ca="1">'סכום מבוקש'!B17</f>
        <v/>
      </c>
      <c r="C17" s="53" t="str">
        <f ca="1">'סכום מבוקש'!N17</f>
        <v/>
      </c>
      <c r="D17" s="55" t="str">
        <f ca="1">'סכום מבוקש'!O17</f>
        <v/>
      </c>
      <c r="E17" s="173" t="str">
        <f ca="1">IF(B17="","",ייצוב!D17)</f>
        <v/>
      </c>
      <c r="F17" s="173" t="str">
        <f t="shared" ca="1" si="3"/>
        <v/>
      </c>
      <c r="G17" s="174" t="str">
        <f ca="1">IF(B17="","",IF('תנאי סף'!AL17=0,-1,IFERROR(F17/E17,"")))</f>
        <v/>
      </c>
      <c r="H17" s="347"/>
      <c r="I17" s="350" t="str">
        <f t="shared" si="4"/>
        <v/>
      </c>
      <c r="J17" s="496" t="str">
        <f t="shared" si="5"/>
        <v/>
      </c>
    </row>
    <row r="18" spans="1:10" ht="18.75" x14ac:dyDescent="0.3">
      <c r="A18" s="454">
        <f>'סכום מבוקש'!A18</f>
        <v>8</v>
      </c>
      <c r="B18" s="425" t="str">
        <f ca="1">'סכום מבוקש'!B18</f>
        <v>ננפואטיקה (עמותת מקום לשירה)</v>
      </c>
      <c r="C18" s="53">
        <f ca="1">'סכום מבוקש'!N18</f>
        <v>7.4449490542386046E-2</v>
      </c>
      <c r="D18" s="55">
        <f ca="1">'סכום מבוקש'!O18</f>
        <v>141968.77580814355</v>
      </c>
      <c r="E18" s="173">
        <f ca="1">IF(B18="","",ייצוב!D18)</f>
        <v>124497</v>
      </c>
      <c r="F18" s="173">
        <f t="shared" ca="1" si="3"/>
        <v>17471.775808143546</v>
      </c>
      <c r="G18" s="174">
        <f ca="1">IF(B18="","",IF('תנאי סף'!AL18=0,-1,IFERROR(F18/E18,"")))</f>
        <v>0.14033893032075911</v>
      </c>
      <c r="H18" s="347">
        <v>181544</v>
      </c>
      <c r="I18" s="350">
        <f t="shared" ca="1" si="4"/>
        <v>0.7820075343065237</v>
      </c>
      <c r="J18" s="496" t="str">
        <f t="shared" ca="1" si="5"/>
        <v>נדרש אישור ועדה לתמיכה</v>
      </c>
    </row>
    <row r="19" spans="1:10" ht="18.75" x14ac:dyDescent="0.3">
      <c r="A19" s="454">
        <f>'סכום מבוקש'!A19</f>
        <v>9</v>
      </c>
      <c r="B19" s="425" t="str">
        <f ca="1">'סכום מבוקש'!B19</f>
        <v>מאזניים (אגודת הסופרים העבריים)</v>
      </c>
      <c r="C19" s="53">
        <f ca="1">'סכום מבוקש'!N19</f>
        <v>8.3347228244841226E-2</v>
      </c>
      <c r="D19" s="55">
        <f ca="1">'סכום מבוקש'!O19</f>
        <v>158935.99640128316</v>
      </c>
      <c r="E19" s="173">
        <f ca="1">IF(B19="","",ייצוב!D19)</f>
        <v>164453</v>
      </c>
      <c r="F19" s="173">
        <f t="shared" ca="1" si="3"/>
        <v>-5517.0035987168376</v>
      </c>
      <c r="G19" s="174">
        <f ca="1">IF(B19="","",IF('תנאי סף'!AL19=0,-1,IFERROR(F19/E19,"")))</f>
        <v>-3.3547600826478313E-2</v>
      </c>
      <c r="H19" s="347">
        <v>240791</v>
      </c>
      <c r="I19" s="350">
        <f t="shared" ca="1" si="4"/>
        <v>0.66005787758380985</v>
      </c>
      <c r="J19" s="496" t="str">
        <f t="shared" ca="1" si="5"/>
        <v/>
      </c>
    </row>
    <row r="20" spans="1:10" ht="18.75" x14ac:dyDescent="0.3">
      <c r="A20" s="454">
        <f>'סכום מבוקש'!A20</f>
        <v>10</v>
      </c>
      <c r="B20" s="425" t="str">
        <f ca="1">'סכום מבוקש'!B20</f>
        <v>משיב הרוח</v>
      </c>
      <c r="C20" s="53">
        <f ca="1">'סכום מבוקש'!N20</f>
        <v>7.7999046561133281E-2</v>
      </c>
      <c r="D20" s="55">
        <f ca="1">'סכום מבוקש'!O20</f>
        <v>148737.47387407691</v>
      </c>
      <c r="E20" s="173">
        <f ca="1">IF(B20="","",ייצוב!D20)</f>
        <v>160958</v>
      </c>
      <c r="F20" s="173">
        <f t="shared" ca="1" si="3"/>
        <v>-12220.52612592309</v>
      </c>
      <c r="G20" s="174">
        <f ca="1">IF(B20="","",IF('תנאי סף'!AL20=0,-1,IFERROR(F20/E20,"")))</f>
        <v>-7.5923695162235433E-2</v>
      </c>
      <c r="H20" s="347">
        <v>217675</v>
      </c>
      <c r="I20" s="350">
        <f t="shared" ca="1" si="4"/>
        <v>0.68330067244321535</v>
      </c>
      <c r="J20" s="496" t="str">
        <f t="shared" ca="1" si="5"/>
        <v/>
      </c>
    </row>
    <row r="21" spans="1:10" ht="18.75" x14ac:dyDescent="0.3">
      <c r="A21" s="454">
        <f>'סכום מבוקש'!A21</f>
        <v>11</v>
      </c>
      <c r="B21" s="425" t="str">
        <f ca="1">'סכום מבוקש'!B21</f>
        <v>עמדה (עמותת מונטן)</v>
      </c>
      <c r="C21" s="53">
        <f ca="1">'סכום מבוקש'!N21</f>
        <v>1.7829854938397852E-2</v>
      </c>
      <c r="D21" s="55">
        <f ca="1">'סכום מבוקש'!O21</f>
        <v>34000</v>
      </c>
      <c r="E21" s="173">
        <f ca="1">IF(B21="","",ייצוב!D21)</f>
        <v>31000</v>
      </c>
      <c r="F21" s="173">
        <f t="shared" ca="1" si="3"/>
        <v>3000</v>
      </c>
      <c r="G21" s="174">
        <f ca="1">IF(B21="","",IF('תנאי סף'!AL21=0,-1,IFERROR(F21/E21,"")))</f>
        <v>9.6774193548387094E-2</v>
      </c>
      <c r="H21" s="347">
        <v>46390</v>
      </c>
      <c r="I21" s="350">
        <f t="shared" ca="1" si="4"/>
        <v>0.73291657684845868</v>
      </c>
      <c r="J21" s="496" t="str">
        <f t="shared" ca="1" si="5"/>
        <v/>
      </c>
    </row>
    <row r="22" spans="1:10" ht="18.75" x14ac:dyDescent="0.3">
      <c r="A22" s="454">
        <f>'סכום מבוקש'!A22</f>
        <v>12</v>
      </c>
      <c r="B22" s="425" t="str">
        <f ca="1">'סכום מבוקש'!B22</f>
        <v>עתון 77 (אגודת סופרים ואמנים)</v>
      </c>
      <c r="C22" s="53">
        <f ca="1">'סכום מבוקש'!N22</f>
        <v>7.0411730822574764E-2</v>
      </c>
      <c r="D22" s="55">
        <f ca="1">'סכום מבוקש'!O22</f>
        <v>134269.11526979934</v>
      </c>
      <c r="E22" s="173">
        <f ca="1">IF(B22="","",ייצוב!D22)</f>
        <v>146532</v>
      </c>
      <c r="F22" s="173">
        <f t="shared" ca="1" si="3"/>
        <v>-12262.884730200662</v>
      </c>
      <c r="G22" s="174">
        <f ca="1">IF(B22="","",IF('תנאי סף'!AL22=0,-1,IFERROR(F22/E22,"")))</f>
        <v>-8.3687417971505626E-2</v>
      </c>
      <c r="H22" s="347">
        <v>287585</v>
      </c>
      <c r="I22" s="350">
        <f t="shared" ca="1" si="4"/>
        <v>0.46688497407653157</v>
      </c>
      <c r="J22" s="496" t="str">
        <f t="shared" ca="1" si="5"/>
        <v/>
      </c>
    </row>
    <row r="23" spans="1:10" ht="18.75" x14ac:dyDescent="0.3">
      <c r="A23" s="454">
        <f>'סכום מבוקש'!A23</f>
        <v>13</v>
      </c>
      <c r="B23" s="425" t="str">
        <f ca="1">'סכום מבוקש'!B23</f>
        <v/>
      </c>
      <c r="C23" s="53" t="str">
        <f ca="1">'סכום מבוקש'!N23</f>
        <v/>
      </c>
      <c r="D23" s="55" t="str">
        <f ca="1">'סכום מבוקש'!O23</f>
        <v/>
      </c>
      <c r="E23" s="173" t="str">
        <f ca="1">IF(B23="","",ייצוב!D23)</f>
        <v/>
      </c>
      <c r="F23" s="173" t="str">
        <f t="shared" ca="1" si="3"/>
        <v/>
      </c>
      <c r="G23" s="174" t="str">
        <f ca="1">IF(B23="","",IF('תנאי סף'!AL23=0,-1,IFERROR(F23/E23,"")))</f>
        <v/>
      </c>
      <c r="H23" s="347"/>
      <c r="I23" s="350" t="str">
        <f t="shared" si="4"/>
        <v/>
      </c>
      <c r="J23" s="496" t="str">
        <f t="shared" si="5"/>
        <v/>
      </c>
    </row>
    <row r="24" spans="1:10" ht="18.75" x14ac:dyDescent="0.3">
      <c r="A24" s="454">
        <f>'סכום מבוקש'!A24</f>
        <v>14</v>
      </c>
      <c r="B24" s="425" t="str">
        <f ca="1">'סכום מבוקש'!B24</f>
        <v>פסיפס</v>
      </c>
      <c r="C24" s="53">
        <f ca="1">'סכום מבוקש'!N24</f>
        <v>2.0219008132101722E-2</v>
      </c>
      <c r="D24" s="55">
        <f ca="1">'סכום מבוקש'!O24</f>
        <v>38555.909673218623</v>
      </c>
      <c r="E24" s="173">
        <f ca="1">IF(B24="","",ייצוב!D24)</f>
        <v>43081</v>
      </c>
      <c r="F24" s="173">
        <f t="shared" ca="1" si="3"/>
        <v>-4525.0903267813774</v>
      </c>
      <c r="G24" s="174">
        <f ca="1">IF(B24="","",IF('תנאי סף'!AL24=0,-1,IFERROR(F24/E24,"")))</f>
        <v>-0.10503679874611493</v>
      </c>
      <c r="H24" s="347">
        <v>48748</v>
      </c>
      <c r="I24" s="350">
        <f t="shared" ca="1" si="4"/>
        <v>0.79092290295434942</v>
      </c>
      <c r="J24" s="496" t="str">
        <f t="shared" ca="1" si="5"/>
        <v>נדרש אישור ועדה לתמיכה</v>
      </c>
    </row>
    <row r="25" spans="1:10" ht="18.75" x14ac:dyDescent="0.3">
      <c r="A25" s="454">
        <f>'סכום מבוקש'!A25</f>
        <v>15</v>
      </c>
      <c r="B25" s="425" t="str">
        <f ca="1">'סכום מבוקש'!B25</f>
        <v>קתרזיס ( עמותת מצרף)</v>
      </c>
      <c r="C25" s="53">
        <f ca="1">'סכום מבוקש'!N25</f>
        <v>1.520781744745699E-2</v>
      </c>
      <c r="D25" s="55">
        <f ca="1">'סכום מבוקש'!O25</f>
        <v>29000</v>
      </c>
      <c r="E25" s="173">
        <f ca="1">IF(B25="","",ייצוב!D25)</f>
        <v>29000</v>
      </c>
      <c r="F25" s="173">
        <f t="shared" ca="1" si="3"/>
        <v>0</v>
      </c>
      <c r="G25" s="174">
        <f ca="1">IF(B25="","",IF('תנאי סף'!AL25=0,-1,IFERROR(F25/E25,"")))</f>
        <v>0</v>
      </c>
      <c r="H25" s="347">
        <v>40394</v>
      </c>
      <c r="I25" s="350">
        <f t="shared" ca="1" si="4"/>
        <v>0.71792840520869439</v>
      </c>
      <c r="J25" s="496" t="str">
        <f t="shared" ca="1" si="5"/>
        <v/>
      </c>
    </row>
    <row r="26" spans="1:10" ht="18.75" x14ac:dyDescent="0.3">
      <c r="A26" s="454">
        <f>'סכום מבוקש'!A26</f>
        <v>16</v>
      </c>
      <c r="B26" s="425" t="str">
        <f ca="1">'סכום מבוקש'!B26</f>
        <v/>
      </c>
      <c r="C26" s="53" t="str">
        <f ca="1">'סכום מבוקש'!N26</f>
        <v/>
      </c>
      <c r="D26" s="55" t="str">
        <f ca="1">'סכום מבוקש'!O26</f>
        <v/>
      </c>
      <c r="E26" s="173" t="str">
        <f ca="1">IF(B26="","",ייצוב!D26)</f>
        <v/>
      </c>
      <c r="F26" s="173" t="str">
        <f t="shared" ca="1" si="3"/>
        <v/>
      </c>
      <c r="G26" s="174" t="str">
        <f ca="1">IF(B26="","",IF('תנאי סף'!AL26=0,-1,IFERROR(F26/E26,"")))</f>
        <v/>
      </c>
      <c r="H26" s="347"/>
      <c r="I26" s="350" t="str">
        <f t="shared" si="4"/>
        <v/>
      </c>
      <c r="J26" s="496" t="str">
        <f t="shared" si="5"/>
        <v/>
      </c>
    </row>
    <row r="27" spans="1:10" ht="18.75" x14ac:dyDescent="0.3">
      <c r="A27" s="454">
        <f>'סכום מבוקש'!A27</f>
        <v>17</v>
      </c>
      <c r="B27" s="425" t="str">
        <f ca="1">'סכום מבוקש'!B27</f>
        <v>הכיוון מזרח (עמותת אחותי)</v>
      </c>
      <c r="C27" s="53">
        <f ca="1">'סכום מבוקש'!N27</f>
        <v>5.1529826904381418E-2</v>
      </c>
      <c r="D27" s="55">
        <f ca="1">'סכום מבוקש'!O27</f>
        <v>98262.948341541589</v>
      </c>
      <c r="E27" s="173">
        <f ca="1">IF(B27="","",ייצוב!D27)</f>
        <v>134434</v>
      </c>
      <c r="F27" s="173">
        <f t="shared" ca="1" si="3"/>
        <v>-36171.051658458411</v>
      </c>
      <c r="G27" s="174">
        <f ca="1">IF(B27="","",IF('תנאי סף'!AL27=0,-1,IFERROR(F27/E27,"")))</f>
        <v>-0.26906178242452367</v>
      </c>
      <c r="H27" s="347">
        <v>179009</v>
      </c>
      <c r="I27" s="350">
        <f t="shared" ca="1" si="4"/>
        <v>0.54892741896520059</v>
      </c>
      <c r="J27" s="496" t="str">
        <f t="shared" ca="1" si="5"/>
        <v/>
      </c>
    </row>
    <row r="28" spans="1:10" ht="18.75" x14ac:dyDescent="0.3">
      <c r="A28" s="454">
        <f>'סכום מבוקש'!A28</f>
        <v>18</v>
      </c>
      <c r="B28" s="425" t="str">
        <f ca="1">'סכום מבוקש'!B28</f>
        <v/>
      </c>
      <c r="C28" s="53" t="str">
        <f ca="1">'סכום מבוקש'!N28</f>
        <v/>
      </c>
      <c r="D28" s="55" t="str">
        <f ca="1">'סכום מבוקש'!O28</f>
        <v/>
      </c>
      <c r="E28" s="173" t="str">
        <f ca="1">IF(B28="","",ייצוב!D28)</f>
        <v/>
      </c>
      <c r="F28" s="173" t="str">
        <f t="shared" ca="1" si="3"/>
        <v/>
      </c>
      <c r="G28" s="174" t="str">
        <f ca="1">IF(B28="","",IF('תנאי סף'!AL28=0,-1,IFERROR(F28/E28,"")))</f>
        <v/>
      </c>
      <c r="H28" s="347"/>
      <c r="I28" s="350" t="str">
        <f t="shared" si="4"/>
        <v/>
      </c>
      <c r="J28" s="496" t="str">
        <f t="shared" si="5"/>
        <v/>
      </c>
    </row>
    <row r="29" spans="1:10" ht="18.75" x14ac:dyDescent="0.3">
      <c r="A29" s="454">
        <f>'סכום מבוקש'!A29</f>
        <v>19</v>
      </c>
      <c r="B29" s="425" t="str">
        <f ca="1">'סכום מבוקש'!B29</f>
        <v>הו</v>
      </c>
      <c r="C29" s="53">
        <f ca="1">'סכום מבוקש'!N29</f>
        <v>5.2514505016527685E-2</v>
      </c>
      <c r="D29" s="55">
        <f ca="1">'סכום מבוקש'!O29</f>
        <v>100140.64481908687</v>
      </c>
      <c r="E29" s="173">
        <f ca="1">IF(B29="","",ייצוב!D29)</f>
        <v>118619</v>
      </c>
      <c r="F29" s="173">
        <f t="shared" ca="1" si="3"/>
        <v>-18478.355180913131</v>
      </c>
      <c r="G29" s="174">
        <f ca="1">IF(B29="","",IF('תנאי סף'!AL29=0,-1,IFERROR(F29/E29,"")))</f>
        <v>-0.15577905041277645</v>
      </c>
      <c r="H29" s="347">
        <v>105000</v>
      </c>
      <c r="I29" s="350">
        <f t="shared" ca="1" si="4"/>
        <v>0.95372042684844638</v>
      </c>
      <c r="J29" s="496" t="str">
        <f t="shared" ca="1" si="5"/>
        <v>נדרש אישור ועדה לתמיכה</v>
      </c>
    </row>
    <row r="30" spans="1:10" ht="18.75" x14ac:dyDescent="0.3">
      <c r="A30" s="454">
        <f>'סכום מבוקש'!A30</f>
        <v>20</v>
      </c>
      <c r="B30" s="425" t="str">
        <f ca="1">'סכום מבוקש'!B30</f>
        <v>הבא להבא (עמותת מקום לשירה)</v>
      </c>
      <c r="C30" s="53">
        <f ca="1">'סכום מבוקש'!N30</f>
        <v>3.9803786798311445E-2</v>
      </c>
      <c r="D30" s="55">
        <f ca="1">'סכום מבוקש'!O30</f>
        <v>75902.39829871527</v>
      </c>
      <c r="E30" s="173">
        <f ca="1">IF(B30="","",ייצוב!D30)</f>
        <v>59960</v>
      </c>
      <c r="F30" s="173">
        <f t="shared" ca="1" si="3"/>
        <v>15942.39829871527</v>
      </c>
      <c r="G30" s="174">
        <f ca="1">IF(B30="","",IF('תנאי סף'!AL30=0,-1,IFERROR(F30/E30,"")))</f>
        <v>0.26588389424141545</v>
      </c>
      <c r="H30" s="347">
        <v>74780</v>
      </c>
      <c r="I30" s="350">
        <f t="shared" ca="1" si="4"/>
        <v>1.0150093380411243</v>
      </c>
      <c r="J30" s="496" t="str">
        <f t="shared" ca="1" si="5"/>
        <v>נדרש אישור ועדה לתמיכה</v>
      </c>
    </row>
    <row r="31" spans="1:10" ht="18.75" x14ac:dyDescent="0.3">
      <c r="A31" s="454">
        <f>'סכום מבוקש'!A31</f>
        <v>21</v>
      </c>
      <c r="B31" s="425" t="str">
        <f ca="1">'סכום מבוקש'!B31</f>
        <v>היסטוריה (החברה ההיסטורית הישרא</v>
      </c>
      <c r="C31" s="53">
        <f ca="1">'סכום מבוקש'!N31</f>
        <v>2.6907842345883441E-2</v>
      </c>
      <c r="D31" s="55">
        <f ca="1">'סכום מבוקש'!O31</f>
        <v>51310.941279157974</v>
      </c>
      <c r="E31" s="173">
        <f ca="1">IF(B31="","",ייצוב!D31)</f>
        <v>49832</v>
      </c>
      <c r="F31" s="173">
        <f t="shared" ca="1" si="3"/>
        <v>1478.9412791579743</v>
      </c>
      <c r="G31" s="174">
        <f ca="1">IF(B31="","",IF('תנאי סף'!AL31=0,-1,IFERROR(F31/E31,"")))</f>
        <v>2.9678545496026134E-2</v>
      </c>
      <c r="H31" s="347">
        <v>245308</v>
      </c>
      <c r="I31" s="350">
        <f t="shared" ca="1" si="4"/>
        <v>0.2091694574948961</v>
      </c>
      <c r="J31" s="496" t="str">
        <f t="shared" ca="1" si="5"/>
        <v/>
      </c>
    </row>
    <row r="32" spans="1:10" ht="18.75" x14ac:dyDescent="0.3">
      <c r="A32" s="454">
        <f>'סכום מבוקש'!A32</f>
        <v>22</v>
      </c>
      <c r="B32" s="425" t="str">
        <f ca="1">'סכום מבוקש'!B32</f>
        <v>מחול עכשיו (תמונע)</v>
      </c>
      <c r="C32" s="53">
        <f ca="1">'סכום מבוקש'!N32</f>
        <v>3.1464449891290325E-2</v>
      </c>
      <c r="D32" s="55">
        <f ca="1">'סכום מבוקש'!O32</f>
        <v>60000</v>
      </c>
      <c r="E32" s="173">
        <f ca="1">IF(B32="","",ייצוב!D32)</f>
        <v>52302</v>
      </c>
      <c r="F32" s="173">
        <f t="shared" ca="1" si="3"/>
        <v>7698</v>
      </c>
      <c r="G32" s="174">
        <f ca="1">IF(B32="","",IF('תנאי סף'!AL32=0,-1,IFERROR(F32/E32,"")))</f>
        <v>0.14718366410462316</v>
      </c>
      <c r="H32" s="347">
        <v>42745</v>
      </c>
      <c r="I32" s="350">
        <f t="shared" ca="1" si="4"/>
        <v>1.4036729442040006</v>
      </c>
      <c r="J32" s="496" t="str">
        <f t="shared" ca="1" si="5"/>
        <v>נדרש אישור ועדה לתמיכה</v>
      </c>
    </row>
    <row r="33" spans="1:10" ht="18.75" x14ac:dyDescent="0.3">
      <c r="A33" s="454">
        <f>'סכום מבוקש'!A33</f>
        <v>23</v>
      </c>
      <c r="B33" s="425" t="str">
        <f ca="1">'סכום מבוקש'!B33</f>
        <v>קול אישה שירה (תואר)</v>
      </c>
      <c r="C33" s="53">
        <f ca="1">'סכום מבוקש'!N33</f>
        <v>3.9330562364112906E-2</v>
      </c>
      <c r="D33" s="55">
        <f ca="1">'סכום מבוקש'!O33</f>
        <v>75000</v>
      </c>
      <c r="E33" s="173">
        <f ca="1">IF(B33="","",ייצוב!D33)</f>
        <v>60000</v>
      </c>
      <c r="F33" s="173">
        <f t="shared" ca="1" si="3"/>
        <v>15000</v>
      </c>
      <c r="G33" s="174">
        <f ca="1">IF(B33="","",IF('תנאי סף'!AL33=0,-1,IFERROR(F33/E33,"")))</f>
        <v>0.25</v>
      </c>
      <c r="H33" s="347">
        <v>33350</v>
      </c>
      <c r="I33" s="350">
        <f t="shared" ca="1" si="4"/>
        <v>2.2488755622188905</v>
      </c>
      <c r="J33" s="496"/>
    </row>
    <row r="34" spans="1:10" ht="18.75" x14ac:dyDescent="0.3">
      <c r="A34" s="454">
        <f>'סכום מבוקש'!A34</f>
        <v>24</v>
      </c>
      <c r="B34" s="425" t="str">
        <f ca="1">'סכום מבוקש'!B34</f>
        <v>האיגוד העולמי למדעי היהדות</v>
      </c>
      <c r="C34" s="53">
        <f ca="1">'סכום מבוקש'!N34</f>
        <v>3.3863224484455466E-2</v>
      </c>
      <c r="D34" s="55">
        <f ca="1">'סכום מבוקש'!O34</f>
        <v>64574.256854550913</v>
      </c>
      <c r="E34" s="173">
        <f ca="1">IF(B34="","",ייצוב!D34)</f>
        <v>62879</v>
      </c>
      <c r="F34" s="173">
        <f t="shared" ca="1" si="3"/>
        <v>1695.256854550913</v>
      </c>
      <c r="G34" s="174">
        <f ca="1">IF(B34="","",IF('תנאי סף'!AL34=0,-1,IFERROR(F34/E34,"")))</f>
        <v>2.6960620470282814E-2</v>
      </c>
      <c r="H34" s="347">
        <v>215639</v>
      </c>
      <c r="I34" s="350">
        <f t="shared" ca="1" si="4"/>
        <v>0.29945537149843449</v>
      </c>
      <c r="J34" s="496"/>
    </row>
    <row r="35" spans="1:10" ht="18.75" x14ac:dyDescent="0.3">
      <c r="A35" s="454">
        <f>'סכום מבוקש'!A35</f>
        <v>25</v>
      </c>
      <c r="B35" s="425" t="str">
        <f ca="1">'סכום מבוקש'!B35</f>
        <v/>
      </c>
      <c r="C35" s="53" t="str">
        <f ca="1">'סכום מבוקש'!N35</f>
        <v/>
      </c>
      <c r="D35" s="55" t="str">
        <f ca="1">'סכום מבוקש'!O35</f>
        <v/>
      </c>
      <c r="E35" s="173" t="str">
        <f ca="1">IF(B35="","",ייצוב!D35)</f>
        <v/>
      </c>
      <c r="F35" s="173" t="str">
        <f t="shared" ca="1" si="3"/>
        <v/>
      </c>
      <c r="G35" s="174" t="str">
        <f ca="1">IF(B35="","",IF('תנאי סף'!AL35=0,-1,IFERROR(F35/E35,"")))</f>
        <v/>
      </c>
      <c r="H35" s="347"/>
      <c r="I35" s="350" t="str">
        <f t="shared" si="4"/>
        <v/>
      </c>
      <c r="J35" s="496"/>
    </row>
    <row r="36" spans="1:10" ht="18.75" x14ac:dyDescent="0.3">
      <c r="A36" s="454">
        <f>'סכום מבוקש'!A36</f>
        <v>26</v>
      </c>
      <c r="B36" s="425" t="str">
        <f ca="1">'סכום מבוקש'!B36</f>
        <v/>
      </c>
      <c r="C36" s="53" t="str">
        <f ca="1">'סכום מבוקש'!N36</f>
        <v/>
      </c>
      <c r="D36" s="55" t="str">
        <f ca="1">'סכום מבוקש'!O36</f>
        <v/>
      </c>
      <c r="E36" s="173" t="str">
        <f ca="1">IF(B36="","",ייצוב!D36)</f>
        <v/>
      </c>
      <c r="F36" s="173" t="str">
        <f t="shared" ca="1" si="3"/>
        <v/>
      </c>
      <c r="G36" s="174" t="str">
        <f ca="1">IF(B36="","",IF('תנאי סף'!AL36=0,-1,IFERROR(F36/E36,"")))</f>
        <v/>
      </c>
      <c r="H36" s="347"/>
      <c r="I36" s="350" t="str">
        <f t="shared" si="4"/>
        <v/>
      </c>
      <c r="J36" s="496"/>
    </row>
    <row r="37" spans="1:10" ht="18.75" x14ac:dyDescent="0.3">
      <c r="A37" s="454">
        <f>'סכום מבוקש'!A37</f>
        <v>27</v>
      </c>
      <c r="B37" s="425" t="str">
        <f ca="1">'סכום מבוקש'!B37</f>
        <v/>
      </c>
      <c r="C37" s="53" t="str">
        <f ca="1">'סכום מבוקש'!N37</f>
        <v/>
      </c>
      <c r="D37" s="55" t="str">
        <f ca="1">'סכום מבוקש'!O37</f>
        <v/>
      </c>
      <c r="E37" s="173" t="str">
        <f ca="1">IF(B37="","",ייצוב!D37)</f>
        <v/>
      </c>
      <c r="F37" s="173" t="str">
        <f t="shared" ca="1" si="3"/>
        <v/>
      </c>
      <c r="G37" s="174" t="str">
        <f ca="1">IF(B37="","",IF('תנאי סף'!AL37=0,-1,IFERROR(F37/E37,"")))</f>
        <v/>
      </c>
      <c r="H37" s="347"/>
      <c r="I37" s="350" t="str">
        <f t="shared" si="4"/>
        <v/>
      </c>
      <c r="J37" s="496"/>
    </row>
    <row r="38" spans="1:10" ht="18.75" x14ac:dyDescent="0.3">
      <c r="A38" s="454">
        <f>'סכום מבוקש'!A38</f>
        <v>28</v>
      </c>
      <c r="B38" s="425" t="str">
        <f ca="1">'סכום מבוקש'!B38</f>
        <v/>
      </c>
      <c r="C38" s="53" t="str">
        <f ca="1">'סכום מבוקש'!N38</f>
        <v/>
      </c>
      <c r="D38" s="55" t="str">
        <f ca="1">'סכום מבוקש'!O38</f>
        <v/>
      </c>
      <c r="E38" s="173" t="str">
        <f ca="1">IF(B38="","",ייצוב!D38)</f>
        <v/>
      </c>
      <c r="F38" s="173" t="str">
        <f t="shared" ca="1" si="3"/>
        <v/>
      </c>
      <c r="G38" s="174" t="str">
        <f ca="1">IF(B38="","",IF('תנאי סף'!AL38=0,-1,IFERROR(F38/E38,"")))</f>
        <v/>
      </c>
      <c r="H38" s="347"/>
      <c r="I38" s="350" t="str">
        <f t="shared" si="4"/>
        <v/>
      </c>
      <c r="J38" s="496"/>
    </row>
    <row r="39" spans="1:10" ht="18.75" x14ac:dyDescent="0.3">
      <c r="A39" s="454">
        <f>'סכום מבוקש'!A39</f>
        <v>29</v>
      </c>
      <c r="B39" s="425" t="str">
        <f ca="1">'סכום מבוקש'!B39</f>
        <v>גופא (נתיב האומן )</v>
      </c>
      <c r="C39" s="53">
        <f ca="1">'סכום מבוקש'!N39</f>
        <v>2.3481327676977509E-2</v>
      </c>
      <c r="D39" s="55">
        <f ca="1">'סכום מבוקש'!O39</f>
        <v>44776.872485815889</v>
      </c>
      <c r="E39" s="173">
        <f ca="1">IF(B39="","",ייצוב!D39)</f>
        <v>39915</v>
      </c>
      <c r="F39" s="173">
        <f t="shared" ca="1" si="3"/>
        <v>4861.8724858158894</v>
      </c>
      <c r="G39" s="174">
        <f ca="1">IF(B39="","",IF('תנאי סף'!AL39=0,-1,IFERROR(F39/E39,"")))</f>
        <v>0.12180564914984064</v>
      </c>
      <c r="H39" s="347">
        <v>57100</v>
      </c>
      <c r="I39" s="350">
        <f t="shared" ca="1" si="4"/>
        <v>0.78418340605632031</v>
      </c>
      <c r="J39" s="496"/>
    </row>
    <row r="40" spans="1:10" ht="18.75" x14ac:dyDescent="0.3">
      <c r="A40" s="454">
        <f>'סכום מבוקש'!A40</f>
        <v>30</v>
      </c>
      <c r="B40" s="425" t="str">
        <f ca="1">'סכום מבוקש'!B40</f>
        <v>ערב רב (בר קיימא)</v>
      </c>
      <c r="C40" s="53">
        <f ca="1">'סכום מבוקש'!N40</f>
        <v>3.4548990452315215E-2</v>
      </c>
      <c r="D40" s="55">
        <f ca="1">'סכום מבוקש'!O40</f>
        <v>65881.953579386216</v>
      </c>
      <c r="E40" s="173">
        <f ca="1">IF(B40="","",ייצוב!D40)</f>
        <v>66237</v>
      </c>
      <c r="F40" s="173">
        <f t="shared" ca="1" si="3"/>
        <v>-355.04642061378399</v>
      </c>
      <c r="G40" s="174">
        <f ca="1">IF(B40="","",IF('תנאי סף'!AL40=0,-1,IFERROR(F40/E40,"")))</f>
        <v>-5.3602430758304875E-3</v>
      </c>
      <c r="H40" s="347">
        <v>91693</v>
      </c>
      <c r="I40" s="350">
        <f t="shared" ca="1" si="4"/>
        <v>0.71850581374135669</v>
      </c>
      <c r="J40" s="496"/>
    </row>
    <row r="41" spans="1:10" ht="18.75" x14ac:dyDescent="0.3">
      <c r="A41" s="454">
        <f>'סכום מבוקש'!A41</f>
        <v>31</v>
      </c>
      <c r="B41" s="425" t="str">
        <f ca="1">'סכום מבוקש'!B41</f>
        <v/>
      </c>
      <c r="C41" s="53" t="str">
        <f ca="1">'סכום מבוקש'!N41</f>
        <v/>
      </c>
      <c r="D41" s="55" t="str">
        <f ca="1">'סכום מבוקש'!O41</f>
        <v/>
      </c>
      <c r="E41" s="173" t="str">
        <f ca="1">IF(B41="","",ייצוב!D41)</f>
        <v/>
      </c>
      <c r="F41" s="173" t="str">
        <f t="shared" ca="1" si="3"/>
        <v/>
      </c>
      <c r="G41" s="174" t="str">
        <f ca="1">IF(B41="","",IF('תנאי סף'!AL41=0,-1,IFERROR(F41/E41,"")))</f>
        <v/>
      </c>
      <c r="H41" s="347"/>
      <c r="I41" s="350" t="str">
        <f t="shared" si="4"/>
        <v/>
      </c>
      <c r="J41" s="496"/>
    </row>
    <row r="42" spans="1:10" ht="18.75" x14ac:dyDescent="0.3">
      <c r="A42" s="454">
        <f>'סכום מבוקש'!A42</f>
        <v>32</v>
      </c>
      <c r="B42" s="425" t="str">
        <f ca="1">'סכום מבוקש'!B42</f>
        <v>מעלה</v>
      </c>
      <c r="C42" s="53">
        <f ca="1">'סכום מבוקש'!N42</f>
        <v>6.2988168523350777E-2</v>
      </c>
      <c r="D42" s="55">
        <f ca="1">'סכום מבוקש'!O42</f>
        <v>120113.02039153693</v>
      </c>
      <c r="E42" s="173">
        <f ca="1">IF(B42="","",ייצוב!D42)</f>
        <v>80000</v>
      </c>
      <c r="F42" s="173">
        <f t="shared" ca="1" si="3"/>
        <v>40113.020391536935</v>
      </c>
      <c r="G42" s="174">
        <f ca="1">IF(B42="","",IF('תנאי סף'!AL42=0,-1,IFERROR(F42/E42,"")))</f>
        <v>0.50141275489421167</v>
      </c>
      <c r="H42" s="347">
        <v>36640</v>
      </c>
      <c r="I42" s="350">
        <f t="shared" ca="1" si="4"/>
        <v>3.278193787978628</v>
      </c>
      <c r="J42" s="496"/>
    </row>
    <row r="43" spans="1:10" ht="18.75" x14ac:dyDescent="0.3">
      <c r="A43" s="454">
        <f>'סכום מבוקש'!A43</f>
        <v>33</v>
      </c>
      <c r="B43" s="425" t="str">
        <f ca="1">'סכום מבוקש'!B43</f>
        <v/>
      </c>
      <c r="C43" s="53" t="str">
        <f ca="1">'סכום מבוקש'!N43</f>
        <v/>
      </c>
      <c r="D43" s="55" t="str">
        <f ca="1">'סכום מבוקש'!O43</f>
        <v/>
      </c>
      <c r="E43" s="173" t="str">
        <f ca="1">IF(B43="","",ייצוב!D43)</f>
        <v/>
      </c>
      <c r="F43" s="173" t="str">
        <f t="shared" ca="1" si="3"/>
        <v/>
      </c>
      <c r="G43" s="174" t="str">
        <f ca="1">IF(B43="","",IF('תנאי סף'!AL43=0,-1,IFERROR(F43/E43,"")))</f>
        <v/>
      </c>
      <c r="H43" s="347"/>
      <c r="I43" s="350" t="str">
        <f t="shared" si="4"/>
        <v/>
      </c>
      <c r="J43" s="496"/>
    </row>
    <row r="44" spans="1:10" ht="18.75" x14ac:dyDescent="0.3">
      <c r="A44" s="454">
        <f>'סכום מבוקש'!A44</f>
        <v>34</v>
      </c>
      <c r="B44" s="425" t="str">
        <f ca="1">'סכום מבוקש'!B44</f>
        <v>כתב עת ירושלמי</v>
      </c>
      <c r="C44" s="53">
        <f ca="1">'סכום מבוקש'!N44</f>
        <v>3.1388010273955561E-2</v>
      </c>
      <c r="D44" s="55">
        <f ca="1">'סכום מבוקש'!O44</f>
        <v>59854.236223549698</v>
      </c>
      <c r="E44" s="173">
        <f ca="1">IF(B44="","",ייצוב!D44)</f>
        <v>65526</v>
      </c>
      <c r="F44" s="173">
        <f t="shared" ca="1" si="3"/>
        <v>-5671.7637764503015</v>
      </c>
      <c r="G44" s="174">
        <f ca="1">IF(B44="","",IF('תנאי סף'!AL44=0,-1,IFERROR(F44/E44,"")))</f>
        <v>-8.6557454696613578E-2</v>
      </c>
      <c r="H44" s="347">
        <v>110080</v>
      </c>
      <c r="I44" s="350">
        <f t="shared" ca="1" si="4"/>
        <v>0.54373397732149076</v>
      </c>
      <c r="J44" s="496"/>
    </row>
    <row r="45" spans="1:10" ht="18.75" x14ac:dyDescent="0.3">
      <c r="A45" s="454">
        <f>'סכום מבוקש'!A45</f>
        <v>35</v>
      </c>
      <c r="B45" s="425" t="str">
        <f ca="1">'סכום מבוקש'!B45</f>
        <v/>
      </c>
      <c r="C45" s="53" t="str">
        <f ca="1">'סכום מבוקש'!N45</f>
        <v/>
      </c>
      <c r="D45" s="55" t="str">
        <f ca="1">'סכום מבוקש'!O45</f>
        <v/>
      </c>
      <c r="E45" s="173" t="str">
        <f ca="1">IF(B45="","",ייצוב!D45)</f>
        <v/>
      </c>
      <c r="F45" s="173" t="str">
        <f t="shared" ca="1" si="3"/>
        <v/>
      </c>
      <c r="G45" s="174" t="str">
        <f ca="1">IF(B45="","",IF('תנאי סף'!AL45=0,-1,IFERROR(F45/E45,"")))</f>
        <v/>
      </c>
      <c r="H45" s="495"/>
      <c r="I45" s="350" t="str">
        <f t="shared" si="4"/>
        <v/>
      </c>
      <c r="J45" s="496"/>
    </row>
    <row r="46" spans="1:10" ht="18.75" x14ac:dyDescent="0.3">
      <c r="A46" s="454">
        <f>'סכום מבוקש'!A46</f>
        <v>36</v>
      </c>
      <c r="B46" s="425" t="str">
        <f ca="1">'סכום מבוקש'!B46</f>
        <v>העמותה ליצירה פנטסטית- אוטופיה</v>
      </c>
      <c r="C46" s="53">
        <f ca="1">'סכום מבוקש'!N46</f>
        <v>3.9434231429715659E-2</v>
      </c>
      <c r="D46" s="55">
        <f ca="1">'סכום מבוקש'!O46</f>
        <v>75197.68799256481</v>
      </c>
      <c r="E46" s="173">
        <f ca="1">IF(B46="","",ייצוב!D46)</f>
        <v>0</v>
      </c>
      <c r="F46" s="173">
        <f t="shared" ca="1" si="3"/>
        <v>75197.68799256481</v>
      </c>
      <c r="G46" s="174" t="str">
        <f ca="1">IF(B46="","",IF('תנאי סף'!AL46=0,-1,IFERROR(F46/E46,"")))</f>
        <v/>
      </c>
      <c r="H46" s="495"/>
      <c r="I46" s="350" t="str">
        <f t="shared" si="4"/>
        <v/>
      </c>
      <c r="J46" s="496"/>
    </row>
    <row r="47" spans="1:10" ht="18.75" x14ac:dyDescent="0.3">
      <c r="A47" s="454">
        <f>'סכום מבוקש'!A47</f>
        <v>37</v>
      </c>
      <c r="B47" s="425" t="str">
        <f ca="1">'סכום מבוקש'!B47</f>
        <v/>
      </c>
      <c r="C47" s="53" t="str">
        <f ca="1">'סכום מבוקש'!N47</f>
        <v/>
      </c>
      <c r="D47" s="55" t="str">
        <f ca="1">'סכום מבוקש'!O47</f>
        <v/>
      </c>
      <c r="E47" s="173" t="str">
        <f ca="1">IF(B47="","",ייצוב!D47)</f>
        <v/>
      </c>
      <c r="F47" s="173" t="str">
        <f t="shared" ca="1" si="3"/>
        <v/>
      </c>
      <c r="G47" s="174" t="str">
        <f ca="1">IF(B47="","",IF('תנאי סף'!AL47=0,-1,IFERROR(F47/E47,"")))</f>
        <v/>
      </c>
      <c r="H47" s="495"/>
      <c r="I47" s="350" t="str">
        <f t="shared" si="4"/>
        <v/>
      </c>
      <c r="J47" s="496"/>
    </row>
    <row r="48" spans="1:10" ht="18.75" x14ac:dyDescent="0.3">
      <c r="A48" s="454">
        <f>'סכום מבוקש'!A48</f>
        <v>38</v>
      </c>
      <c r="B48" s="425" t="str">
        <f ca="1">'סכום מבוקש'!B48</f>
        <v/>
      </c>
      <c r="C48" s="53" t="str">
        <f ca="1">'סכום מבוקש'!N48</f>
        <v/>
      </c>
      <c r="D48" s="55" t="str">
        <f ca="1">'סכום מבוקש'!O48</f>
        <v/>
      </c>
      <c r="E48" s="173" t="str">
        <f ca="1">IF(B48="","",ייצוב!D48)</f>
        <v/>
      </c>
      <c r="F48" s="173" t="str">
        <f t="shared" ca="1" si="3"/>
        <v/>
      </c>
      <c r="G48" s="174" t="str">
        <f ca="1">IF(B48="","",IF('תנאי סף'!AL48=0,-1,IFERROR(F48/E48,"")))</f>
        <v/>
      </c>
      <c r="H48" s="495"/>
      <c r="I48" s="350" t="str">
        <f t="shared" si="4"/>
        <v/>
      </c>
      <c r="J48" s="496"/>
    </row>
    <row r="49" spans="1:10" ht="18.75" x14ac:dyDescent="0.3">
      <c r="A49" s="454">
        <f>'סכום מבוקש'!A49</f>
        <v>39</v>
      </c>
      <c r="B49" s="425" t="str">
        <f ca="1">'סכום מבוקש'!B49</f>
        <v/>
      </c>
      <c r="C49" s="53" t="str">
        <f ca="1">'סכום מבוקש'!N49</f>
        <v/>
      </c>
      <c r="D49" s="55" t="str">
        <f ca="1">'סכום מבוקש'!O49</f>
        <v/>
      </c>
      <c r="E49" s="173" t="str">
        <f ca="1">IF(B49="","",ייצוב!D49)</f>
        <v/>
      </c>
      <c r="F49" s="173" t="str">
        <f t="shared" ca="1" si="3"/>
        <v/>
      </c>
      <c r="G49" s="174" t="str">
        <f ca="1">IF(B49="","",IF('תנאי סף'!AL49=0,-1,IFERROR(F49/E49,"")))</f>
        <v/>
      </c>
      <c r="H49" s="495"/>
      <c r="I49" s="350" t="str">
        <f t="shared" si="4"/>
        <v/>
      </c>
      <c r="J49" s="496"/>
    </row>
    <row r="50" spans="1:10" ht="19.5" thickBot="1" x14ac:dyDescent="0.35">
      <c r="A50" s="454">
        <f>'סכום מבוקש'!A50</f>
        <v>40</v>
      </c>
      <c r="B50" s="425" t="str">
        <f ca="1">'סכום מבוקש'!B50</f>
        <v/>
      </c>
      <c r="C50" s="53" t="str">
        <f ca="1">'סכום מבוקש'!N50</f>
        <v/>
      </c>
      <c r="D50" s="55" t="str">
        <f ca="1">'סכום מבוקש'!O50</f>
        <v/>
      </c>
      <c r="E50" s="173" t="str">
        <f ca="1">IF(B50="","",ייצוב!D50)</f>
        <v/>
      </c>
      <c r="F50" s="173" t="str">
        <f t="shared" ca="1" si="3"/>
        <v/>
      </c>
      <c r="G50" s="174" t="str">
        <f ca="1">IF(B50="","",IF('תנאי סף'!AL50=0,-1,IFERROR(F50/E50,"")))</f>
        <v/>
      </c>
      <c r="H50" s="495"/>
      <c r="I50" s="350" t="str">
        <f t="shared" si="4"/>
        <v/>
      </c>
      <c r="J50" s="496"/>
    </row>
    <row r="51" spans="1:10" ht="20.25" thickTop="1" thickBot="1" x14ac:dyDescent="0.35">
      <c r="A51" s="663" t="s">
        <v>54</v>
      </c>
      <c r="B51" s="664"/>
      <c r="C51" s="8">
        <f ca="1">SUM(C11:C50)</f>
        <v>0.99999999999999989</v>
      </c>
      <c r="D51" s="455">
        <f ca="1">SUM(D11:D50)</f>
        <v>1906914</v>
      </c>
      <c r="E51" s="455">
        <f ca="1">SUM(E11:E50)</f>
        <v>1866913</v>
      </c>
      <c r="F51" s="455">
        <f ca="1">SUM(F11:F50)</f>
        <v>40001.000000000131</v>
      </c>
      <c r="G51" s="455"/>
      <c r="H51" s="156">
        <f>SUM(H11:H50)</f>
        <v>2890481</v>
      </c>
      <c r="I51" s="455"/>
      <c r="J51" s="455"/>
    </row>
    <row r="52" spans="1:10" ht="13.5" thickTop="1" x14ac:dyDescent="0.2"/>
  </sheetData>
  <sheetProtection algorithmName="SHA-512" hashValue="49TD1D918K4qtSIBDxqXn3duj2jIeIwQLWaSIIq5wKxBiAZMwFKGrmZOkIx9g0ygaarLIwoBXIecZd03L4vkOQ==" saltValue="sHmnqTrflLkxihRmjuoRXw==" spinCount="100000" sheet="1" scenarios="1" formatColumns="0" formatRows="0"/>
  <mergeCells count="2">
    <mergeCell ref="A51:B51"/>
    <mergeCell ref="A9:G9"/>
  </mergeCells>
  <phoneticPr fontId="24" type="noConversion"/>
  <conditionalFormatting sqref="D11:D50">
    <cfRule type="cellIs" dxfId="1001" priority="3" stopIfTrue="1" operator="notEqual">
      <formula>#REF!</formula>
    </cfRule>
  </conditionalFormatting>
  <conditionalFormatting sqref="H11:H44">
    <cfRule type="expression" dxfId="1000" priority="1" stopIfTrue="1">
      <formula>$J$11=0</formula>
    </cfRule>
  </conditionalFormatting>
  <conditionalFormatting sqref="I11:I50">
    <cfRule type="cellIs" dxfId="999" priority="5" operator="greaterThan">
      <formula>0.75</formula>
    </cfRule>
  </conditionalFormatting>
  <pageMargins left="0.27559055118110237" right="0.19685039370078741" top="0.51181102362204722" bottom="0.39370078740157483" header="0.15748031496062992" footer="0.19685039370078741"/>
  <pageSetup paperSize="9" scale="60" orientation="landscape" horizontalDpi="1200" verticalDpi="1200" r:id="rId1"/>
  <headerFooter alignWithMargins="0">
    <oddHeader>&amp;Lגרסא 2.2&amp;C&amp;12מבחנים לחלוקת כספי תמיכות של משרד החינוך התרבות והספורט למוסדות ציבור לפי חוק יסודות התקציב, התשמ"ה  - 1985
&amp;Uתמיכה במוסדות תרבות בתחום כתבי העת</oddHeader>
    <oddFooter>&amp;L&amp;"Arial,מודגש"&amp;12א. חפץ ושות'
יעוץ כלכלי&amp;Cעמוד &amp;P מתוך &amp;N&amp;R&amp;A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גיליון7">
    <tabColor theme="8" tint="-0.249977111117893"/>
  </sheetPr>
  <dimension ref="B1:AB71"/>
  <sheetViews>
    <sheetView rightToLeft="1" view="pageBreakPreview" topLeftCell="B1" zoomScaleNormal="100" zoomScaleSheetLayoutView="100" workbookViewId="0">
      <pane ySplit="30" topLeftCell="A31" activePane="bottomLeft" state="frozen"/>
      <selection activeCell="H39" sqref="H39"/>
      <selection pane="bottomLeft" activeCell="B31" sqref="B31"/>
    </sheetView>
  </sheetViews>
  <sheetFormatPr defaultColWidth="9.140625" defaultRowHeight="15.75" x14ac:dyDescent="0.25"/>
  <cols>
    <col min="1" max="1" width="0" style="271" hidden="1" customWidth="1"/>
    <col min="2" max="2" width="11.42578125" style="271" customWidth="1"/>
    <col min="3" max="3" width="38.5703125" style="271" customWidth="1"/>
    <col min="4" max="4" width="18.28515625" style="271" customWidth="1"/>
    <col min="5" max="5" width="15.5703125" style="271" customWidth="1"/>
    <col min="6" max="6" width="11.7109375" style="271" customWidth="1"/>
    <col min="7" max="7" width="16" style="271" customWidth="1"/>
    <col min="8" max="8" width="27.42578125" style="271" customWidth="1"/>
    <col min="9" max="20" width="27.42578125" style="271" hidden="1" customWidth="1"/>
    <col min="21" max="21" width="16.85546875" style="271" customWidth="1"/>
    <col min="22" max="22" width="10.85546875" style="271" customWidth="1"/>
    <col min="23" max="24" width="9.140625" style="271"/>
    <col min="25" max="28" width="0" style="271" hidden="1" customWidth="1"/>
    <col min="29" max="16384" width="9.140625" style="271"/>
  </cols>
  <sheetData>
    <row r="1" spans="2:28" ht="37.5" x14ac:dyDescent="0.25">
      <c r="B1" s="312" t="str">
        <f>פרמטרים!$B$1</f>
        <v>שנת התקציב</v>
      </c>
      <c r="C1" s="270">
        <f>פרמטרים!$C$1</f>
        <v>2025</v>
      </c>
      <c r="AB1" s="271" t="s">
        <v>243</v>
      </c>
    </row>
    <row r="2" spans="2:28" ht="19.5" thickBot="1" x14ac:dyDescent="0.3">
      <c r="B2" s="272" t="str">
        <f>פרמטרים!$B$2</f>
        <v>תקציב</v>
      </c>
      <c r="C2" s="273">
        <f>פרמטרים!$C$2</f>
        <v>1906914</v>
      </c>
    </row>
    <row r="3" spans="2:28" x14ac:dyDescent="0.25">
      <c r="B3"/>
      <c r="C3"/>
      <c r="D3"/>
      <c r="E3"/>
      <c r="F3"/>
      <c r="G3"/>
      <c r="H3"/>
      <c r="I3"/>
      <c r="J3"/>
      <c r="K3"/>
      <c r="L3"/>
      <c r="M3"/>
      <c r="N3"/>
      <c r="O3"/>
      <c r="P3"/>
      <c r="Q3"/>
      <c r="R3"/>
      <c r="S3"/>
      <c r="T3"/>
      <c r="U3"/>
      <c r="V3"/>
      <c r="W3"/>
      <c r="X3"/>
      <c r="Y3"/>
      <c r="Z3"/>
      <c r="AA3"/>
      <c r="AB3"/>
    </row>
    <row r="4" spans="2:28" hidden="1" x14ac:dyDescent="0.25"/>
    <row r="5" spans="2:28" ht="13.5" hidden="1" customHeight="1" x14ac:dyDescent="0.25"/>
    <row r="6" spans="2:28" hidden="1" x14ac:dyDescent="0.25"/>
    <row r="7" spans="2:28" hidden="1" x14ac:dyDescent="0.25"/>
    <row r="8" spans="2:28" hidden="1" x14ac:dyDescent="0.25"/>
    <row r="9" spans="2:28" hidden="1" x14ac:dyDescent="0.25"/>
    <row r="10" spans="2:28" hidden="1" x14ac:dyDescent="0.25"/>
    <row r="11" spans="2:28" hidden="1" x14ac:dyDescent="0.25"/>
    <row r="12" spans="2:28" hidden="1" x14ac:dyDescent="0.25"/>
    <row r="13" spans="2:28" hidden="1" x14ac:dyDescent="0.25"/>
    <row r="14" spans="2:28" hidden="1" x14ac:dyDescent="0.25"/>
    <row r="15" spans="2:28" hidden="1" x14ac:dyDescent="0.25"/>
    <row r="16" spans="2:28" hidden="1" x14ac:dyDescent="0.25"/>
    <row r="17" spans="2:25" hidden="1" x14ac:dyDescent="0.25"/>
    <row r="18" spans="2:25" hidden="1" x14ac:dyDescent="0.25"/>
    <row r="19" spans="2:25" hidden="1" x14ac:dyDescent="0.25"/>
    <row r="20" spans="2:25" hidden="1" x14ac:dyDescent="0.25"/>
    <row r="21" spans="2:25" hidden="1" x14ac:dyDescent="0.25"/>
    <row r="22" spans="2:25" hidden="1" x14ac:dyDescent="0.25"/>
    <row r="23" spans="2:25" hidden="1" x14ac:dyDescent="0.25"/>
    <row r="24" spans="2:25" hidden="1" x14ac:dyDescent="0.25"/>
    <row r="25" spans="2:25" hidden="1" x14ac:dyDescent="0.25"/>
    <row r="26" spans="2:25" hidden="1" x14ac:dyDescent="0.25"/>
    <row r="27" spans="2:25" ht="16.5" thickBot="1" x14ac:dyDescent="0.3"/>
    <row r="28" spans="2:25" ht="19.5" thickBot="1" x14ac:dyDescent="0.3">
      <c r="B28" s="670" t="str">
        <f ca="1">MID(CELL("filename",B29),FIND("]",CELL("filename",C29),1)+1,99)</f>
        <v>הגבלה לסכום מבוקש (1)</v>
      </c>
      <c r="C28" s="671"/>
      <c r="D28" s="671"/>
      <c r="E28" s="671"/>
      <c r="F28" s="671"/>
      <c r="G28" s="671"/>
      <c r="H28" s="671"/>
      <c r="I28" s="671"/>
      <c r="J28" s="671"/>
      <c r="K28" s="671"/>
      <c r="L28" s="671"/>
      <c r="M28" s="671"/>
      <c r="N28" s="671"/>
      <c r="O28" s="671"/>
      <c r="P28" s="671"/>
      <c r="Q28" s="671"/>
      <c r="R28" s="671"/>
      <c r="S28" s="671"/>
      <c r="T28" s="671"/>
      <c r="U28" s="671"/>
      <c r="V28" s="672"/>
    </row>
    <row r="29" spans="2:25" s="274" customFormat="1" ht="45" customHeight="1" x14ac:dyDescent="0.25">
      <c r="B29" s="673" t="s">
        <v>102</v>
      </c>
      <c r="C29" s="675" t="s">
        <v>103</v>
      </c>
      <c r="D29" s="494" t="s">
        <v>244</v>
      </c>
      <c r="E29" s="677" t="s">
        <v>245</v>
      </c>
      <c r="F29" s="677" t="s">
        <v>246</v>
      </c>
      <c r="G29" s="677" t="s">
        <v>247</v>
      </c>
      <c r="H29" s="677" t="s">
        <v>248</v>
      </c>
      <c r="I29" s="497"/>
      <c r="J29" s="497"/>
      <c r="K29" s="497"/>
      <c r="L29" s="497"/>
      <c r="M29" s="497"/>
      <c r="N29" s="497"/>
      <c r="O29" s="497"/>
      <c r="P29" s="497"/>
      <c r="Q29" s="497"/>
      <c r="R29" s="497"/>
      <c r="S29" s="497"/>
      <c r="T29" s="497"/>
      <c r="U29" s="677" t="s">
        <v>249</v>
      </c>
      <c r="V29" s="679" t="s">
        <v>250</v>
      </c>
      <c r="Y29" s="668" t="s">
        <v>251</v>
      </c>
    </row>
    <row r="30" spans="2:25" s="274" customFormat="1" ht="30.75" customHeight="1" thickBot="1" x14ac:dyDescent="0.3">
      <c r="B30" s="674"/>
      <c r="C30" s="676"/>
      <c r="D30" s="275" t="s">
        <v>147</v>
      </c>
      <c r="E30" s="678"/>
      <c r="F30" s="678"/>
      <c r="G30" s="678"/>
      <c r="H30" s="678"/>
      <c r="I30" s="498" t="s">
        <v>252</v>
      </c>
      <c r="J30" s="498" t="s">
        <v>253</v>
      </c>
      <c r="K30" s="498" t="s">
        <v>254</v>
      </c>
      <c r="L30" s="498" t="s">
        <v>255</v>
      </c>
      <c r="M30" s="498" t="s">
        <v>256</v>
      </c>
      <c r="N30" s="498" t="s">
        <v>257</v>
      </c>
      <c r="O30" s="498" t="s">
        <v>258</v>
      </c>
      <c r="P30" s="498" t="s">
        <v>259</v>
      </c>
      <c r="Q30" s="498" t="s">
        <v>260</v>
      </c>
      <c r="R30" s="498" t="s">
        <v>261</v>
      </c>
      <c r="S30" s="498" t="s">
        <v>262</v>
      </c>
      <c r="T30" s="498" t="s">
        <v>263</v>
      </c>
      <c r="U30" s="678"/>
      <c r="V30" s="680"/>
      <c r="Y30" s="668"/>
    </row>
    <row r="31" spans="2:25" s="274" customFormat="1" x14ac:dyDescent="0.25">
      <c r="B31" s="276">
        <f ca="1">IF(C31="","",ROW()-30)</f>
        <v>1</v>
      </c>
      <c r="C31" s="277" t="str">
        <f ca="1">סיכום!B11</f>
        <v>1280 מעלות (אמנים יוצרים)</v>
      </c>
      <c r="D31" s="278">
        <f ca="1">IF(C31="","",IF('סכום מבוקש'!E11="",0,'סכום מבוקש'!E11))</f>
        <v>100000</v>
      </c>
      <c r="E31" s="278">
        <f ca="1">IF(C31="","",סיכום!D11)</f>
        <v>66144.47652798082</v>
      </c>
      <c r="F31" s="279">
        <f ca="1">IF(C31="","",IF(E31="",0,IF(E31&gt;$D31,1,0)))</f>
        <v>0</v>
      </c>
      <c r="G31" s="278">
        <f ca="1">IF($C31="","",IF(E31="",0,MIN(D31:E31)))</f>
        <v>66144.47652798082</v>
      </c>
      <c r="H31" s="278">
        <f t="shared" ref="H31:H70" ca="1" si="0">IF($C31="","",IF(F31=1,G31,G31/SUMIF(F$31:F$70,0,G$31:G$70)*($C$2-SUMIF(F$31:F$70,1,G$31:G$70))))</f>
        <v>66144.47652798082</v>
      </c>
      <c r="I31" s="280">
        <f t="shared" ref="I31:I70" ca="1" si="1">IF(OR(H31&gt;$D31,$F31=1),1,0)</f>
        <v>0</v>
      </c>
      <c r="J31" s="281">
        <f t="shared" ref="J31:J70" ca="1" si="2">IF($C31="","",MIN(H31,$D31))</f>
        <v>66144.47652798082</v>
      </c>
      <c r="K31" s="281">
        <f t="shared" ref="K31:K70" ca="1" si="3">IF($C31="","",IF(I31=1,J31,J31/SUMIF(I$31:I$70,0,J$31:J$70)*($C$2-SUMIF(I$31:I$70,1,J$31:J$70))))</f>
        <v>66144.47652798082</v>
      </c>
      <c r="L31" s="280">
        <f t="shared" ref="L31:L70" ca="1" si="4">IF(OR(K31&gt;$D31,$F31=1,$I31=1),1,0)</f>
        <v>0</v>
      </c>
      <c r="M31" s="281">
        <f t="shared" ref="M31:M70" ca="1" si="5">IF($C31="","",MIN(K31,$D31))</f>
        <v>66144.47652798082</v>
      </c>
      <c r="N31" s="281">
        <f t="shared" ref="N31:N70" ca="1" si="6">IF($C31="","",IF(L31=1,M31,M31/SUMIF(L$31:L$70,0,M$31:M$70)*($C$2-SUMIF(L$31:L$70,1,M$31:M$70))))</f>
        <v>66144.47652798082</v>
      </c>
      <c r="O31" s="280">
        <f t="shared" ref="O31:O70" ca="1" si="7">IF(OR(N31&gt;$D31,$F31=1,$I31=1,$L31=1),1,0)</f>
        <v>0</v>
      </c>
      <c r="P31" s="281">
        <f t="shared" ref="P31:P70" ca="1" si="8">IF($C31="","",MIN(N31,$D31))</f>
        <v>66144.47652798082</v>
      </c>
      <c r="Q31" s="281">
        <f t="shared" ref="Q31:Q70" ca="1" si="9">IF($C31="","",IF(O31=2,P31,IF(O31=1,P31,P31/SUMIF(O$31:O$70,0,P$31:P$70)*($C$2-SUMIF(O$31:O$70,1,P$31:P$70)-SUMIF(O$31:O$70,2,P$31:P$70)))))</f>
        <v>66144.47652798082</v>
      </c>
      <c r="R31" s="280">
        <f t="shared" ref="R31:R70" ca="1" si="10">IF(OR(Q31&gt;$D31,$F31=1,$I31=1,$L31=1,$O31=1),1,0)</f>
        <v>0</v>
      </c>
      <c r="S31" s="281">
        <f t="shared" ref="S31:S70" ca="1" si="11">IF($C31="","",MIN(Q31,$D31))</f>
        <v>66144.47652798082</v>
      </c>
      <c r="T31" s="281">
        <f t="shared" ref="T31:T70" ca="1" si="12">IF($C31="","",IF(R31=2,S31,IF(R31=1,S31,S31/SUMIF(R$31:R$70,0,S$31:S$70)*($C$2-SUMIF(R$31:R$70,1,S$31:S$70)-SUMIF(R$31:R$70,2,S$31:S$70)))))</f>
        <v>66144.47652798082</v>
      </c>
      <c r="U31" s="499">
        <f t="shared" ref="U31:U70" ca="1" si="13">IFERROR(T31,0)</f>
        <v>66144.47652798082</v>
      </c>
      <c r="V31" s="282">
        <f t="shared" ref="V31:V70" ca="1" si="14">IF(C31="","",IFERROR(U31/SUMIF($U$31:$U$70,"&lt;&gt;#DIV/0!"),0))</f>
        <v>3.4686659455004695E-2</v>
      </c>
      <c r="Y31" s="283">
        <f ca="1">IFERROR(IF(D31*1&gt;=0,1,0),0)</f>
        <v>1</v>
      </c>
    </row>
    <row r="32" spans="2:25" s="274" customFormat="1" x14ac:dyDescent="0.25">
      <c r="B32" s="276">
        <f t="shared" ref="B32:B70" ca="1" si="15">IF(C32="","",ROW()-30)</f>
        <v>2</v>
      </c>
      <c r="C32" s="277" t="str">
        <f ca="1">סיכום!B12</f>
        <v>יהי (אורי צבי גרינברג)</v>
      </c>
      <c r="D32" s="278">
        <f ca="1">IF(C32="","",IF('סכום מבוקש'!E12="",0,'סכום מבוקש'!E12))</f>
        <v>150000</v>
      </c>
      <c r="E32" s="278">
        <f ca="1">IF(C32="","",סיכום!D12)</f>
        <v>55389.564826780625</v>
      </c>
      <c r="F32" s="279">
        <f t="shared" ref="F32:F70" ca="1" si="16">IF(C32="","",IF(E32="",0,IF(E32&gt;$D32,1,0)))</f>
        <v>0</v>
      </c>
      <c r="G32" s="278">
        <f t="shared" ref="G32:G70" ca="1" si="17">IF($C32="","",IF(E32="",0,MIN(D32:E32)))</f>
        <v>55389.564826780625</v>
      </c>
      <c r="H32" s="278">
        <f t="shared" ca="1" si="0"/>
        <v>55389.564826780625</v>
      </c>
      <c r="I32" s="280">
        <f t="shared" ca="1" si="1"/>
        <v>0</v>
      </c>
      <c r="J32" s="281">
        <f t="shared" ca="1" si="2"/>
        <v>55389.564826780625</v>
      </c>
      <c r="K32" s="281">
        <f t="shared" ca="1" si="3"/>
        <v>55389.564826780625</v>
      </c>
      <c r="L32" s="280">
        <f t="shared" ca="1" si="4"/>
        <v>0</v>
      </c>
      <c r="M32" s="281">
        <f t="shared" ca="1" si="5"/>
        <v>55389.564826780625</v>
      </c>
      <c r="N32" s="281">
        <f t="shared" ca="1" si="6"/>
        <v>55389.564826780625</v>
      </c>
      <c r="O32" s="280">
        <f t="shared" ca="1" si="7"/>
        <v>0</v>
      </c>
      <c r="P32" s="281">
        <f t="shared" ca="1" si="8"/>
        <v>55389.564826780625</v>
      </c>
      <c r="Q32" s="281">
        <f t="shared" ca="1" si="9"/>
        <v>55389.564826780625</v>
      </c>
      <c r="R32" s="280">
        <f t="shared" ca="1" si="10"/>
        <v>0</v>
      </c>
      <c r="S32" s="281">
        <f t="shared" ca="1" si="11"/>
        <v>55389.564826780625</v>
      </c>
      <c r="T32" s="281">
        <f t="shared" ca="1" si="12"/>
        <v>55389.564826780625</v>
      </c>
      <c r="U32" s="499">
        <f t="shared" ca="1" si="13"/>
        <v>55389.564826780625</v>
      </c>
      <c r="V32" s="282">
        <f t="shared" ca="1" si="14"/>
        <v>2.9046703116543601E-2</v>
      </c>
      <c r="Y32" s="283">
        <f t="shared" ref="Y32:Y70" ca="1" si="18">IFERROR(IF(D32*1&gt;=0,1,0),0)</f>
        <v>1</v>
      </c>
    </row>
    <row r="33" spans="2:25" s="274" customFormat="1" x14ac:dyDescent="0.25">
      <c r="B33" s="276" t="str">
        <f t="shared" ca="1" si="15"/>
        <v/>
      </c>
      <c r="C33" s="277" t="str">
        <f ca="1">סיכום!B13</f>
        <v/>
      </c>
      <c r="D33" s="278" t="str">
        <f ca="1">IF(C33="","",IF('סכום מבוקש'!E13="",0,'סכום מבוקש'!E13))</f>
        <v/>
      </c>
      <c r="E33" s="278" t="str">
        <f ca="1">IF(C33="","",סיכום!D13)</f>
        <v/>
      </c>
      <c r="F33" s="279" t="str">
        <f t="shared" ca="1" si="16"/>
        <v/>
      </c>
      <c r="G33" s="278" t="str">
        <f t="shared" ca="1" si="17"/>
        <v/>
      </c>
      <c r="H33" s="278" t="str">
        <f t="shared" ca="1" si="0"/>
        <v/>
      </c>
      <c r="I33" s="280">
        <f t="shared" ca="1" si="1"/>
        <v>0</v>
      </c>
      <c r="J33" s="281" t="str">
        <f t="shared" ca="1" si="2"/>
        <v/>
      </c>
      <c r="K33" s="281" t="str">
        <f t="shared" ca="1" si="3"/>
        <v/>
      </c>
      <c r="L33" s="280">
        <f t="shared" ca="1" si="4"/>
        <v>0</v>
      </c>
      <c r="M33" s="281" t="str">
        <f t="shared" ca="1" si="5"/>
        <v/>
      </c>
      <c r="N33" s="281" t="str">
        <f t="shared" ca="1" si="6"/>
        <v/>
      </c>
      <c r="O33" s="280">
        <f t="shared" ca="1" si="7"/>
        <v>0</v>
      </c>
      <c r="P33" s="281" t="str">
        <f t="shared" ca="1" si="8"/>
        <v/>
      </c>
      <c r="Q33" s="281" t="str">
        <f t="shared" ca="1" si="9"/>
        <v/>
      </c>
      <c r="R33" s="280">
        <f t="shared" ca="1" si="10"/>
        <v>0</v>
      </c>
      <c r="S33" s="281" t="str">
        <f t="shared" ca="1" si="11"/>
        <v/>
      </c>
      <c r="T33" s="281" t="str">
        <f t="shared" ca="1" si="12"/>
        <v/>
      </c>
      <c r="U33" s="499" t="str">
        <f t="shared" ca="1" si="13"/>
        <v/>
      </c>
      <c r="V33" s="282" t="str">
        <f t="shared" ca="1" si="14"/>
        <v/>
      </c>
      <c r="Y33" s="283">
        <f t="shared" ca="1" si="18"/>
        <v>0</v>
      </c>
    </row>
    <row r="34" spans="2:25" s="274" customFormat="1" x14ac:dyDescent="0.25">
      <c r="B34" s="276">
        <f t="shared" ca="1" si="15"/>
        <v>4</v>
      </c>
      <c r="C34" s="277" t="str">
        <f ca="1">סיכום!B14</f>
        <v>דעות (ברית נאמני תורה ועבודה)</v>
      </c>
      <c r="D34" s="278">
        <f ca="1">IF(C34="","",IF('סכום מבוקש'!E14="",0,'סכום מבוקש'!E14))</f>
        <v>165000</v>
      </c>
      <c r="E34" s="278">
        <f ca="1">IF(C34="","",סיכום!D14)</f>
        <v>93387.02784397635</v>
      </c>
      <c r="F34" s="279">
        <f t="shared" ca="1" si="16"/>
        <v>0</v>
      </c>
      <c r="G34" s="278">
        <f t="shared" ca="1" si="17"/>
        <v>93387.02784397635</v>
      </c>
      <c r="H34" s="278">
        <f t="shared" ca="1" si="0"/>
        <v>93387.02784397635</v>
      </c>
      <c r="I34" s="280">
        <f t="shared" ca="1" si="1"/>
        <v>0</v>
      </c>
      <c r="J34" s="281">
        <f t="shared" ca="1" si="2"/>
        <v>93387.02784397635</v>
      </c>
      <c r="K34" s="281">
        <f t="shared" ca="1" si="3"/>
        <v>93387.02784397635</v>
      </c>
      <c r="L34" s="280">
        <f t="shared" ca="1" si="4"/>
        <v>0</v>
      </c>
      <c r="M34" s="281">
        <f t="shared" ca="1" si="5"/>
        <v>93387.02784397635</v>
      </c>
      <c r="N34" s="281">
        <f t="shared" ca="1" si="6"/>
        <v>93387.02784397635</v>
      </c>
      <c r="O34" s="280">
        <f t="shared" ca="1" si="7"/>
        <v>0</v>
      </c>
      <c r="P34" s="281">
        <f t="shared" ca="1" si="8"/>
        <v>93387.02784397635</v>
      </c>
      <c r="Q34" s="281">
        <f t="shared" ca="1" si="9"/>
        <v>93387.02784397635</v>
      </c>
      <c r="R34" s="280">
        <f t="shared" ca="1" si="10"/>
        <v>0</v>
      </c>
      <c r="S34" s="281">
        <f t="shared" ca="1" si="11"/>
        <v>93387.02784397635</v>
      </c>
      <c r="T34" s="281">
        <f t="shared" ca="1" si="12"/>
        <v>93387.02784397635</v>
      </c>
      <c r="U34" s="499">
        <f t="shared" ca="1" si="13"/>
        <v>93387.02784397635</v>
      </c>
      <c r="V34" s="282">
        <f t="shared" ca="1" si="14"/>
        <v>4.8972857634888803E-2</v>
      </c>
      <c r="Y34" s="283">
        <f t="shared" ca="1" si="18"/>
        <v>1</v>
      </c>
    </row>
    <row r="35" spans="2:25" s="274" customFormat="1" x14ac:dyDescent="0.25">
      <c r="B35" s="276">
        <f t="shared" ca="1" si="15"/>
        <v>5</v>
      </c>
      <c r="C35" s="277" t="str">
        <f ca="1">סיכום!B15</f>
        <v>הליקון</v>
      </c>
      <c r="D35" s="278">
        <f ca="1">IF(C35="","",IF('סכום מבוקש'!E15="",0,'סכום מבוקש'!E15))</f>
        <v>240000</v>
      </c>
      <c r="E35" s="278">
        <f ca="1">IF(C35="","",סיכום!D15)</f>
        <v>115510.69950883459</v>
      </c>
      <c r="F35" s="279">
        <f t="shared" ca="1" si="16"/>
        <v>0</v>
      </c>
      <c r="G35" s="278">
        <f t="shared" ca="1" si="17"/>
        <v>115510.69950883459</v>
      </c>
      <c r="H35" s="278">
        <f t="shared" ca="1" si="0"/>
        <v>115510.69950883459</v>
      </c>
      <c r="I35" s="280">
        <f t="shared" ca="1" si="1"/>
        <v>0</v>
      </c>
      <c r="J35" s="281">
        <f t="shared" ca="1" si="2"/>
        <v>115510.69950883459</v>
      </c>
      <c r="K35" s="281">
        <f t="shared" ca="1" si="3"/>
        <v>115510.69950883459</v>
      </c>
      <c r="L35" s="280">
        <f t="shared" ca="1" si="4"/>
        <v>0</v>
      </c>
      <c r="M35" s="281">
        <f t="shared" ca="1" si="5"/>
        <v>115510.69950883459</v>
      </c>
      <c r="N35" s="281">
        <f t="shared" ca="1" si="6"/>
        <v>115510.69950883459</v>
      </c>
      <c r="O35" s="280">
        <f t="shared" ca="1" si="7"/>
        <v>0</v>
      </c>
      <c r="P35" s="281">
        <f t="shared" ca="1" si="8"/>
        <v>115510.69950883459</v>
      </c>
      <c r="Q35" s="281">
        <f t="shared" ca="1" si="9"/>
        <v>115510.69950883459</v>
      </c>
      <c r="R35" s="280">
        <f t="shared" ca="1" si="10"/>
        <v>0</v>
      </c>
      <c r="S35" s="281">
        <f t="shared" ca="1" si="11"/>
        <v>115510.69950883459</v>
      </c>
      <c r="T35" s="281">
        <f t="shared" ca="1" si="12"/>
        <v>115510.69950883459</v>
      </c>
      <c r="U35" s="499">
        <f t="shared" ca="1" si="13"/>
        <v>115510.69950883459</v>
      </c>
      <c r="V35" s="282">
        <f t="shared" ca="1" si="14"/>
        <v>6.0574676943393663E-2</v>
      </c>
      <c r="Y35" s="283">
        <f t="shared" ca="1" si="18"/>
        <v>1</v>
      </c>
    </row>
    <row r="36" spans="2:25" x14ac:dyDescent="0.25">
      <c r="B36" s="276" t="str">
        <f t="shared" ca="1" si="15"/>
        <v/>
      </c>
      <c r="C36" s="277" t="str">
        <f ca="1">סיכום!B16</f>
        <v/>
      </c>
      <c r="D36" s="278" t="str">
        <f ca="1">IF(C36="","",IF('סכום מבוקש'!E16="",0,'סכום מבוקש'!E16))</f>
        <v/>
      </c>
      <c r="E36" s="278" t="str">
        <f ca="1">IF(C36="","",סיכום!D16)</f>
        <v/>
      </c>
      <c r="F36" s="279" t="str">
        <f t="shared" ca="1" si="16"/>
        <v/>
      </c>
      <c r="G36" s="278" t="str">
        <f t="shared" ca="1" si="17"/>
        <v/>
      </c>
      <c r="H36" s="278" t="str">
        <f t="shared" ca="1" si="0"/>
        <v/>
      </c>
      <c r="I36" s="280">
        <f t="shared" ca="1" si="1"/>
        <v>0</v>
      </c>
      <c r="J36" s="281" t="str">
        <f t="shared" ca="1" si="2"/>
        <v/>
      </c>
      <c r="K36" s="281" t="str">
        <f t="shared" ca="1" si="3"/>
        <v/>
      </c>
      <c r="L36" s="280">
        <f t="shared" ca="1" si="4"/>
        <v>0</v>
      </c>
      <c r="M36" s="281" t="str">
        <f t="shared" ca="1" si="5"/>
        <v/>
      </c>
      <c r="N36" s="281" t="str">
        <f t="shared" ca="1" si="6"/>
        <v/>
      </c>
      <c r="O36" s="280">
        <f t="shared" ca="1" si="7"/>
        <v>0</v>
      </c>
      <c r="P36" s="281" t="str">
        <f t="shared" ca="1" si="8"/>
        <v/>
      </c>
      <c r="Q36" s="281" t="str">
        <f t="shared" ca="1" si="9"/>
        <v/>
      </c>
      <c r="R36" s="280">
        <f t="shared" ca="1" si="10"/>
        <v>0</v>
      </c>
      <c r="S36" s="281" t="str">
        <f t="shared" ca="1" si="11"/>
        <v/>
      </c>
      <c r="T36" s="281" t="str">
        <f t="shared" ca="1" si="12"/>
        <v/>
      </c>
      <c r="U36" s="499" t="str">
        <f t="shared" ca="1" si="13"/>
        <v/>
      </c>
      <c r="V36" s="282" t="str">
        <f t="shared" ca="1" si="14"/>
        <v/>
      </c>
      <c r="Y36" s="283">
        <f t="shared" ca="1" si="18"/>
        <v>0</v>
      </c>
    </row>
    <row r="37" spans="2:25" x14ac:dyDescent="0.25">
      <c r="B37" s="276" t="str">
        <f t="shared" ca="1" si="15"/>
        <v/>
      </c>
      <c r="C37" s="277" t="str">
        <f ca="1">סיכום!B17</f>
        <v/>
      </c>
      <c r="D37" s="278" t="str">
        <f ca="1">IF(C37="","",IF('סכום מבוקש'!E17="",0,'סכום מבוקש'!E17))</f>
        <v/>
      </c>
      <c r="E37" s="278" t="str">
        <f ca="1">IF(C37="","",סיכום!D17)</f>
        <v/>
      </c>
      <c r="F37" s="279" t="str">
        <f t="shared" ca="1" si="16"/>
        <v/>
      </c>
      <c r="G37" s="278" t="str">
        <f t="shared" ca="1" si="17"/>
        <v/>
      </c>
      <c r="H37" s="278" t="str">
        <f t="shared" ca="1" si="0"/>
        <v/>
      </c>
      <c r="I37" s="280">
        <f t="shared" ca="1" si="1"/>
        <v>0</v>
      </c>
      <c r="J37" s="281" t="str">
        <f t="shared" ca="1" si="2"/>
        <v/>
      </c>
      <c r="K37" s="281" t="str">
        <f t="shared" ca="1" si="3"/>
        <v/>
      </c>
      <c r="L37" s="280">
        <f t="shared" ca="1" si="4"/>
        <v>0</v>
      </c>
      <c r="M37" s="281" t="str">
        <f t="shared" ca="1" si="5"/>
        <v/>
      </c>
      <c r="N37" s="281" t="str">
        <f t="shared" ca="1" si="6"/>
        <v/>
      </c>
      <c r="O37" s="280">
        <f t="shared" ca="1" si="7"/>
        <v>0</v>
      </c>
      <c r="P37" s="281" t="str">
        <f t="shared" ca="1" si="8"/>
        <v/>
      </c>
      <c r="Q37" s="281" t="str">
        <f t="shared" ca="1" si="9"/>
        <v/>
      </c>
      <c r="R37" s="280">
        <f t="shared" ca="1" si="10"/>
        <v>0</v>
      </c>
      <c r="S37" s="281" t="str">
        <f t="shared" ca="1" si="11"/>
        <v/>
      </c>
      <c r="T37" s="281" t="str">
        <f t="shared" ca="1" si="12"/>
        <v/>
      </c>
      <c r="U37" s="499" t="str">
        <f t="shared" ca="1" si="13"/>
        <v/>
      </c>
      <c r="V37" s="282" t="str">
        <f t="shared" ca="1" si="14"/>
        <v/>
      </c>
      <c r="Y37" s="283">
        <f t="shared" ca="1" si="18"/>
        <v>0</v>
      </c>
    </row>
    <row r="38" spans="2:25" x14ac:dyDescent="0.25">
      <c r="B38" s="276">
        <f t="shared" ca="1" si="15"/>
        <v>8</v>
      </c>
      <c r="C38" s="277" t="str">
        <f ca="1">סיכום!B18</f>
        <v>ננפואטיקה (עמותת מקום לשירה)</v>
      </c>
      <c r="D38" s="278">
        <f ca="1">IF(C38="","",IF('סכום מבוקש'!E18="",0,'סכום מבוקש'!E18))</f>
        <v>170000</v>
      </c>
      <c r="E38" s="278">
        <f ca="1">IF(C38="","",סיכום!D18)</f>
        <v>141968.77580814355</v>
      </c>
      <c r="F38" s="279">
        <f t="shared" ca="1" si="16"/>
        <v>0</v>
      </c>
      <c r="G38" s="278">
        <f t="shared" ca="1" si="17"/>
        <v>141968.77580814355</v>
      </c>
      <c r="H38" s="278">
        <f t="shared" ca="1" si="0"/>
        <v>141968.77580814355</v>
      </c>
      <c r="I38" s="280">
        <f t="shared" ca="1" si="1"/>
        <v>0</v>
      </c>
      <c r="J38" s="281">
        <f t="shared" ca="1" si="2"/>
        <v>141968.77580814355</v>
      </c>
      <c r="K38" s="281">
        <f t="shared" ca="1" si="3"/>
        <v>141968.77580814355</v>
      </c>
      <c r="L38" s="280">
        <f t="shared" ca="1" si="4"/>
        <v>0</v>
      </c>
      <c r="M38" s="281">
        <f t="shared" ca="1" si="5"/>
        <v>141968.77580814355</v>
      </c>
      <c r="N38" s="281">
        <f t="shared" ca="1" si="6"/>
        <v>141968.77580814355</v>
      </c>
      <c r="O38" s="280">
        <f t="shared" ca="1" si="7"/>
        <v>0</v>
      </c>
      <c r="P38" s="281">
        <f t="shared" ca="1" si="8"/>
        <v>141968.77580814355</v>
      </c>
      <c r="Q38" s="281">
        <f t="shared" ca="1" si="9"/>
        <v>141968.77580814355</v>
      </c>
      <c r="R38" s="280">
        <f t="shared" ca="1" si="10"/>
        <v>0</v>
      </c>
      <c r="S38" s="281">
        <f t="shared" ca="1" si="11"/>
        <v>141968.77580814355</v>
      </c>
      <c r="T38" s="281">
        <f t="shared" ca="1" si="12"/>
        <v>141968.77580814355</v>
      </c>
      <c r="U38" s="499">
        <f t="shared" ca="1" si="13"/>
        <v>141968.77580814355</v>
      </c>
      <c r="V38" s="282">
        <f t="shared" ca="1" si="14"/>
        <v>7.4449490542386046E-2</v>
      </c>
      <c r="Y38" s="283">
        <f t="shared" ca="1" si="18"/>
        <v>1</v>
      </c>
    </row>
    <row r="39" spans="2:25" x14ac:dyDescent="0.25">
      <c r="B39" s="276">
        <f t="shared" ca="1" si="15"/>
        <v>9</v>
      </c>
      <c r="C39" s="277" t="str">
        <f ca="1">סיכום!B19</f>
        <v>מאזניים (אגודת הסופרים העבריים)</v>
      </c>
      <c r="D39" s="278">
        <f ca="1">IF(C39="","",IF('סכום מבוקש'!E19="",0,'סכום מבוקש'!E19))</f>
        <v>220000</v>
      </c>
      <c r="E39" s="278">
        <f ca="1">IF(C39="","",סיכום!D19)</f>
        <v>158935.99640128316</v>
      </c>
      <c r="F39" s="279">
        <f t="shared" ca="1" si="16"/>
        <v>0</v>
      </c>
      <c r="G39" s="278">
        <f t="shared" ca="1" si="17"/>
        <v>158935.99640128316</v>
      </c>
      <c r="H39" s="278">
        <f t="shared" ca="1" si="0"/>
        <v>158935.99640128316</v>
      </c>
      <c r="I39" s="280">
        <f t="shared" ca="1" si="1"/>
        <v>0</v>
      </c>
      <c r="J39" s="281">
        <f t="shared" ca="1" si="2"/>
        <v>158935.99640128316</v>
      </c>
      <c r="K39" s="281">
        <f t="shared" ca="1" si="3"/>
        <v>158935.99640128316</v>
      </c>
      <c r="L39" s="280">
        <f t="shared" ca="1" si="4"/>
        <v>0</v>
      </c>
      <c r="M39" s="281">
        <f t="shared" ca="1" si="5"/>
        <v>158935.99640128316</v>
      </c>
      <c r="N39" s="281">
        <f t="shared" ca="1" si="6"/>
        <v>158935.99640128316</v>
      </c>
      <c r="O39" s="280">
        <f t="shared" ca="1" si="7"/>
        <v>0</v>
      </c>
      <c r="P39" s="281">
        <f t="shared" ca="1" si="8"/>
        <v>158935.99640128316</v>
      </c>
      <c r="Q39" s="281">
        <f t="shared" ca="1" si="9"/>
        <v>158935.99640128316</v>
      </c>
      <c r="R39" s="280">
        <f t="shared" ca="1" si="10"/>
        <v>0</v>
      </c>
      <c r="S39" s="281">
        <f t="shared" ca="1" si="11"/>
        <v>158935.99640128316</v>
      </c>
      <c r="T39" s="281">
        <f t="shared" ca="1" si="12"/>
        <v>158935.99640128316</v>
      </c>
      <c r="U39" s="499">
        <f t="shared" ca="1" si="13"/>
        <v>158935.99640128316</v>
      </c>
      <c r="V39" s="282">
        <f t="shared" ca="1" si="14"/>
        <v>8.3347228244841226E-2</v>
      </c>
      <c r="Y39" s="283">
        <f t="shared" ca="1" si="18"/>
        <v>1</v>
      </c>
    </row>
    <row r="40" spans="2:25" x14ac:dyDescent="0.25">
      <c r="B40" s="276">
        <f t="shared" ca="1" si="15"/>
        <v>10</v>
      </c>
      <c r="C40" s="277" t="str">
        <f ca="1">סיכום!B20</f>
        <v>משיב הרוח</v>
      </c>
      <c r="D40" s="278">
        <f ca="1">IF(C40="","",IF('סכום מבוקש'!E20="",0,'סכום מבוקש'!E20))</f>
        <v>300000</v>
      </c>
      <c r="E40" s="278">
        <f ca="1">IF(C40="","",סיכום!D20)</f>
        <v>148737.47387407691</v>
      </c>
      <c r="F40" s="279">
        <f t="shared" ca="1" si="16"/>
        <v>0</v>
      </c>
      <c r="G40" s="278">
        <f t="shared" ca="1" si="17"/>
        <v>148737.47387407691</v>
      </c>
      <c r="H40" s="278">
        <f t="shared" ca="1" si="0"/>
        <v>148737.47387407691</v>
      </c>
      <c r="I40" s="280">
        <f t="shared" ca="1" si="1"/>
        <v>0</v>
      </c>
      <c r="J40" s="281">
        <f t="shared" ca="1" si="2"/>
        <v>148737.47387407691</v>
      </c>
      <c r="K40" s="281">
        <f t="shared" ca="1" si="3"/>
        <v>148737.47387407691</v>
      </c>
      <c r="L40" s="280">
        <f t="shared" ca="1" si="4"/>
        <v>0</v>
      </c>
      <c r="M40" s="281">
        <f t="shared" ca="1" si="5"/>
        <v>148737.47387407691</v>
      </c>
      <c r="N40" s="281">
        <f t="shared" ca="1" si="6"/>
        <v>148737.47387407691</v>
      </c>
      <c r="O40" s="280">
        <f t="shared" ca="1" si="7"/>
        <v>0</v>
      </c>
      <c r="P40" s="281">
        <f t="shared" ca="1" si="8"/>
        <v>148737.47387407691</v>
      </c>
      <c r="Q40" s="281">
        <f t="shared" ca="1" si="9"/>
        <v>148737.47387407691</v>
      </c>
      <c r="R40" s="280">
        <f t="shared" ca="1" si="10"/>
        <v>0</v>
      </c>
      <c r="S40" s="281">
        <f t="shared" ca="1" si="11"/>
        <v>148737.47387407691</v>
      </c>
      <c r="T40" s="281">
        <f t="shared" ca="1" si="12"/>
        <v>148737.47387407691</v>
      </c>
      <c r="U40" s="499">
        <f t="shared" ca="1" si="13"/>
        <v>148737.47387407691</v>
      </c>
      <c r="V40" s="282">
        <f t="shared" ca="1" si="14"/>
        <v>7.7999046561133281E-2</v>
      </c>
      <c r="Y40" s="283">
        <f t="shared" ca="1" si="18"/>
        <v>1</v>
      </c>
    </row>
    <row r="41" spans="2:25" x14ac:dyDescent="0.25">
      <c r="B41" s="276">
        <f t="shared" ca="1" si="15"/>
        <v>11</v>
      </c>
      <c r="C41" s="277" t="str">
        <f ca="1">סיכום!B21</f>
        <v>עמדה (עמותת מונטן)</v>
      </c>
      <c r="D41" s="278">
        <f ca="1">IF(C41="","",IF('סכום מבוקש'!E21="",0,'סכום מבוקש'!E21))</f>
        <v>34000</v>
      </c>
      <c r="E41" s="278">
        <f ca="1">IF(C41="","",סיכום!D21)</f>
        <v>34000</v>
      </c>
      <c r="F41" s="279">
        <f t="shared" ca="1" si="16"/>
        <v>0</v>
      </c>
      <c r="G41" s="278">
        <f t="shared" ca="1" si="17"/>
        <v>34000</v>
      </c>
      <c r="H41" s="278">
        <f t="shared" ca="1" si="0"/>
        <v>34000</v>
      </c>
      <c r="I41" s="280">
        <f t="shared" ca="1" si="1"/>
        <v>0</v>
      </c>
      <c r="J41" s="281">
        <f t="shared" ca="1" si="2"/>
        <v>34000</v>
      </c>
      <c r="K41" s="281">
        <f t="shared" ca="1" si="3"/>
        <v>34000</v>
      </c>
      <c r="L41" s="280">
        <f t="shared" ca="1" si="4"/>
        <v>0</v>
      </c>
      <c r="M41" s="281">
        <f t="shared" ca="1" si="5"/>
        <v>34000</v>
      </c>
      <c r="N41" s="281">
        <f t="shared" ca="1" si="6"/>
        <v>34000</v>
      </c>
      <c r="O41" s="280">
        <f t="shared" ca="1" si="7"/>
        <v>0</v>
      </c>
      <c r="P41" s="281">
        <f t="shared" ca="1" si="8"/>
        <v>34000</v>
      </c>
      <c r="Q41" s="281">
        <f t="shared" ca="1" si="9"/>
        <v>34000</v>
      </c>
      <c r="R41" s="280">
        <f t="shared" ca="1" si="10"/>
        <v>0</v>
      </c>
      <c r="S41" s="281">
        <f t="shared" ca="1" si="11"/>
        <v>34000</v>
      </c>
      <c r="T41" s="281">
        <f t="shared" ca="1" si="12"/>
        <v>34000</v>
      </c>
      <c r="U41" s="499">
        <f t="shared" ca="1" si="13"/>
        <v>34000</v>
      </c>
      <c r="V41" s="282">
        <f t="shared" ca="1" si="14"/>
        <v>1.7829854938397852E-2</v>
      </c>
      <c r="Y41" s="283">
        <f t="shared" ca="1" si="18"/>
        <v>1</v>
      </c>
    </row>
    <row r="42" spans="2:25" x14ac:dyDescent="0.25">
      <c r="B42" s="276">
        <f t="shared" ca="1" si="15"/>
        <v>12</v>
      </c>
      <c r="C42" s="277" t="str">
        <f ca="1">סיכום!B22</f>
        <v>עתון 77 (אגודת סופרים ואמנים)</v>
      </c>
      <c r="D42" s="278">
        <f ca="1">IF(C42="","",IF('סכום מבוקש'!E22="",0,'סכום מבוקש'!E22))</f>
        <v>300000</v>
      </c>
      <c r="E42" s="278">
        <f ca="1">IF(C42="","",סיכום!D22)</f>
        <v>134269.11526979934</v>
      </c>
      <c r="F42" s="279">
        <f t="shared" ca="1" si="16"/>
        <v>0</v>
      </c>
      <c r="G42" s="278">
        <f t="shared" ca="1" si="17"/>
        <v>134269.11526979934</v>
      </c>
      <c r="H42" s="278">
        <f t="shared" ca="1" si="0"/>
        <v>134269.11526979934</v>
      </c>
      <c r="I42" s="280">
        <f t="shared" ca="1" si="1"/>
        <v>0</v>
      </c>
      <c r="J42" s="281">
        <f t="shared" ca="1" si="2"/>
        <v>134269.11526979934</v>
      </c>
      <c r="K42" s="281">
        <f t="shared" ca="1" si="3"/>
        <v>134269.11526979934</v>
      </c>
      <c r="L42" s="280">
        <f t="shared" ca="1" si="4"/>
        <v>0</v>
      </c>
      <c r="M42" s="281">
        <f t="shared" ca="1" si="5"/>
        <v>134269.11526979934</v>
      </c>
      <c r="N42" s="281">
        <f t="shared" ca="1" si="6"/>
        <v>134269.11526979934</v>
      </c>
      <c r="O42" s="280">
        <f t="shared" ca="1" si="7"/>
        <v>0</v>
      </c>
      <c r="P42" s="281">
        <f t="shared" ca="1" si="8"/>
        <v>134269.11526979934</v>
      </c>
      <c r="Q42" s="281">
        <f t="shared" ca="1" si="9"/>
        <v>134269.11526979934</v>
      </c>
      <c r="R42" s="280">
        <f t="shared" ca="1" si="10"/>
        <v>0</v>
      </c>
      <c r="S42" s="281">
        <f t="shared" ca="1" si="11"/>
        <v>134269.11526979934</v>
      </c>
      <c r="T42" s="281">
        <f t="shared" ca="1" si="12"/>
        <v>134269.11526979934</v>
      </c>
      <c r="U42" s="499">
        <f t="shared" ca="1" si="13"/>
        <v>134269.11526979934</v>
      </c>
      <c r="V42" s="282">
        <f t="shared" ca="1" si="14"/>
        <v>7.0411730822574764E-2</v>
      </c>
      <c r="Y42" s="283">
        <f t="shared" ca="1" si="18"/>
        <v>1</v>
      </c>
    </row>
    <row r="43" spans="2:25" x14ac:dyDescent="0.25">
      <c r="B43" s="276" t="str">
        <f t="shared" ca="1" si="15"/>
        <v/>
      </c>
      <c r="C43" s="277" t="str">
        <f ca="1">סיכום!B23</f>
        <v/>
      </c>
      <c r="D43" s="278" t="str">
        <f ca="1">IF(C43="","",IF('סכום מבוקש'!E23="",0,'סכום מבוקש'!E23))</f>
        <v/>
      </c>
      <c r="E43" s="278" t="str">
        <f ca="1">IF(C43="","",סיכום!D23)</f>
        <v/>
      </c>
      <c r="F43" s="279" t="str">
        <f t="shared" ca="1" si="16"/>
        <v/>
      </c>
      <c r="G43" s="278" t="str">
        <f t="shared" ca="1" si="17"/>
        <v/>
      </c>
      <c r="H43" s="278" t="str">
        <f t="shared" ca="1" si="0"/>
        <v/>
      </c>
      <c r="I43" s="280">
        <f t="shared" ca="1" si="1"/>
        <v>0</v>
      </c>
      <c r="J43" s="281" t="str">
        <f t="shared" ca="1" si="2"/>
        <v/>
      </c>
      <c r="K43" s="281" t="str">
        <f t="shared" ca="1" si="3"/>
        <v/>
      </c>
      <c r="L43" s="280">
        <f t="shared" ca="1" si="4"/>
        <v>0</v>
      </c>
      <c r="M43" s="281" t="str">
        <f t="shared" ca="1" si="5"/>
        <v/>
      </c>
      <c r="N43" s="281" t="str">
        <f t="shared" ca="1" si="6"/>
        <v/>
      </c>
      <c r="O43" s="280">
        <f t="shared" ca="1" si="7"/>
        <v>0</v>
      </c>
      <c r="P43" s="281" t="str">
        <f t="shared" ca="1" si="8"/>
        <v/>
      </c>
      <c r="Q43" s="281" t="str">
        <f t="shared" ca="1" si="9"/>
        <v/>
      </c>
      <c r="R43" s="280">
        <f t="shared" ca="1" si="10"/>
        <v>0</v>
      </c>
      <c r="S43" s="281" t="str">
        <f t="shared" ca="1" si="11"/>
        <v/>
      </c>
      <c r="T43" s="281" t="str">
        <f t="shared" ca="1" si="12"/>
        <v/>
      </c>
      <c r="U43" s="499" t="str">
        <f t="shared" ca="1" si="13"/>
        <v/>
      </c>
      <c r="V43" s="282" t="str">
        <f t="shared" ca="1" si="14"/>
        <v/>
      </c>
      <c r="Y43" s="283">
        <f t="shared" ca="1" si="18"/>
        <v>0</v>
      </c>
    </row>
    <row r="44" spans="2:25" x14ac:dyDescent="0.25">
      <c r="B44" s="276">
        <f t="shared" ca="1" si="15"/>
        <v>14</v>
      </c>
      <c r="C44" s="277" t="str">
        <f ca="1">סיכום!B24</f>
        <v>פסיפס</v>
      </c>
      <c r="D44" s="278">
        <f ca="1">IF(C44="","",IF('סכום מבוקש'!E24="",0,'סכום מבוקש'!E24))</f>
        <v>90000</v>
      </c>
      <c r="E44" s="278">
        <f ca="1">IF(C44="","",סיכום!D24)</f>
        <v>38555.909673218623</v>
      </c>
      <c r="F44" s="279">
        <f t="shared" ca="1" si="16"/>
        <v>0</v>
      </c>
      <c r="G44" s="278">
        <f t="shared" ca="1" si="17"/>
        <v>38555.909673218623</v>
      </c>
      <c r="H44" s="278">
        <f t="shared" ca="1" si="0"/>
        <v>38555.909673218623</v>
      </c>
      <c r="I44" s="280">
        <f t="shared" ca="1" si="1"/>
        <v>0</v>
      </c>
      <c r="J44" s="281">
        <f t="shared" ca="1" si="2"/>
        <v>38555.909673218623</v>
      </c>
      <c r="K44" s="281">
        <f t="shared" ca="1" si="3"/>
        <v>38555.909673218623</v>
      </c>
      <c r="L44" s="280">
        <f t="shared" ca="1" si="4"/>
        <v>0</v>
      </c>
      <c r="M44" s="281">
        <f t="shared" ca="1" si="5"/>
        <v>38555.909673218623</v>
      </c>
      <c r="N44" s="281">
        <f t="shared" ca="1" si="6"/>
        <v>38555.909673218623</v>
      </c>
      <c r="O44" s="280">
        <f t="shared" ca="1" si="7"/>
        <v>0</v>
      </c>
      <c r="P44" s="281">
        <f t="shared" ca="1" si="8"/>
        <v>38555.909673218623</v>
      </c>
      <c r="Q44" s="281">
        <f t="shared" ca="1" si="9"/>
        <v>38555.909673218623</v>
      </c>
      <c r="R44" s="280">
        <f t="shared" ca="1" si="10"/>
        <v>0</v>
      </c>
      <c r="S44" s="281">
        <f t="shared" ca="1" si="11"/>
        <v>38555.909673218623</v>
      </c>
      <c r="T44" s="281">
        <f t="shared" ca="1" si="12"/>
        <v>38555.909673218623</v>
      </c>
      <c r="U44" s="499">
        <f t="shared" ca="1" si="13"/>
        <v>38555.909673218623</v>
      </c>
      <c r="V44" s="282">
        <f t="shared" ca="1" si="14"/>
        <v>2.0219008132101722E-2</v>
      </c>
      <c r="Y44" s="283">
        <f t="shared" ca="1" si="18"/>
        <v>1</v>
      </c>
    </row>
    <row r="45" spans="2:25" x14ac:dyDescent="0.25">
      <c r="B45" s="276">
        <f t="shared" ca="1" si="15"/>
        <v>15</v>
      </c>
      <c r="C45" s="277" t="str">
        <f ca="1">סיכום!B25</f>
        <v>קתרזיס ( עמותת מצרף)</v>
      </c>
      <c r="D45" s="278">
        <f ca="1">IF(C45="","",IF('סכום מבוקש'!E25="",0,'סכום מבוקש'!E25))</f>
        <v>29000</v>
      </c>
      <c r="E45" s="278">
        <f ca="1">IF(C45="","",סיכום!D25)</f>
        <v>29000</v>
      </c>
      <c r="F45" s="279">
        <f t="shared" ca="1" si="16"/>
        <v>0</v>
      </c>
      <c r="G45" s="278">
        <f t="shared" ca="1" si="17"/>
        <v>29000</v>
      </c>
      <c r="H45" s="278">
        <f t="shared" ca="1" si="0"/>
        <v>29000</v>
      </c>
      <c r="I45" s="280">
        <f t="shared" ca="1" si="1"/>
        <v>0</v>
      </c>
      <c r="J45" s="281">
        <f t="shared" ca="1" si="2"/>
        <v>29000</v>
      </c>
      <c r="K45" s="281">
        <f t="shared" ca="1" si="3"/>
        <v>29000</v>
      </c>
      <c r="L45" s="280">
        <f t="shared" ca="1" si="4"/>
        <v>0</v>
      </c>
      <c r="M45" s="281">
        <f t="shared" ca="1" si="5"/>
        <v>29000</v>
      </c>
      <c r="N45" s="281">
        <f t="shared" ca="1" si="6"/>
        <v>29000</v>
      </c>
      <c r="O45" s="280">
        <f t="shared" ca="1" si="7"/>
        <v>0</v>
      </c>
      <c r="P45" s="281">
        <f t="shared" ca="1" si="8"/>
        <v>29000</v>
      </c>
      <c r="Q45" s="281">
        <f t="shared" ca="1" si="9"/>
        <v>29000</v>
      </c>
      <c r="R45" s="280">
        <f t="shared" ca="1" si="10"/>
        <v>0</v>
      </c>
      <c r="S45" s="281">
        <f t="shared" ca="1" si="11"/>
        <v>29000</v>
      </c>
      <c r="T45" s="281">
        <f t="shared" ca="1" si="12"/>
        <v>29000</v>
      </c>
      <c r="U45" s="499">
        <f t="shared" ca="1" si="13"/>
        <v>29000</v>
      </c>
      <c r="V45" s="282">
        <f t="shared" ca="1" si="14"/>
        <v>1.520781744745699E-2</v>
      </c>
      <c r="Y45" s="283">
        <f t="shared" ca="1" si="18"/>
        <v>1</v>
      </c>
    </row>
    <row r="46" spans="2:25" x14ac:dyDescent="0.25">
      <c r="B46" s="276" t="str">
        <f t="shared" ca="1" si="15"/>
        <v/>
      </c>
      <c r="C46" s="277" t="str">
        <f ca="1">סיכום!B26</f>
        <v/>
      </c>
      <c r="D46" s="278" t="str">
        <f ca="1">IF(C46="","",IF('סכום מבוקש'!E26="",0,'סכום מבוקש'!E26))</f>
        <v/>
      </c>
      <c r="E46" s="278" t="str">
        <f ca="1">IF(C46="","",סיכום!D26)</f>
        <v/>
      </c>
      <c r="F46" s="279" t="str">
        <f t="shared" ca="1" si="16"/>
        <v/>
      </c>
      <c r="G46" s="278" t="str">
        <f t="shared" ca="1" si="17"/>
        <v/>
      </c>
      <c r="H46" s="278" t="str">
        <f t="shared" ca="1" si="0"/>
        <v/>
      </c>
      <c r="I46" s="280">
        <f t="shared" ca="1" si="1"/>
        <v>0</v>
      </c>
      <c r="J46" s="281" t="str">
        <f t="shared" ca="1" si="2"/>
        <v/>
      </c>
      <c r="K46" s="281" t="str">
        <f t="shared" ca="1" si="3"/>
        <v/>
      </c>
      <c r="L46" s="280">
        <f t="shared" ca="1" si="4"/>
        <v>0</v>
      </c>
      <c r="M46" s="281" t="str">
        <f t="shared" ca="1" si="5"/>
        <v/>
      </c>
      <c r="N46" s="281" t="str">
        <f t="shared" ca="1" si="6"/>
        <v/>
      </c>
      <c r="O46" s="280">
        <f t="shared" ca="1" si="7"/>
        <v>0</v>
      </c>
      <c r="P46" s="281" t="str">
        <f t="shared" ca="1" si="8"/>
        <v/>
      </c>
      <c r="Q46" s="281" t="str">
        <f t="shared" ca="1" si="9"/>
        <v/>
      </c>
      <c r="R46" s="280">
        <f t="shared" ca="1" si="10"/>
        <v>0</v>
      </c>
      <c r="S46" s="281" t="str">
        <f t="shared" ca="1" si="11"/>
        <v/>
      </c>
      <c r="T46" s="281" t="str">
        <f t="shared" ca="1" si="12"/>
        <v/>
      </c>
      <c r="U46" s="499" t="str">
        <f t="shared" ca="1" si="13"/>
        <v/>
      </c>
      <c r="V46" s="282" t="str">
        <f t="shared" ca="1" si="14"/>
        <v/>
      </c>
      <c r="Y46" s="283">
        <f t="shared" ca="1" si="18"/>
        <v>0</v>
      </c>
    </row>
    <row r="47" spans="2:25" x14ac:dyDescent="0.25">
      <c r="B47" s="276">
        <f t="shared" ca="1" si="15"/>
        <v>17</v>
      </c>
      <c r="C47" s="277" t="str">
        <f ca="1">סיכום!B27</f>
        <v>הכיוון מזרח (עמותת אחותי)</v>
      </c>
      <c r="D47" s="278">
        <f ca="1">IF(C47="","",IF('סכום מבוקש'!E27="",0,'סכום מבוקש'!E27))</f>
        <v>180000</v>
      </c>
      <c r="E47" s="278">
        <f ca="1">IF(C47="","",סיכום!D27)</f>
        <v>98262.948341541589</v>
      </c>
      <c r="F47" s="279">
        <f t="shared" ca="1" si="16"/>
        <v>0</v>
      </c>
      <c r="G47" s="278">
        <f t="shared" ca="1" si="17"/>
        <v>98262.948341541589</v>
      </c>
      <c r="H47" s="278">
        <f t="shared" ca="1" si="0"/>
        <v>98262.948341541589</v>
      </c>
      <c r="I47" s="280">
        <f t="shared" ca="1" si="1"/>
        <v>0</v>
      </c>
      <c r="J47" s="281">
        <f t="shared" ca="1" si="2"/>
        <v>98262.948341541589</v>
      </c>
      <c r="K47" s="281">
        <f t="shared" ca="1" si="3"/>
        <v>98262.948341541589</v>
      </c>
      <c r="L47" s="280">
        <f t="shared" ca="1" si="4"/>
        <v>0</v>
      </c>
      <c r="M47" s="281">
        <f t="shared" ca="1" si="5"/>
        <v>98262.948341541589</v>
      </c>
      <c r="N47" s="281">
        <f t="shared" ca="1" si="6"/>
        <v>98262.948341541589</v>
      </c>
      <c r="O47" s="280">
        <f t="shared" ca="1" si="7"/>
        <v>0</v>
      </c>
      <c r="P47" s="281">
        <f t="shared" ca="1" si="8"/>
        <v>98262.948341541589</v>
      </c>
      <c r="Q47" s="281">
        <f t="shared" ca="1" si="9"/>
        <v>98262.948341541589</v>
      </c>
      <c r="R47" s="280">
        <f t="shared" ca="1" si="10"/>
        <v>0</v>
      </c>
      <c r="S47" s="281">
        <f t="shared" ca="1" si="11"/>
        <v>98262.948341541589</v>
      </c>
      <c r="T47" s="281">
        <f t="shared" ca="1" si="12"/>
        <v>98262.948341541589</v>
      </c>
      <c r="U47" s="499">
        <f t="shared" ca="1" si="13"/>
        <v>98262.948341541589</v>
      </c>
      <c r="V47" s="282">
        <f t="shared" ca="1" si="14"/>
        <v>5.1529826904381418E-2</v>
      </c>
      <c r="Y47" s="283">
        <f t="shared" ca="1" si="18"/>
        <v>1</v>
      </c>
    </row>
    <row r="48" spans="2:25" x14ac:dyDescent="0.25">
      <c r="B48" s="276" t="str">
        <f t="shared" ca="1" si="15"/>
        <v/>
      </c>
      <c r="C48" s="277" t="str">
        <f ca="1">סיכום!B28</f>
        <v/>
      </c>
      <c r="D48" s="278" t="str">
        <f ca="1">IF(C48="","",IF('סכום מבוקש'!E28="",0,'סכום מבוקש'!E28))</f>
        <v/>
      </c>
      <c r="E48" s="278" t="str">
        <f ca="1">IF(C48="","",סיכום!D28)</f>
        <v/>
      </c>
      <c r="F48" s="279" t="str">
        <f t="shared" ca="1" si="16"/>
        <v/>
      </c>
      <c r="G48" s="278" t="str">
        <f t="shared" ca="1" si="17"/>
        <v/>
      </c>
      <c r="H48" s="278" t="str">
        <f t="shared" ca="1" si="0"/>
        <v/>
      </c>
      <c r="I48" s="280">
        <f t="shared" ca="1" si="1"/>
        <v>0</v>
      </c>
      <c r="J48" s="281" t="str">
        <f t="shared" ca="1" si="2"/>
        <v/>
      </c>
      <c r="K48" s="281" t="str">
        <f t="shared" ca="1" si="3"/>
        <v/>
      </c>
      <c r="L48" s="280">
        <f t="shared" ca="1" si="4"/>
        <v>0</v>
      </c>
      <c r="M48" s="281" t="str">
        <f t="shared" ca="1" si="5"/>
        <v/>
      </c>
      <c r="N48" s="281" t="str">
        <f t="shared" ca="1" si="6"/>
        <v/>
      </c>
      <c r="O48" s="280">
        <f t="shared" ca="1" si="7"/>
        <v>0</v>
      </c>
      <c r="P48" s="281" t="str">
        <f t="shared" ca="1" si="8"/>
        <v/>
      </c>
      <c r="Q48" s="281" t="str">
        <f t="shared" ca="1" si="9"/>
        <v/>
      </c>
      <c r="R48" s="280">
        <f t="shared" ca="1" si="10"/>
        <v>0</v>
      </c>
      <c r="S48" s="281" t="str">
        <f t="shared" ca="1" si="11"/>
        <v/>
      </c>
      <c r="T48" s="281" t="str">
        <f t="shared" ca="1" si="12"/>
        <v/>
      </c>
      <c r="U48" s="499" t="str">
        <f t="shared" ca="1" si="13"/>
        <v/>
      </c>
      <c r="V48" s="282" t="str">
        <f t="shared" ca="1" si="14"/>
        <v/>
      </c>
      <c r="Y48" s="283">
        <f t="shared" ca="1" si="18"/>
        <v>0</v>
      </c>
    </row>
    <row r="49" spans="2:25" x14ac:dyDescent="0.25">
      <c r="B49" s="276">
        <f t="shared" ca="1" si="15"/>
        <v>19</v>
      </c>
      <c r="C49" s="277" t="str">
        <f ca="1">סיכום!B29</f>
        <v>הו</v>
      </c>
      <c r="D49" s="278">
        <f ca="1">IF(C49="","",IF('סכום מבוקש'!E29="",0,'סכום מבוקש'!E29))</f>
        <v>180000</v>
      </c>
      <c r="E49" s="278">
        <f ca="1">IF(C49="","",סיכום!D29)</f>
        <v>100140.64481908687</v>
      </c>
      <c r="F49" s="279">
        <f t="shared" ca="1" si="16"/>
        <v>0</v>
      </c>
      <c r="G49" s="278">
        <f t="shared" ca="1" si="17"/>
        <v>100140.64481908687</v>
      </c>
      <c r="H49" s="278">
        <f t="shared" ca="1" si="0"/>
        <v>100140.64481908687</v>
      </c>
      <c r="I49" s="280">
        <f t="shared" ca="1" si="1"/>
        <v>0</v>
      </c>
      <c r="J49" s="281">
        <f t="shared" ca="1" si="2"/>
        <v>100140.64481908687</v>
      </c>
      <c r="K49" s="281">
        <f t="shared" ca="1" si="3"/>
        <v>100140.64481908687</v>
      </c>
      <c r="L49" s="280">
        <f t="shared" ca="1" si="4"/>
        <v>0</v>
      </c>
      <c r="M49" s="281">
        <f t="shared" ca="1" si="5"/>
        <v>100140.64481908687</v>
      </c>
      <c r="N49" s="281">
        <f t="shared" ca="1" si="6"/>
        <v>100140.64481908687</v>
      </c>
      <c r="O49" s="280">
        <f t="shared" ca="1" si="7"/>
        <v>0</v>
      </c>
      <c r="P49" s="281">
        <f t="shared" ca="1" si="8"/>
        <v>100140.64481908687</v>
      </c>
      <c r="Q49" s="281">
        <f t="shared" ca="1" si="9"/>
        <v>100140.64481908687</v>
      </c>
      <c r="R49" s="280">
        <f t="shared" ca="1" si="10"/>
        <v>0</v>
      </c>
      <c r="S49" s="281">
        <f t="shared" ca="1" si="11"/>
        <v>100140.64481908687</v>
      </c>
      <c r="T49" s="281">
        <f t="shared" ca="1" si="12"/>
        <v>100140.64481908687</v>
      </c>
      <c r="U49" s="499">
        <f t="shared" ca="1" si="13"/>
        <v>100140.64481908687</v>
      </c>
      <c r="V49" s="282">
        <f t="shared" ca="1" si="14"/>
        <v>5.2514505016527685E-2</v>
      </c>
      <c r="Y49" s="283">
        <f t="shared" ca="1" si="18"/>
        <v>1</v>
      </c>
    </row>
    <row r="50" spans="2:25" x14ac:dyDescent="0.25">
      <c r="B50" s="276">
        <f t="shared" ca="1" si="15"/>
        <v>20</v>
      </c>
      <c r="C50" s="277" t="str">
        <f ca="1">סיכום!B30</f>
        <v>הבא להבא (עמותת מקום לשירה)</v>
      </c>
      <c r="D50" s="278">
        <f ca="1">IF(C50="","",IF('סכום מבוקש'!E30="",0,'סכום מבוקש'!E30))</f>
        <v>80000</v>
      </c>
      <c r="E50" s="278">
        <f ca="1">IF(C50="","",סיכום!D30)</f>
        <v>75902.39829871527</v>
      </c>
      <c r="F50" s="279">
        <f t="shared" ca="1" si="16"/>
        <v>0</v>
      </c>
      <c r="G50" s="278">
        <f t="shared" ca="1" si="17"/>
        <v>75902.39829871527</v>
      </c>
      <c r="H50" s="278">
        <f t="shared" ca="1" si="0"/>
        <v>75902.39829871527</v>
      </c>
      <c r="I50" s="280">
        <f t="shared" ca="1" si="1"/>
        <v>0</v>
      </c>
      <c r="J50" s="281">
        <f t="shared" ca="1" si="2"/>
        <v>75902.39829871527</v>
      </c>
      <c r="K50" s="281">
        <f t="shared" ca="1" si="3"/>
        <v>75902.39829871527</v>
      </c>
      <c r="L50" s="280">
        <f t="shared" ca="1" si="4"/>
        <v>0</v>
      </c>
      <c r="M50" s="281">
        <f t="shared" ca="1" si="5"/>
        <v>75902.39829871527</v>
      </c>
      <c r="N50" s="281">
        <f t="shared" ca="1" si="6"/>
        <v>75902.39829871527</v>
      </c>
      <c r="O50" s="280">
        <f t="shared" ca="1" si="7"/>
        <v>0</v>
      </c>
      <c r="P50" s="281">
        <f t="shared" ca="1" si="8"/>
        <v>75902.39829871527</v>
      </c>
      <c r="Q50" s="281">
        <f t="shared" ca="1" si="9"/>
        <v>75902.39829871527</v>
      </c>
      <c r="R50" s="280">
        <f t="shared" ca="1" si="10"/>
        <v>0</v>
      </c>
      <c r="S50" s="281">
        <f t="shared" ca="1" si="11"/>
        <v>75902.39829871527</v>
      </c>
      <c r="T50" s="281">
        <f t="shared" ca="1" si="12"/>
        <v>75902.39829871527</v>
      </c>
      <c r="U50" s="499">
        <f t="shared" ca="1" si="13"/>
        <v>75902.39829871527</v>
      </c>
      <c r="V50" s="282">
        <f t="shared" ca="1" si="14"/>
        <v>3.9803786798311445E-2</v>
      </c>
      <c r="Y50" s="283">
        <f t="shared" ca="1" si="18"/>
        <v>1</v>
      </c>
    </row>
    <row r="51" spans="2:25" x14ac:dyDescent="0.25">
      <c r="B51" s="276">
        <f t="shared" ca="1" si="15"/>
        <v>21</v>
      </c>
      <c r="C51" s="277" t="str">
        <f ca="1">סיכום!B31</f>
        <v>היסטוריה (החברה ההיסטורית הישרא</v>
      </c>
      <c r="D51" s="278">
        <f ca="1">IF(C51="","",IF('סכום מבוקש'!E31="",0,'סכום מבוקש'!E31))</f>
        <v>120000</v>
      </c>
      <c r="E51" s="278">
        <f ca="1">IF(C51="","",סיכום!D31)</f>
        <v>51310.941279157974</v>
      </c>
      <c r="F51" s="279">
        <f t="shared" ca="1" si="16"/>
        <v>0</v>
      </c>
      <c r="G51" s="278">
        <f t="shared" ca="1" si="17"/>
        <v>51310.941279157974</v>
      </c>
      <c r="H51" s="278">
        <f t="shared" ca="1" si="0"/>
        <v>51310.941279157974</v>
      </c>
      <c r="I51" s="280">
        <f t="shared" ca="1" si="1"/>
        <v>0</v>
      </c>
      <c r="J51" s="281">
        <f t="shared" ca="1" si="2"/>
        <v>51310.941279157974</v>
      </c>
      <c r="K51" s="281">
        <f t="shared" ca="1" si="3"/>
        <v>51310.941279157974</v>
      </c>
      <c r="L51" s="280">
        <f t="shared" ca="1" si="4"/>
        <v>0</v>
      </c>
      <c r="M51" s="281">
        <f t="shared" ca="1" si="5"/>
        <v>51310.941279157974</v>
      </c>
      <c r="N51" s="281">
        <f t="shared" ca="1" si="6"/>
        <v>51310.941279157974</v>
      </c>
      <c r="O51" s="280">
        <f t="shared" ca="1" si="7"/>
        <v>0</v>
      </c>
      <c r="P51" s="281">
        <f t="shared" ca="1" si="8"/>
        <v>51310.941279157974</v>
      </c>
      <c r="Q51" s="281">
        <f t="shared" ca="1" si="9"/>
        <v>51310.941279157974</v>
      </c>
      <c r="R51" s="280">
        <f t="shared" ca="1" si="10"/>
        <v>0</v>
      </c>
      <c r="S51" s="281">
        <f t="shared" ca="1" si="11"/>
        <v>51310.941279157974</v>
      </c>
      <c r="T51" s="281">
        <f t="shared" ca="1" si="12"/>
        <v>51310.941279157974</v>
      </c>
      <c r="U51" s="499">
        <f t="shared" ca="1" si="13"/>
        <v>51310.941279157974</v>
      </c>
      <c r="V51" s="282">
        <f t="shared" ca="1" si="14"/>
        <v>2.6907842345883441E-2</v>
      </c>
      <c r="Y51" s="283">
        <f t="shared" ca="1" si="18"/>
        <v>1</v>
      </c>
    </row>
    <row r="52" spans="2:25" x14ac:dyDescent="0.25">
      <c r="B52" s="276">
        <f t="shared" ca="1" si="15"/>
        <v>22</v>
      </c>
      <c r="C52" s="277" t="str">
        <f ca="1">סיכום!B32</f>
        <v>מחול עכשיו (תמונע)</v>
      </c>
      <c r="D52" s="278">
        <f ca="1">IF(C52="","",IF('סכום מבוקש'!E32="",0,'סכום מבוקש'!E32))</f>
        <v>60000</v>
      </c>
      <c r="E52" s="278">
        <f ca="1">IF(C52="","",סיכום!D32)</f>
        <v>60000</v>
      </c>
      <c r="F52" s="279">
        <f t="shared" ca="1" si="16"/>
        <v>0</v>
      </c>
      <c r="G52" s="278">
        <f t="shared" ca="1" si="17"/>
        <v>60000</v>
      </c>
      <c r="H52" s="278">
        <f t="shared" ca="1" si="0"/>
        <v>60000</v>
      </c>
      <c r="I52" s="280">
        <f t="shared" ca="1" si="1"/>
        <v>0</v>
      </c>
      <c r="J52" s="281">
        <f t="shared" ca="1" si="2"/>
        <v>60000</v>
      </c>
      <c r="K52" s="281">
        <f t="shared" ca="1" si="3"/>
        <v>60000</v>
      </c>
      <c r="L52" s="280">
        <f t="shared" ca="1" si="4"/>
        <v>0</v>
      </c>
      <c r="M52" s="281">
        <f t="shared" ca="1" si="5"/>
        <v>60000</v>
      </c>
      <c r="N52" s="281">
        <f t="shared" ca="1" si="6"/>
        <v>60000</v>
      </c>
      <c r="O52" s="280">
        <f t="shared" ca="1" si="7"/>
        <v>0</v>
      </c>
      <c r="P52" s="281">
        <f t="shared" ca="1" si="8"/>
        <v>60000</v>
      </c>
      <c r="Q52" s="281">
        <f t="shared" ca="1" si="9"/>
        <v>60000</v>
      </c>
      <c r="R52" s="280">
        <f t="shared" ca="1" si="10"/>
        <v>0</v>
      </c>
      <c r="S52" s="281">
        <f t="shared" ca="1" si="11"/>
        <v>60000</v>
      </c>
      <c r="T52" s="281">
        <f t="shared" ca="1" si="12"/>
        <v>60000</v>
      </c>
      <c r="U52" s="499">
        <f t="shared" ca="1" si="13"/>
        <v>60000</v>
      </c>
      <c r="V52" s="282">
        <f t="shared" ca="1" si="14"/>
        <v>3.1464449891290325E-2</v>
      </c>
      <c r="Y52" s="283">
        <f t="shared" ca="1" si="18"/>
        <v>1</v>
      </c>
    </row>
    <row r="53" spans="2:25" x14ac:dyDescent="0.25">
      <c r="B53" s="276">
        <f t="shared" ca="1" si="15"/>
        <v>23</v>
      </c>
      <c r="C53" s="277" t="str">
        <f ca="1">סיכום!B33</f>
        <v>קול אישה שירה (תואר)</v>
      </c>
      <c r="D53" s="278">
        <f ca="1">IF(C53="","",IF('סכום מבוקש'!E33="",0,'סכום מבוקש'!E33))</f>
        <v>75000</v>
      </c>
      <c r="E53" s="278">
        <f ca="1">IF(C53="","",סיכום!D33)</f>
        <v>75000</v>
      </c>
      <c r="F53" s="279">
        <f t="shared" ca="1" si="16"/>
        <v>0</v>
      </c>
      <c r="G53" s="278">
        <f t="shared" ca="1" si="17"/>
        <v>75000</v>
      </c>
      <c r="H53" s="278">
        <f t="shared" ca="1" si="0"/>
        <v>75000</v>
      </c>
      <c r="I53" s="280">
        <f t="shared" ca="1" si="1"/>
        <v>0</v>
      </c>
      <c r="J53" s="281">
        <f t="shared" ca="1" si="2"/>
        <v>75000</v>
      </c>
      <c r="K53" s="281">
        <f t="shared" ca="1" si="3"/>
        <v>75000</v>
      </c>
      <c r="L53" s="280">
        <f t="shared" ca="1" si="4"/>
        <v>0</v>
      </c>
      <c r="M53" s="281">
        <f t="shared" ca="1" si="5"/>
        <v>75000</v>
      </c>
      <c r="N53" s="281">
        <f t="shared" ca="1" si="6"/>
        <v>75000</v>
      </c>
      <c r="O53" s="280">
        <f t="shared" ca="1" si="7"/>
        <v>0</v>
      </c>
      <c r="P53" s="281">
        <f t="shared" ca="1" si="8"/>
        <v>75000</v>
      </c>
      <c r="Q53" s="281">
        <f t="shared" ca="1" si="9"/>
        <v>75000</v>
      </c>
      <c r="R53" s="280">
        <f t="shared" ca="1" si="10"/>
        <v>0</v>
      </c>
      <c r="S53" s="281">
        <f t="shared" ca="1" si="11"/>
        <v>75000</v>
      </c>
      <c r="T53" s="281">
        <f t="shared" ca="1" si="12"/>
        <v>75000</v>
      </c>
      <c r="U53" s="499">
        <f t="shared" ca="1" si="13"/>
        <v>75000</v>
      </c>
      <c r="V53" s="282">
        <f t="shared" ca="1" si="14"/>
        <v>3.9330562364112906E-2</v>
      </c>
      <c r="Y53" s="283">
        <f t="shared" ca="1" si="18"/>
        <v>1</v>
      </c>
    </row>
    <row r="54" spans="2:25" x14ac:dyDescent="0.25">
      <c r="B54" s="276">
        <f t="shared" ca="1" si="15"/>
        <v>24</v>
      </c>
      <c r="C54" s="277" t="str">
        <f ca="1">סיכום!B34</f>
        <v>האיגוד העולמי למדעי היהדות</v>
      </c>
      <c r="D54" s="278">
        <f ca="1">IF(C54="","",IF('סכום מבוקש'!E34="",0,'סכום מבוקש'!E34))</f>
        <v>180000</v>
      </c>
      <c r="E54" s="278">
        <f ca="1">IF(C54="","",סיכום!D34)</f>
        <v>64574.256854550913</v>
      </c>
      <c r="F54" s="279">
        <f t="shared" ca="1" si="16"/>
        <v>0</v>
      </c>
      <c r="G54" s="278">
        <f t="shared" ca="1" si="17"/>
        <v>64574.256854550913</v>
      </c>
      <c r="H54" s="278">
        <f t="shared" ca="1" si="0"/>
        <v>64574.256854550913</v>
      </c>
      <c r="I54" s="280">
        <f t="shared" ca="1" si="1"/>
        <v>0</v>
      </c>
      <c r="J54" s="281">
        <f t="shared" ca="1" si="2"/>
        <v>64574.256854550913</v>
      </c>
      <c r="K54" s="281">
        <f t="shared" ca="1" si="3"/>
        <v>64574.256854550913</v>
      </c>
      <c r="L54" s="280">
        <f t="shared" ca="1" si="4"/>
        <v>0</v>
      </c>
      <c r="M54" s="281">
        <f t="shared" ca="1" si="5"/>
        <v>64574.256854550913</v>
      </c>
      <c r="N54" s="281">
        <f t="shared" ca="1" si="6"/>
        <v>64574.256854550913</v>
      </c>
      <c r="O54" s="280">
        <f t="shared" ca="1" si="7"/>
        <v>0</v>
      </c>
      <c r="P54" s="281">
        <f t="shared" ca="1" si="8"/>
        <v>64574.256854550913</v>
      </c>
      <c r="Q54" s="281">
        <f t="shared" ca="1" si="9"/>
        <v>64574.256854550913</v>
      </c>
      <c r="R54" s="280">
        <f t="shared" ca="1" si="10"/>
        <v>0</v>
      </c>
      <c r="S54" s="281">
        <f t="shared" ca="1" si="11"/>
        <v>64574.256854550913</v>
      </c>
      <c r="T54" s="281">
        <f t="shared" ca="1" si="12"/>
        <v>64574.256854550913</v>
      </c>
      <c r="U54" s="499">
        <f t="shared" ca="1" si="13"/>
        <v>64574.256854550913</v>
      </c>
      <c r="V54" s="282">
        <f t="shared" ca="1" si="14"/>
        <v>3.3863224484455466E-2</v>
      </c>
      <c r="Y54" s="283">
        <f t="shared" ca="1" si="18"/>
        <v>1</v>
      </c>
    </row>
    <row r="55" spans="2:25" x14ac:dyDescent="0.25">
      <c r="B55" s="276" t="str">
        <f t="shared" ca="1" si="15"/>
        <v/>
      </c>
      <c r="C55" s="277" t="str">
        <f ca="1">סיכום!B35</f>
        <v/>
      </c>
      <c r="D55" s="278" t="str">
        <f ca="1">IF(C55="","",IF('סכום מבוקש'!E35="",0,'סכום מבוקש'!E35))</f>
        <v/>
      </c>
      <c r="E55" s="278" t="str">
        <f ca="1">IF(C55="","",סיכום!D35)</f>
        <v/>
      </c>
      <c r="F55" s="279" t="str">
        <f t="shared" ca="1" si="16"/>
        <v/>
      </c>
      <c r="G55" s="278" t="str">
        <f t="shared" ca="1" si="17"/>
        <v/>
      </c>
      <c r="H55" s="278" t="str">
        <f t="shared" ca="1" si="0"/>
        <v/>
      </c>
      <c r="I55" s="280">
        <f t="shared" ca="1" si="1"/>
        <v>0</v>
      </c>
      <c r="J55" s="281" t="str">
        <f t="shared" ca="1" si="2"/>
        <v/>
      </c>
      <c r="K55" s="281" t="str">
        <f t="shared" ca="1" si="3"/>
        <v/>
      </c>
      <c r="L55" s="280">
        <f t="shared" ca="1" si="4"/>
        <v>0</v>
      </c>
      <c r="M55" s="281" t="str">
        <f t="shared" ca="1" si="5"/>
        <v/>
      </c>
      <c r="N55" s="281" t="str">
        <f t="shared" ca="1" si="6"/>
        <v/>
      </c>
      <c r="O55" s="280">
        <f t="shared" ca="1" si="7"/>
        <v>0</v>
      </c>
      <c r="P55" s="281" t="str">
        <f t="shared" ca="1" si="8"/>
        <v/>
      </c>
      <c r="Q55" s="281" t="str">
        <f t="shared" ca="1" si="9"/>
        <v/>
      </c>
      <c r="R55" s="280">
        <f t="shared" ca="1" si="10"/>
        <v>0</v>
      </c>
      <c r="S55" s="281" t="str">
        <f t="shared" ca="1" si="11"/>
        <v/>
      </c>
      <c r="T55" s="281" t="str">
        <f t="shared" ca="1" si="12"/>
        <v/>
      </c>
      <c r="U55" s="499" t="str">
        <f t="shared" ca="1" si="13"/>
        <v/>
      </c>
      <c r="V55" s="282" t="str">
        <f t="shared" ca="1" si="14"/>
        <v/>
      </c>
      <c r="Y55" s="283">
        <f t="shared" ca="1" si="18"/>
        <v>0</v>
      </c>
    </row>
    <row r="56" spans="2:25" x14ac:dyDescent="0.25">
      <c r="B56" s="276" t="str">
        <f t="shared" ca="1" si="15"/>
        <v/>
      </c>
      <c r="C56" s="277" t="str">
        <f ca="1">סיכום!B36</f>
        <v/>
      </c>
      <c r="D56" s="278" t="str">
        <f ca="1">IF(C56="","",IF('סכום מבוקש'!E36="",0,'סכום מבוקש'!E36))</f>
        <v/>
      </c>
      <c r="E56" s="278" t="str">
        <f ca="1">IF(C56="","",סיכום!D36)</f>
        <v/>
      </c>
      <c r="F56" s="279" t="str">
        <f t="shared" ca="1" si="16"/>
        <v/>
      </c>
      <c r="G56" s="278" t="str">
        <f t="shared" ca="1" si="17"/>
        <v/>
      </c>
      <c r="H56" s="278" t="str">
        <f t="shared" ca="1" si="0"/>
        <v/>
      </c>
      <c r="I56" s="280">
        <f t="shared" ca="1" si="1"/>
        <v>0</v>
      </c>
      <c r="J56" s="281" t="str">
        <f t="shared" ca="1" si="2"/>
        <v/>
      </c>
      <c r="K56" s="281" t="str">
        <f t="shared" ca="1" si="3"/>
        <v/>
      </c>
      <c r="L56" s="280">
        <f t="shared" ca="1" si="4"/>
        <v>0</v>
      </c>
      <c r="M56" s="281" t="str">
        <f t="shared" ca="1" si="5"/>
        <v/>
      </c>
      <c r="N56" s="281" t="str">
        <f t="shared" ca="1" si="6"/>
        <v/>
      </c>
      <c r="O56" s="280">
        <f t="shared" ca="1" si="7"/>
        <v>0</v>
      </c>
      <c r="P56" s="281" t="str">
        <f t="shared" ca="1" si="8"/>
        <v/>
      </c>
      <c r="Q56" s="281" t="str">
        <f t="shared" ca="1" si="9"/>
        <v/>
      </c>
      <c r="R56" s="280">
        <f t="shared" ca="1" si="10"/>
        <v>0</v>
      </c>
      <c r="S56" s="281" t="str">
        <f t="shared" ca="1" si="11"/>
        <v/>
      </c>
      <c r="T56" s="281" t="str">
        <f t="shared" ca="1" si="12"/>
        <v/>
      </c>
      <c r="U56" s="499" t="str">
        <f t="shared" ca="1" si="13"/>
        <v/>
      </c>
      <c r="V56" s="282" t="str">
        <f t="shared" ca="1" si="14"/>
        <v/>
      </c>
      <c r="Y56" s="283">
        <f t="shared" ca="1" si="18"/>
        <v>0</v>
      </c>
    </row>
    <row r="57" spans="2:25" x14ac:dyDescent="0.25">
      <c r="B57" s="276" t="str">
        <f t="shared" ca="1" si="15"/>
        <v/>
      </c>
      <c r="C57" s="277" t="str">
        <f ca="1">סיכום!B37</f>
        <v/>
      </c>
      <c r="D57" s="278" t="str">
        <f ca="1">IF(C57="","",IF('סכום מבוקש'!E37="",0,'סכום מבוקש'!E37))</f>
        <v/>
      </c>
      <c r="E57" s="278" t="str">
        <f ca="1">IF(C57="","",סיכום!D37)</f>
        <v/>
      </c>
      <c r="F57" s="279" t="str">
        <f t="shared" ca="1" si="16"/>
        <v/>
      </c>
      <c r="G57" s="278" t="str">
        <f t="shared" ca="1" si="17"/>
        <v/>
      </c>
      <c r="H57" s="278" t="str">
        <f t="shared" ca="1" si="0"/>
        <v/>
      </c>
      <c r="I57" s="280">
        <f t="shared" ca="1" si="1"/>
        <v>0</v>
      </c>
      <c r="J57" s="281" t="str">
        <f t="shared" ca="1" si="2"/>
        <v/>
      </c>
      <c r="K57" s="281" t="str">
        <f t="shared" ca="1" si="3"/>
        <v/>
      </c>
      <c r="L57" s="280">
        <f t="shared" ca="1" si="4"/>
        <v>0</v>
      </c>
      <c r="M57" s="281" t="str">
        <f t="shared" ca="1" si="5"/>
        <v/>
      </c>
      <c r="N57" s="281" t="str">
        <f t="shared" ca="1" si="6"/>
        <v/>
      </c>
      <c r="O57" s="280">
        <f t="shared" ca="1" si="7"/>
        <v>0</v>
      </c>
      <c r="P57" s="281" t="str">
        <f t="shared" ca="1" si="8"/>
        <v/>
      </c>
      <c r="Q57" s="281" t="str">
        <f t="shared" ca="1" si="9"/>
        <v/>
      </c>
      <c r="R57" s="280">
        <f t="shared" ca="1" si="10"/>
        <v>0</v>
      </c>
      <c r="S57" s="281" t="str">
        <f t="shared" ca="1" si="11"/>
        <v/>
      </c>
      <c r="T57" s="281" t="str">
        <f t="shared" ca="1" si="12"/>
        <v/>
      </c>
      <c r="U57" s="499" t="str">
        <f t="shared" ca="1" si="13"/>
        <v/>
      </c>
      <c r="V57" s="282" t="str">
        <f t="shared" ca="1" si="14"/>
        <v/>
      </c>
      <c r="Y57" s="283">
        <f t="shared" ca="1" si="18"/>
        <v>0</v>
      </c>
    </row>
    <row r="58" spans="2:25" x14ac:dyDescent="0.25">
      <c r="B58" s="276" t="str">
        <f t="shared" ca="1" si="15"/>
        <v/>
      </c>
      <c r="C58" s="277" t="str">
        <f ca="1">סיכום!B38</f>
        <v/>
      </c>
      <c r="D58" s="278" t="str">
        <f ca="1">IF(C58="","",IF('סכום מבוקש'!E38="",0,'סכום מבוקש'!E38))</f>
        <v/>
      </c>
      <c r="E58" s="278" t="str">
        <f ca="1">IF(C58="","",סיכום!D38)</f>
        <v/>
      </c>
      <c r="F58" s="279" t="str">
        <f t="shared" ca="1" si="16"/>
        <v/>
      </c>
      <c r="G58" s="278" t="str">
        <f t="shared" ca="1" si="17"/>
        <v/>
      </c>
      <c r="H58" s="278" t="str">
        <f t="shared" ca="1" si="0"/>
        <v/>
      </c>
      <c r="I58" s="280">
        <f t="shared" ca="1" si="1"/>
        <v>0</v>
      </c>
      <c r="J58" s="281" t="str">
        <f t="shared" ca="1" si="2"/>
        <v/>
      </c>
      <c r="K58" s="281" t="str">
        <f t="shared" ca="1" si="3"/>
        <v/>
      </c>
      <c r="L58" s="280">
        <f t="shared" ca="1" si="4"/>
        <v>0</v>
      </c>
      <c r="M58" s="281" t="str">
        <f t="shared" ca="1" si="5"/>
        <v/>
      </c>
      <c r="N58" s="281" t="str">
        <f t="shared" ca="1" si="6"/>
        <v/>
      </c>
      <c r="O58" s="280">
        <f t="shared" ca="1" si="7"/>
        <v>0</v>
      </c>
      <c r="P58" s="281" t="str">
        <f t="shared" ca="1" si="8"/>
        <v/>
      </c>
      <c r="Q58" s="281" t="str">
        <f t="shared" ca="1" si="9"/>
        <v/>
      </c>
      <c r="R58" s="280">
        <f t="shared" ca="1" si="10"/>
        <v>0</v>
      </c>
      <c r="S58" s="281" t="str">
        <f t="shared" ca="1" si="11"/>
        <v/>
      </c>
      <c r="T58" s="281" t="str">
        <f t="shared" ca="1" si="12"/>
        <v/>
      </c>
      <c r="U58" s="499" t="str">
        <f t="shared" ca="1" si="13"/>
        <v/>
      </c>
      <c r="V58" s="282" t="str">
        <f t="shared" ca="1" si="14"/>
        <v/>
      </c>
      <c r="Y58" s="283">
        <f t="shared" ca="1" si="18"/>
        <v>0</v>
      </c>
    </row>
    <row r="59" spans="2:25" x14ac:dyDescent="0.25">
      <c r="B59" s="276">
        <f t="shared" ca="1" si="15"/>
        <v>29</v>
      </c>
      <c r="C59" s="277" t="str">
        <f ca="1">סיכום!B39</f>
        <v>גופא (נתיב האומן )</v>
      </c>
      <c r="D59" s="278">
        <f ca="1">IF(C59="","",IF('סכום מבוקש'!E39="",0,'סכום מבוקש'!E39))</f>
        <v>250000</v>
      </c>
      <c r="E59" s="278">
        <f ca="1">IF(C59="","",סיכום!D39)</f>
        <v>44776.872485815889</v>
      </c>
      <c r="F59" s="279">
        <f t="shared" ca="1" si="16"/>
        <v>0</v>
      </c>
      <c r="G59" s="278">
        <f t="shared" ca="1" si="17"/>
        <v>44776.872485815889</v>
      </c>
      <c r="H59" s="278">
        <f t="shared" ca="1" si="0"/>
        <v>44776.872485815889</v>
      </c>
      <c r="I59" s="280">
        <f t="shared" ca="1" si="1"/>
        <v>0</v>
      </c>
      <c r="J59" s="281">
        <f t="shared" ca="1" si="2"/>
        <v>44776.872485815889</v>
      </c>
      <c r="K59" s="281">
        <f t="shared" ca="1" si="3"/>
        <v>44776.872485815889</v>
      </c>
      <c r="L59" s="280">
        <f t="shared" ca="1" si="4"/>
        <v>0</v>
      </c>
      <c r="M59" s="281">
        <f t="shared" ca="1" si="5"/>
        <v>44776.872485815889</v>
      </c>
      <c r="N59" s="281">
        <f t="shared" ca="1" si="6"/>
        <v>44776.872485815889</v>
      </c>
      <c r="O59" s="280">
        <f t="shared" ca="1" si="7"/>
        <v>0</v>
      </c>
      <c r="P59" s="281">
        <f t="shared" ca="1" si="8"/>
        <v>44776.872485815889</v>
      </c>
      <c r="Q59" s="281">
        <f t="shared" ca="1" si="9"/>
        <v>44776.872485815889</v>
      </c>
      <c r="R59" s="280">
        <f t="shared" ca="1" si="10"/>
        <v>0</v>
      </c>
      <c r="S59" s="281">
        <f t="shared" ca="1" si="11"/>
        <v>44776.872485815889</v>
      </c>
      <c r="T59" s="281">
        <f t="shared" ca="1" si="12"/>
        <v>44776.872485815889</v>
      </c>
      <c r="U59" s="499">
        <f t="shared" ca="1" si="13"/>
        <v>44776.872485815889</v>
      </c>
      <c r="V59" s="282">
        <f t="shared" ca="1" si="14"/>
        <v>2.3481327676977509E-2</v>
      </c>
      <c r="Y59" s="283">
        <f t="shared" ca="1" si="18"/>
        <v>1</v>
      </c>
    </row>
    <row r="60" spans="2:25" x14ac:dyDescent="0.25">
      <c r="B60" s="276">
        <f t="shared" ca="1" si="15"/>
        <v>30</v>
      </c>
      <c r="C60" s="277" t="str">
        <f ca="1">סיכום!B40</f>
        <v>ערב רב (בר קיימא)</v>
      </c>
      <c r="D60" s="278">
        <f ca="1">IF(C60="","",IF('סכום מבוקש'!E40="",0,'סכום מבוקש'!E40))</f>
        <v>150000</v>
      </c>
      <c r="E60" s="278">
        <f ca="1">IF(C60="","",סיכום!D40)</f>
        <v>65881.953579386216</v>
      </c>
      <c r="F60" s="279">
        <f t="shared" ca="1" si="16"/>
        <v>0</v>
      </c>
      <c r="G60" s="278">
        <f t="shared" ca="1" si="17"/>
        <v>65881.953579386216</v>
      </c>
      <c r="H60" s="278">
        <f t="shared" ca="1" si="0"/>
        <v>65881.953579386216</v>
      </c>
      <c r="I60" s="280">
        <f t="shared" ca="1" si="1"/>
        <v>0</v>
      </c>
      <c r="J60" s="281">
        <f t="shared" ca="1" si="2"/>
        <v>65881.953579386216</v>
      </c>
      <c r="K60" s="281">
        <f t="shared" ca="1" si="3"/>
        <v>65881.953579386216</v>
      </c>
      <c r="L60" s="280">
        <f t="shared" ca="1" si="4"/>
        <v>0</v>
      </c>
      <c r="M60" s="281">
        <f t="shared" ca="1" si="5"/>
        <v>65881.953579386216</v>
      </c>
      <c r="N60" s="281">
        <f t="shared" ca="1" si="6"/>
        <v>65881.953579386216</v>
      </c>
      <c r="O60" s="280">
        <f t="shared" ca="1" si="7"/>
        <v>0</v>
      </c>
      <c r="P60" s="281">
        <f t="shared" ca="1" si="8"/>
        <v>65881.953579386216</v>
      </c>
      <c r="Q60" s="281">
        <f t="shared" ca="1" si="9"/>
        <v>65881.953579386216</v>
      </c>
      <c r="R60" s="280">
        <f t="shared" ca="1" si="10"/>
        <v>0</v>
      </c>
      <c r="S60" s="281">
        <f t="shared" ca="1" si="11"/>
        <v>65881.953579386216</v>
      </c>
      <c r="T60" s="281">
        <f t="shared" ca="1" si="12"/>
        <v>65881.953579386216</v>
      </c>
      <c r="U60" s="499">
        <f t="shared" ca="1" si="13"/>
        <v>65881.953579386216</v>
      </c>
      <c r="V60" s="282">
        <f t="shared" ca="1" si="14"/>
        <v>3.4548990452315215E-2</v>
      </c>
      <c r="Y60" s="283">
        <f t="shared" ca="1" si="18"/>
        <v>1</v>
      </c>
    </row>
    <row r="61" spans="2:25" x14ac:dyDescent="0.25">
      <c r="B61" s="276" t="str">
        <f t="shared" ca="1" si="15"/>
        <v/>
      </c>
      <c r="C61" s="277" t="str">
        <f ca="1">סיכום!B41</f>
        <v/>
      </c>
      <c r="D61" s="278" t="str">
        <f ca="1">IF(C61="","",IF('סכום מבוקש'!E41="",0,'סכום מבוקש'!E41))</f>
        <v/>
      </c>
      <c r="E61" s="278" t="str">
        <f ca="1">IF(C61="","",סיכום!D41)</f>
        <v/>
      </c>
      <c r="F61" s="279" t="str">
        <f t="shared" ca="1" si="16"/>
        <v/>
      </c>
      <c r="G61" s="278" t="str">
        <f t="shared" ca="1" si="17"/>
        <v/>
      </c>
      <c r="H61" s="278" t="str">
        <f t="shared" ca="1" si="0"/>
        <v/>
      </c>
      <c r="I61" s="280">
        <f t="shared" ca="1" si="1"/>
        <v>0</v>
      </c>
      <c r="J61" s="281" t="str">
        <f t="shared" ca="1" si="2"/>
        <v/>
      </c>
      <c r="K61" s="281" t="str">
        <f t="shared" ca="1" si="3"/>
        <v/>
      </c>
      <c r="L61" s="280">
        <f t="shared" ca="1" si="4"/>
        <v>0</v>
      </c>
      <c r="M61" s="281" t="str">
        <f t="shared" ca="1" si="5"/>
        <v/>
      </c>
      <c r="N61" s="281" t="str">
        <f t="shared" ca="1" si="6"/>
        <v/>
      </c>
      <c r="O61" s="280">
        <f t="shared" ca="1" si="7"/>
        <v>0</v>
      </c>
      <c r="P61" s="281" t="str">
        <f t="shared" ca="1" si="8"/>
        <v/>
      </c>
      <c r="Q61" s="281" t="str">
        <f t="shared" ca="1" si="9"/>
        <v/>
      </c>
      <c r="R61" s="280">
        <f t="shared" ca="1" si="10"/>
        <v>0</v>
      </c>
      <c r="S61" s="281" t="str">
        <f t="shared" ca="1" si="11"/>
        <v/>
      </c>
      <c r="T61" s="281" t="str">
        <f t="shared" ca="1" si="12"/>
        <v/>
      </c>
      <c r="U61" s="499" t="str">
        <f t="shared" ca="1" si="13"/>
        <v/>
      </c>
      <c r="V61" s="282" t="str">
        <f t="shared" ca="1" si="14"/>
        <v/>
      </c>
      <c r="Y61" s="283">
        <f t="shared" ca="1" si="18"/>
        <v>0</v>
      </c>
    </row>
    <row r="62" spans="2:25" x14ac:dyDescent="0.25">
      <c r="B62" s="276">
        <f t="shared" ca="1" si="15"/>
        <v>32</v>
      </c>
      <c r="C62" s="277" t="str">
        <f ca="1">סיכום!B42</f>
        <v>מעלה</v>
      </c>
      <c r="D62" s="278">
        <f ca="1">IF(C62="","",IF('סכום מבוקש'!E42="",0,'סכום מבוקש'!E42))</f>
        <v>150000</v>
      </c>
      <c r="E62" s="278">
        <f ca="1">IF(C62="","",סיכום!D42)</f>
        <v>120113.02039153693</v>
      </c>
      <c r="F62" s="279">
        <f t="shared" ca="1" si="16"/>
        <v>0</v>
      </c>
      <c r="G62" s="278">
        <f t="shared" ca="1" si="17"/>
        <v>120113.02039153693</v>
      </c>
      <c r="H62" s="278">
        <f t="shared" ca="1" si="0"/>
        <v>120113.02039153692</v>
      </c>
      <c r="I62" s="280">
        <f t="shared" ca="1" si="1"/>
        <v>0</v>
      </c>
      <c r="J62" s="281">
        <f t="shared" ca="1" si="2"/>
        <v>120113.02039153692</v>
      </c>
      <c r="K62" s="281">
        <f t="shared" ca="1" si="3"/>
        <v>120113.02039153692</v>
      </c>
      <c r="L62" s="280">
        <f t="shared" ca="1" si="4"/>
        <v>0</v>
      </c>
      <c r="M62" s="281">
        <f t="shared" ca="1" si="5"/>
        <v>120113.02039153692</v>
      </c>
      <c r="N62" s="281">
        <f t="shared" ca="1" si="6"/>
        <v>120113.02039153692</v>
      </c>
      <c r="O62" s="280">
        <f t="shared" ca="1" si="7"/>
        <v>0</v>
      </c>
      <c r="P62" s="281">
        <f t="shared" ca="1" si="8"/>
        <v>120113.02039153692</v>
      </c>
      <c r="Q62" s="281">
        <f t="shared" ca="1" si="9"/>
        <v>120113.02039153692</v>
      </c>
      <c r="R62" s="280">
        <f t="shared" ca="1" si="10"/>
        <v>0</v>
      </c>
      <c r="S62" s="281">
        <f t="shared" ca="1" si="11"/>
        <v>120113.02039153692</v>
      </c>
      <c r="T62" s="281">
        <f t="shared" ca="1" si="12"/>
        <v>120113.02039153692</v>
      </c>
      <c r="U62" s="499">
        <f t="shared" ca="1" si="13"/>
        <v>120113.02039153692</v>
      </c>
      <c r="V62" s="282">
        <f t="shared" ca="1" si="14"/>
        <v>6.2988168523350777E-2</v>
      </c>
      <c r="Y62" s="283">
        <f t="shared" ca="1" si="18"/>
        <v>1</v>
      </c>
    </row>
    <row r="63" spans="2:25" x14ac:dyDescent="0.25">
      <c r="B63" s="276" t="str">
        <f t="shared" ca="1" si="15"/>
        <v/>
      </c>
      <c r="C63" s="277" t="str">
        <f ca="1">סיכום!B43</f>
        <v/>
      </c>
      <c r="D63" s="278" t="str">
        <f ca="1">IF(C63="","",IF('סכום מבוקש'!E43="",0,'סכום מבוקש'!E43))</f>
        <v/>
      </c>
      <c r="E63" s="278" t="str">
        <f ca="1">IF(C63="","",סיכום!D43)</f>
        <v/>
      </c>
      <c r="F63" s="279" t="str">
        <f t="shared" ca="1" si="16"/>
        <v/>
      </c>
      <c r="G63" s="278" t="str">
        <f t="shared" ca="1" si="17"/>
        <v/>
      </c>
      <c r="H63" s="278" t="str">
        <f t="shared" ca="1" si="0"/>
        <v/>
      </c>
      <c r="I63" s="280">
        <f t="shared" ca="1" si="1"/>
        <v>0</v>
      </c>
      <c r="J63" s="281" t="str">
        <f t="shared" ca="1" si="2"/>
        <v/>
      </c>
      <c r="K63" s="281" t="str">
        <f t="shared" ca="1" si="3"/>
        <v/>
      </c>
      <c r="L63" s="280">
        <f t="shared" ca="1" si="4"/>
        <v>0</v>
      </c>
      <c r="M63" s="281" t="str">
        <f t="shared" ca="1" si="5"/>
        <v/>
      </c>
      <c r="N63" s="281" t="str">
        <f t="shared" ca="1" si="6"/>
        <v/>
      </c>
      <c r="O63" s="280">
        <f t="shared" ca="1" si="7"/>
        <v>0</v>
      </c>
      <c r="P63" s="281" t="str">
        <f t="shared" ca="1" si="8"/>
        <v/>
      </c>
      <c r="Q63" s="281" t="str">
        <f t="shared" ca="1" si="9"/>
        <v/>
      </c>
      <c r="R63" s="280">
        <f t="shared" ca="1" si="10"/>
        <v>0</v>
      </c>
      <c r="S63" s="281" t="str">
        <f t="shared" ca="1" si="11"/>
        <v/>
      </c>
      <c r="T63" s="281" t="str">
        <f t="shared" ca="1" si="12"/>
        <v/>
      </c>
      <c r="U63" s="499" t="str">
        <f t="shared" ca="1" si="13"/>
        <v/>
      </c>
      <c r="V63" s="282" t="str">
        <f t="shared" ca="1" si="14"/>
        <v/>
      </c>
      <c r="Y63" s="283">
        <f t="shared" ca="1" si="18"/>
        <v>0</v>
      </c>
    </row>
    <row r="64" spans="2:25" x14ac:dyDescent="0.25">
      <c r="B64" s="276">
        <f t="shared" ca="1" si="15"/>
        <v>34</v>
      </c>
      <c r="C64" s="277" t="str">
        <f ca="1">סיכום!B44</f>
        <v>כתב עת ירושלמי</v>
      </c>
      <c r="D64" s="278">
        <f ca="1">IF(C64="","",IF('סכום מבוקש'!E44="",0,'סכום מבוקש'!E44))</f>
        <v>200000</v>
      </c>
      <c r="E64" s="278">
        <f ca="1">IF(C64="","",סיכום!D44)</f>
        <v>59854.236223549698</v>
      </c>
      <c r="F64" s="279">
        <f t="shared" ca="1" si="16"/>
        <v>0</v>
      </c>
      <c r="G64" s="278">
        <f t="shared" ca="1" si="17"/>
        <v>59854.236223549698</v>
      </c>
      <c r="H64" s="278">
        <f t="shared" ca="1" si="0"/>
        <v>59854.236223549691</v>
      </c>
      <c r="I64" s="280">
        <f t="shared" ca="1" si="1"/>
        <v>0</v>
      </c>
      <c r="J64" s="281">
        <f t="shared" ca="1" si="2"/>
        <v>59854.236223549691</v>
      </c>
      <c r="K64" s="281">
        <f t="shared" ca="1" si="3"/>
        <v>59854.236223549691</v>
      </c>
      <c r="L64" s="280">
        <f t="shared" ca="1" si="4"/>
        <v>0</v>
      </c>
      <c r="M64" s="281">
        <f t="shared" ca="1" si="5"/>
        <v>59854.236223549691</v>
      </c>
      <c r="N64" s="281">
        <f t="shared" ca="1" si="6"/>
        <v>59854.236223549691</v>
      </c>
      <c r="O64" s="280">
        <f t="shared" ca="1" si="7"/>
        <v>0</v>
      </c>
      <c r="P64" s="281">
        <f t="shared" ca="1" si="8"/>
        <v>59854.236223549691</v>
      </c>
      <c r="Q64" s="281">
        <f t="shared" ca="1" si="9"/>
        <v>59854.236223549691</v>
      </c>
      <c r="R64" s="280">
        <f t="shared" ca="1" si="10"/>
        <v>0</v>
      </c>
      <c r="S64" s="281">
        <f t="shared" ca="1" si="11"/>
        <v>59854.236223549691</v>
      </c>
      <c r="T64" s="281">
        <f t="shared" ca="1" si="12"/>
        <v>59854.236223549691</v>
      </c>
      <c r="U64" s="499">
        <f t="shared" ca="1" si="13"/>
        <v>59854.236223549691</v>
      </c>
      <c r="V64" s="282">
        <f t="shared" ca="1" si="14"/>
        <v>3.1388010273955561E-2</v>
      </c>
      <c r="Y64" s="283">
        <f t="shared" ca="1" si="18"/>
        <v>1</v>
      </c>
    </row>
    <row r="65" spans="2:25" x14ac:dyDescent="0.25">
      <c r="B65" s="276" t="str">
        <f t="shared" ca="1" si="15"/>
        <v/>
      </c>
      <c r="C65" s="277" t="str">
        <f ca="1">סיכום!B45</f>
        <v/>
      </c>
      <c r="D65" s="278" t="str">
        <f ca="1">IF(C65="","",IF('סכום מבוקש'!E45="",0,'סכום מבוקש'!E45))</f>
        <v/>
      </c>
      <c r="E65" s="278" t="str">
        <f ca="1">IF(C65="","",סיכום!D45)</f>
        <v/>
      </c>
      <c r="F65" s="279" t="str">
        <f t="shared" ca="1" si="16"/>
        <v/>
      </c>
      <c r="G65" s="278" t="str">
        <f t="shared" ca="1" si="17"/>
        <v/>
      </c>
      <c r="H65" s="278" t="str">
        <f t="shared" ca="1" si="0"/>
        <v/>
      </c>
      <c r="I65" s="280">
        <f t="shared" ca="1" si="1"/>
        <v>0</v>
      </c>
      <c r="J65" s="281" t="str">
        <f t="shared" ca="1" si="2"/>
        <v/>
      </c>
      <c r="K65" s="281" t="str">
        <f t="shared" ca="1" si="3"/>
        <v/>
      </c>
      <c r="L65" s="280">
        <f t="shared" ca="1" si="4"/>
        <v>0</v>
      </c>
      <c r="M65" s="281" t="str">
        <f t="shared" ca="1" si="5"/>
        <v/>
      </c>
      <c r="N65" s="281" t="str">
        <f t="shared" ca="1" si="6"/>
        <v/>
      </c>
      <c r="O65" s="280">
        <f t="shared" ca="1" si="7"/>
        <v>0</v>
      </c>
      <c r="P65" s="281" t="str">
        <f t="shared" ca="1" si="8"/>
        <v/>
      </c>
      <c r="Q65" s="281" t="str">
        <f t="shared" ca="1" si="9"/>
        <v/>
      </c>
      <c r="R65" s="280">
        <f t="shared" ca="1" si="10"/>
        <v>0</v>
      </c>
      <c r="S65" s="281" t="str">
        <f t="shared" ca="1" si="11"/>
        <v/>
      </c>
      <c r="T65" s="281" t="str">
        <f t="shared" ca="1" si="12"/>
        <v/>
      </c>
      <c r="U65" s="499" t="str">
        <f t="shared" ca="1" si="13"/>
        <v/>
      </c>
      <c r="V65" s="282" t="str">
        <f t="shared" ca="1" si="14"/>
        <v/>
      </c>
      <c r="Y65" s="283">
        <f t="shared" ca="1" si="18"/>
        <v>0</v>
      </c>
    </row>
    <row r="66" spans="2:25" x14ac:dyDescent="0.25">
      <c r="B66" s="276">
        <f t="shared" ca="1" si="15"/>
        <v>36</v>
      </c>
      <c r="C66" s="277" t="str">
        <f ca="1">סיכום!B46</f>
        <v>העמותה ליצירה פנטסטית- אוטופיה</v>
      </c>
      <c r="D66" s="278">
        <f ca="1">IF(C66="","",IF('סכום מבוקש'!E46="",0,'סכום מבוקש'!E46))</f>
        <v>100000</v>
      </c>
      <c r="E66" s="278">
        <f ca="1">IF(C66="","",סיכום!D46)</f>
        <v>75197.68799256481</v>
      </c>
      <c r="F66" s="279">
        <f t="shared" ca="1" si="16"/>
        <v>0</v>
      </c>
      <c r="G66" s="278">
        <f t="shared" ca="1" si="17"/>
        <v>75197.68799256481</v>
      </c>
      <c r="H66" s="278">
        <f t="shared" ca="1" si="0"/>
        <v>75197.68799256481</v>
      </c>
      <c r="I66" s="280">
        <f t="shared" ca="1" si="1"/>
        <v>0</v>
      </c>
      <c r="J66" s="281">
        <f t="shared" ca="1" si="2"/>
        <v>75197.68799256481</v>
      </c>
      <c r="K66" s="281">
        <f t="shared" ca="1" si="3"/>
        <v>75197.68799256481</v>
      </c>
      <c r="L66" s="280">
        <f t="shared" ca="1" si="4"/>
        <v>0</v>
      </c>
      <c r="M66" s="281">
        <f t="shared" ca="1" si="5"/>
        <v>75197.68799256481</v>
      </c>
      <c r="N66" s="281">
        <f t="shared" ca="1" si="6"/>
        <v>75197.68799256481</v>
      </c>
      <c r="O66" s="280">
        <f t="shared" ca="1" si="7"/>
        <v>0</v>
      </c>
      <c r="P66" s="281">
        <f t="shared" ca="1" si="8"/>
        <v>75197.68799256481</v>
      </c>
      <c r="Q66" s="281">
        <f t="shared" ca="1" si="9"/>
        <v>75197.68799256481</v>
      </c>
      <c r="R66" s="280">
        <f t="shared" ca="1" si="10"/>
        <v>0</v>
      </c>
      <c r="S66" s="281">
        <f t="shared" ca="1" si="11"/>
        <v>75197.68799256481</v>
      </c>
      <c r="T66" s="281">
        <f t="shared" ca="1" si="12"/>
        <v>75197.68799256481</v>
      </c>
      <c r="U66" s="499">
        <f t="shared" ca="1" si="13"/>
        <v>75197.68799256481</v>
      </c>
      <c r="V66" s="282">
        <f t="shared" ca="1" si="14"/>
        <v>3.9434231429715659E-2</v>
      </c>
      <c r="Y66" s="283">
        <f t="shared" ca="1" si="18"/>
        <v>1</v>
      </c>
    </row>
    <row r="67" spans="2:25" x14ac:dyDescent="0.25">
      <c r="B67" s="276" t="str">
        <f t="shared" ca="1" si="15"/>
        <v/>
      </c>
      <c r="C67" s="277" t="str">
        <f ca="1">סיכום!B47</f>
        <v/>
      </c>
      <c r="D67" s="278" t="str">
        <f ca="1">IF(C67="","",IF('סכום מבוקש'!E47="",0,'סכום מבוקש'!E47))</f>
        <v/>
      </c>
      <c r="E67" s="278" t="str">
        <f ca="1">IF(C67="","",סיכום!D47)</f>
        <v/>
      </c>
      <c r="F67" s="279" t="str">
        <f t="shared" ca="1" si="16"/>
        <v/>
      </c>
      <c r="G67" s="278" t="str">
        <f t="shared" ca="1" si="17"/>
        <v/>
      </c>
      <c r="H67" s="278" t="str">
        <f t="shared" ca="1" si="0"/>
        <v/>
      </c>
      <c r="I67" s="280">
        <f t="shared" ca="1" si="1"/>
        <v>0</v>
      </c>
      <c r="J67" s="281" t="str">
        <f t="shared" ca="1" si="2"/>
        <v/>
      </c>
      <c r="K67" s="281" t="str">
        <f t="shared" ca="1" si="3"/>
        <v/>
      </c>
      <c r="L67" s="280">
        <f t="shared" ca="1" si="4"/>
        <v>0</v>
      </c>
      <c r="M67" s="281" t="str">
        <f t="shared" ca="1" si="5"/>
        <v/>
      </c>
      <c r="N67" s="281" t="str">
        <f t="shared" ca="1" si="6"/>
        <v/>
      </c>
      <c r="O67" s="280">
        <f t="shared" ca="1" si="7"/>
        <v>0</v>
      </c>
      <c r="P67" s="281" t="str">
        <f t="shared" ca="1" si="8"/>
        <v/>
      </c>
      <c r="Q67" s="281" t="str">
        <f t="shared" ca="1" si="9"/>
        <v/>
      </c>
      <c r="R67" s="280">
        <f t="shared" ca="1" si="10"/>
        <v>0</v>
      </c>
      <c r="S67" s="281" t="str">
        <f t="shared" ca="1" si="11"/>
        <v/>
      </c>
      <c r="T67" s="281" t="str">
        <f t="shared" ca="1" si="12"/>
        <v/>
      </c>
      <c r="U67" s="499" t="str">
        <f t="shared" ca="1" si="13"/>
        <v/>
      </c>
      <c r="V67" s="282" t="str">
        <f t="shared" ca="1" si="14"/>
        <v/>
      </c>
      <c r="Y67" s="283">
        <f t="shared" ca="1" si="18"/>
        <v>0</v>
      </c>
    </row>
    <row r="68" spans="2:25" x14ac:dyDescent="0.25">
      <c r="B68" s="276" t="str">
        <f t="shared" ca="1" si="15"/>
        <v/>
      </c>
      <c r="C68" s="277" t="str">
        <f ca="1">סיכום!B48</f>
        <v/>
      </c>
      <c r="D68" s="278" t="str">
        <f ca="1">IF(C68="","",IF('סכום מבוקש'!E48="",0,'סכום מבוקש'!E48))</f>
        <v/>
      </c>
      <c r="E68" s="278" t="str">
        <f ca="1">IF(C68="","",סיכום!D48)</f>
        <v/>
      </c>
      <c r="F68" s="279" t="str">
        <f t="shared" ca="1" si="16"/>
        <v/>
      </c>
      <c r="G68" s="278" t="str">
        <f t="shared" ca="1" si="17"/>
        <v/>
      </c>
      <c r="H68" s="278" t="str">
        <f t="shared" ca="1" si="0"/>
        <v/>
      </c>
      <c r="I68" s="280">
        <f t="shared" ca="1" si="1"/>
        <v>0</v>
      </c>
      <c r="J68" s="281" t="str">
        <f t="shared" ca="1" si="2"/>
        <v/>
      </c>
      <c r="K68" s="281" t="str">
        <f t="shared" ca="1" si="3"/>
        <v/>
      </c>
      <c r="L68" s="280">
        <f t="shared" ca="1" si="4"/>
        <v>0</v>
      </c>
      <c r="M68" s="281" t="str">
        <f t="shared" ca="1" si="5"/>
        <v/>
      </c>
      <c r="N68" s="281" t="str">
        <f t="shared" ca="1" si="6"/>
        <v/>
      </c>
      <c r="O68" s="280">
        <f t="shared" ca="1" si="7"/>
        <v>0</v>
      </c>
      <c r="P68" s="281" t="str">
        <f t="shared" ca="1" si="8"/>
        <v/>
      </c>
      <c r="Q68" s="281" t="str">
        <f t="shared" ca="1" si="9"/>
        <v/>
      </c>
      <c r="R68" s="280">
        <f t="shared" ca="1" si="10"/>
        <v>0</v>
      </c>
      <c r="S68" s="281" t="str">
        <f t="shared" ca="1" si="11"/>
        <v/>
      </c>
      <c r="T68" s="281" t="str">
        <f t="shared" ca="1" si="12"/>
        <v/>
      </c>
      <c r="U68" s="499" t="str">
        <f t="shared" ca="1" si="13"/>
        <v/>
      </c>
      <c r="V68" s="282" t="str">
        <f t="shared" ca="1" si="14"/>
        <v/>
      </c>
      <c r="Y68" s="283">
        <f t="shared" ca="1" si="18"/>
        <v>0</v>
      </c>
    </row>
    <row r="69" spans="2:25" x14ac:dyDescent="0.25">
      <c r="B69" s="276" t="str">
        <f t="shared" ca="1" si="15"/>
        <v/>
      </c>
      <c r="C69" s="277" t="str">
        <f ca="1">סיכום!B49</f>
        <v/>
      </c>
      <c r="D69" s="278" t="str">
        <f ca="1">IF(C69="","",IF('סכום מבוקש'!E49="",0,'סכום מבוקש'!E49))</f>
        <v/>
      </c>
      <c r="E69" s="278" t="str">
        <f ca="1">IF(C69="","",סיכום!D49)</f>
        <v/>
      </c>
      <c r="F69" s="279" t="str">
        <f t="shared" ca="1" si="16"/>
        <v/>
      </c>
      <c r="G69" s="278" t="str">
        <f t="shared" ca="1" si="17"/>
        <v/>
      </c>
      <c r="H69" s="278" t="str">
        <f t="shared" ca="1" si="0"/>
        <v/>
      </c>
      <c r="I69" s="280">
        <f t="shared" ca="1" si="1"/>
        <v>0</v>
      </c>
      <c r="J69" s="281" t="str">
        <f t="shared" ca="1" si="2"/>
        <v/>
      </c>
      <c r="K69" s="281" t="str">
        <f t="shared" ca="1" si="3"/>
        <v/>
      </c>
      <c r="L69" s="280">
        <f t="shared" ca="1" si="4"/>
        <v>0</v>
      </c>
      <c r="M69" s="281" t="str">
        <f t="shared" ca="1" si="5"/>
        <v/>
      </c>
      <c r="N69" s="281" t="str">
        <f t="shared" ca="1" si="6"/>
        <v/>
      </c>
      <c r="O69" s="280">
        <f t="shared" ca="1" si="7"/>
        <v>0</v>
      </c>
      <c r="P69" s="281" t="str">
        <f t="shared" ca="1" si="8"/>
        <v/>
      </c>
      <c r="Q69" s="281" t="str">
        <f t="shared" ca="1" si="9"/>
        <v/>
      </c>
      <c r="R69" s="280">
        <f t="shared" ca="1" si="10"/>
        <v>0</v>
      </c>
      <c r="S69" s="281" t="str">
        <f t="shared" ca="1" si="11"/>
        <v/>
      </c>
      <c r="T69" s="281" t="str">
        <f t="shared" ca="1" si="12"/>
        <v/>
      </c>
      <c r="U69" s="499" t="str">
        <f t="shared" ca="1" si="13"/>
        <v/>
      </c>
      <c r="V69" s="282" t="str">
        <f t="shared" ca="1" si="14"/>
        <v/>
      </c>
      <c r="Y69" s="283">
        <f t="shared" ca="1" si="18"/>
        <v>0</v>
      </c>
    </row>
    <row r="70" spans="2:25" ht="16.5" thickBot="1" x14ac:dyDescent="0.3">
      <c r="B70" s="276" t="str">
        <f t="shared" ca="1" si="15"/>
        <v/>
      </c>
      <c r="C70" s="277" t="str">
        <f ca="1">סיכום!B50</f>
        <v/>
      </c>
      <c r="D70" s="278" t="str">
        <f ca="1">IF(C70="","",IF('סכום מבוקש'!E50="",0,'סכום מבוקש'!E50))</f>
        <v/>
      </c>
      <c r="E70" s="278" t="str">
        <f ca="1">IF(C70="","",סיכום!D50)</f>
        <v/>
      </c>
      <c r="F70" s="279" t="str">
        <f t="shared" ca="1" si="16"/>
        <v/>
      </c>
      <c r="G70" s="278" t="str">
        <f t="shared" ca="1" si="17"/>
        <v/>
      </c>
      <c r="H70" s="278" t="str">
        <f t="shared" ca="1" si="0"/>
        <v/>
      </c>
      <c r="I70" s="280">
        <f t="shared" ca="1" si="1"/>
        <v>0</v>
      </c>
      <c r="J70" s="281" t="str">
        <f t="shared" ca="1" si="2"/>
        <v/>
      </c>
      <c r="K70" s="281" t="str">
        <f t="shared" ca="1" si="3"/>
        <v/>
      </c>
      <c r="L70" s="280">
        <f t="shared" ca="1" si="4"/>
        <v>0</v>
      </c>
      <c r="M70" s="281" t="str">
        <f t="shared" ca="1" si="5"/>
        <v/>
      </c>
      <c r="N70" s="281" t="str">
        <f t="shared" ca="1" si="6"/>
        <v/>
      </c>
      <c r="O70" s="280">
        <f t="shared" ca="1" si="7"/>
        <v>0</v>
      </c>
      <c r="P70" s="281" t="str">
        <f t="shared" ca="1" si="8"/>
        <v/>
      </c>
      <c r="Q70" s="281" t="str">
        <f t="shared" ca="1" si="9"/>
        <v/>
      </c>
      <c r="R70" s="280">
        <f t="shared" ca="1" si="10"/>
        <v>0</v>
      </c>
      <c r="S70" s="281" t="str">
        <f t="shared" ca="1" si="11"/>
        <v/>
      </c>
      <c r="T70" s="281" t="str">
        <f t="shared" ca="1" si="12"/>
        <v/>
      </c>
      <c r="U70" s="499" t="str">
        <f t="shared" ca="1" si="13"/>
        <v/>
      </c>
      <c r="V70" s="282" t="str">
        <f t="shared" ca="1" si="14"/>
        <v/>
      </c>
      <c r="Y70" s="283">
        <f t="shared" ca="1" si="18"/>
        <v>0</v>
      </c>
    </row>
    <row r="71" spans="2:25" ht="19.5" thickBot="1" x14ac:dyDescent="0.35">
      <c r="B71" s="669" t="s">
        <v>54</v>
      </c>
      <c r="C71" s="669"/>
      <c r="D71" s="284">
        <f ca="1">SUM(D31:D70)</f>
        <v>3523000</v>
      </c>
      <c r="E71" s="284">
        <f ca="1">SUM(E31:E70)</f>
        <v>1906914</v>
      </c>
      <c r="F71" s="284"/>
      <c r="G71" s="284">
        <f t="shared" ref="G71:V71" ca="1" si="19">SUM(G31:G70)</f>
        <v>1906914</v>
      </c>
      <c r="H71" s="284">
        <f t="shared" ca="1" si="19"/>
        <v>1906914</v>
      </c>
      <c r="I71" s="284">
        <f t="shared" ca="1" si="19"/>
        <v>0</v>
      </c>
      <c r="J71" s="284">
        <f t="shared" ca="1" si="19"/>
        <v>1906914</v>
      </c>
      <c r="K71" s="284">
        <f t="shared" ca="1" si="19"/>
        <v>1906914</v>
      </c>
      <c r="L71" s="284">
        <f t="shared" ca="1" si="19"/>
        <v>0</v>
      </c>
      <c r="M71" s="284">
        <f t="shared" ca="1" si="19"/>
        <v>1906914</v>
      </c>
      <c r="N71" s="284">
        <f t="shared" ca="1" si="19"/>
        <v>1906914</v>
      </c>
      <c r="O71" s="284">
        <f t="shared" ca="1" si="19"/>
        <v>0</v>
      </c>
      <c r="P71" s="284">
        <f t="shared" ca="1" si="19"/>
        <v>1906914</v>
      </c>
      <c r="Q71" s="284">
        <f t="shared" ca="1" si="19"/>
        <v>1906914</v>
      </c>
      <c r="R71" s="284">
        <f t="shared" ca="1" si="19"/>
        <v>0</v>
      </c>
      <c r="S71" s="284">
        <f t="shared" ca="1" si="19"/>
        <v>1906914</v>
      </c>
      <c r="T71" s="284">
        <f t="shared" ca="1" si="19"/>
        <v>1906914</v>
      </c>
      <c r="U71" s="284">
        <f t="shared" ca="1" si="19"/>
        <v>1906914</v>
      </c>
      <c r="V71" s="500">
        <f t="shared" ca="1" si="19"/>
        <v>0.99999999999999989</v>
      </c>
    </row>
  </sheetData>
  <sheetProtection algorithmName="SHA-512" hashValue="yx9czoJVtOYa3T3F1C+fEyvNmV6V3cqB2g121uVQVQ+kg4f30t7HcM2wnFfcjUe5Yitk0MVqb/eDdwbDPYEnTQ==" saltValue="XKUP1s9drftAaFQBcjIM9w==" spinCount="100000" sheet="1" scenarios="1" formatColumns="0" formatRows="0"/>
  <mergeCells count="11">
    <mergeCell ref="Y29:Y30"/>
    <mergeCell ref="B71:C71"/>
    <mergeCell ref="B28:V28"/>
    <mergeCell ref="B29:B30"/>
    <mergeCell ref="C29:C30"/>
    <mergeCell ref="E29:E30"/>
    <mergeCell ref="F29:F30"/>
    <mergeCell ref="G29:G30"/>
    <mergeCell ref="H29:H30"/>
    <mergeCell ref="U29:U30"/>
    <mergeCell ref="V29:V30"/>
  </mergeCells>
  <conditionalFormatting sqref="C1:C2">
    <cfRule type="containsBlanks" dxfId="998" priority="10">
      <formula>LEN(TRIM(C1))=0</formula>
    </cfRule>
  </conditionalFormatting>
  <conditionalFormatting sqref="D31:D70">
    <cfRule type="containsBlanks" dxfId="997" priority="2">
      <formula>LEN(TRIM(D31))=0</formula>
    </cfRule>
  </conditionalFormatting>
  <conditionalFormatting sqref="E31:H70 B31:C70 U31:V70">
    <cfRule type="containsBlanks" dxfId="996" priority="14">
      <formula>LEN(TRIM(B31))=0</formula>
    </cfRule>
  </conditionalFormatting>
  <conditionalFormatting sqref="I31:T70">
    <cfRule type="containsText" dxfId="995" priority="15" operator="containsText" text="הזנה שגויה">
      <formula>NOT(ISERROR(SEARCH("הזנה שגויה",I31)))</formula>
    </cfRule>
  </conditionalFormatting>
  <dataValidations count="1">
    <dataValidation operator="greaterThanOrEqual" allowBlank="1" showInputMessage="1" showErrorMessage="1" error="יש להזין מספר שאינו שלילי" sqref="D31:D70" xr:uid="{00000000-0002-0000-1300-000000000000}"/>
  </dataValidations>
  <printOptions horizontalCentered="1"/>
  <pageMargins left="0.51181102362204722" right="0.51181102362204722" top="0.74803149606299213" bottom="0.74803149606299213" header="0.31496062992125984" footer="0.31496062992125984"/>
  <pageSetup paperSize="9" scale="55"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 operator="containsText" id="{32C37917-EDC3-43F7-8FA1-DC2A72D7A0F4}">
            <xm:f>NOT(ISERROR(SEARCH($AB$1,D31)))</xm:f>
            <xm:f>$AB$1</xm:f>
            <x14:dxf>
              <fill>
                <patternFill>
                  <bgColor rgb="FFFF0000"/>
                </patternFill>
              </fill>
            </x14:dxf>
          </x14:cfRule>
          <xm:sqref>D31:D70</xm:sqref>
        </x14:conditionalFormatting>
        <x14:conditionalFormatting xmlns:xm="http://schemas.microsoft.com/office/excel/2006/main">
          <x14:cfRule type="containsText" priority="9" operator="containsText" id="{637A3C7B-E399-4008-9696-972A5F7956DB}">
            <xm:f>NOT(ISERROR(SEARCH($AB$1,E31)))</xm:f>
            <xm:f>$AB$1</xm:f>
            <x14:dxf>
              <fill>
                <patternFill>
                  <bgColor rgb="FFFF0000"/>
                </patternFill>
              </fill>
            </x14:dxf>
          </x14:cfRule>
          <xm:sqref>E31:E70</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גיליון9">
    <tabColor theme="8" tint="-0.249977111117893"/>
  </sheetPr>
  <dimension ref="A1:GR71"/>
  <sheetViews>
    <sheetView rightToLeft="1" view="pageBreakPreview" topLeftCell="B1" zoomScale="85" zoomScaleNormal="80" zoomScaleSheetLayoutView="85" workbookViewId="0">
      <pane ySplit="30" topLeftCell="A31" activePane="bottomLeft" state="frozen"/>
      <selection activeCell="H39" sqref="H39"/>
      <selection pane="bottomLeft" activeCell="B31" sqref="B31"/>
    </sheetView>
  </sheetViews>
  <sheetFormatPr defaultColWidth="8" defaultRowHeight="15.75" x14ac:dyDescent="0.2"/>
  <cols>
    <col min="1" max="1" width="3.85546875" style="322" hidden="1" customWidth="1"/>
    <col min="2" max="2" width="11.42578125" style="322" customWidth="1"/>
    <col min="3" max="3" width="43" style="322" bestFit="1" customWidth="1"/>
    <col min="4" max="4" width="17.5703125" style="322" customWidth="1"/>
    <col min="5" max="5" width="12.28515625" style="322" customWidth="1"/>
    <col min="6" max="6" width="31.85546875" style="322" customWidth="1"/>
    <col min="7" max="7" width="14.7109375" style="322" bestFit="1" customWidth="1"/>
    <col min="8" max="8" width="13.42578125" style="322" customWidth="1"/>
    <col min="9" max="10" width="8" style="322" hidden="1" customWidth="1"/>
    <col min="11" max="11" width="18.5703125" style="322" hidden="1" customWidth="1"/>
    <col min="12" max="12" width="16.140625" style="322" hidden="1" customWidth="1"/>
    <col min="13" max="15" width="8" style="322" hidden="1" customWidth="1"/>
    <col min="16" max="16" width="12.28515625" style="322" hidden="1" customWidth="1"/>
    <col min="17" max="200" width="8" style="322" hidden="1" customWidth="1"/>
    <col min="201" max="16384" width="8" style="322"/>
  </cols>
  <sheetData>
    <row r="1" spans="2:16" ht="37.5" x14ac:dyDescent="0.25">
      <c r="B1" s="312" t="str">
        <f>פרמטרים!$B$1</f>
        <v>שנת התקציב</v>
      </c>
      <c r="C1" s="270">
        <f>פרמטרים!$C$1</f>
        <v>2025</v>
      </c>
      <c r="D1" s="321" t="str">
        <f ca="1">IF(AND($H$71&lt;&gt;0,$C$2&lt;&gt;$H$71),"בדוק חישובים","")</f>
        <v/>
      </c>
      <c r="P1" s="323" t="s">
        <v>86</v>
      </c>
    </row>
    <row r="2" spans="2:16" ht="33.75" customHeight="1" thickBot="1" x14ac:dyDescent="0.25">
      <c r="B2" s="272" t="str">
        <f>פרמטרים!$B$2</f>
        <v>תקציב</v>
      </c>
      <c r="C2" s="273">
        <f>פרמטרים!$C$2</f>
        <v>1906914</v>
      </c>
      <c r="K2" s="324" t="s">
        <v>264</v>
      </c>
      <c r="L2" s="324" t="s">
        <v>265</v>
      </c>
    </row>
    <row r="3" spans="2:16" x14ac:dyDescent="0.2">
      <c r="K3" s="325"/>
      <c r="L3" s="325"/>
    </row>
    <row r="4" spans="2:16" hidden="1" x14ac:dyDescent="0.2">
      <c r="K4" s="325"/>
      <c r="L4" s="325"/>
    </row>
    <row r="5" spans="2:16" hidden="1" x14ac:dyDescent="0.2">
      <c r="K5" s="325"/>
      <c r="L5" s="325"/>
    </row>
    <row r="6" spans="2:16" hidden="1" x14ac:dyDescent="0.2">
      <c r="K6" s="325"/>
      <c r="L6" s="325"/>
    </row>
    <row r="7" spans="2:16" hidden="1" x14ac:dyDescent="0.2">
      <c r="K7" s="325"/>
      <c r="L7" s="325"/>
    </row>
    <row r="8" spans="2:16" hidden="1" x14ac:dyDescent="0.2">
      <c r="K8" s="325"/>
      <c r="L8" s="325"/>
    </row>
    <row r="9" spans="2:16" hidden="1" x14ac:dyDescent="0.2">
      <c r="K9" s="325"/>
      <c r="L9" s="325"/>
    </row>
    <row r="10" spans="2:16" hidden="1" x14ac:dyDescent="0.2">
      <c r="K10" s="325"/>
      <c r="L10" s="325"/>
    </row>
    <row r="11" spans="2:16" hidden="1" x14ac:dyDescent="0.2">
      <c r="K11" s="325"/>
      <c r="L11" s="325"/>
    </row>
    <row r="12" spans="2:16" hidden="1" x14ac:dyDescent="0.2">
      <c r="K12" s="325"/>
      <c r="L12" s="325"/>
    </row>
    <row r="13" spans="2:16" hidden="1" x14ac:dyDescent="0.2">
      <c r="K13" s="325"/>
      <c r="L13" s="325"/>
    </row>
    <row r="14" spans="2:16" hidden="1" x14ac:dyDescent="0.2">
      <c r="K14" s="325"/>
      <c r="L14" s="325"/>
    </row>
    <row r="15" spans="2:16" hidden="1" x14ac:dyDescent="0.2">
      <c r="K15" s="325"/>
      <c r="L15" s="325"/>
    </row>
    <row r="16" spans="2:16" hidden="1" x14ac:dyDescent="0.2">
      <c r="K16" s="325"/>
      <c r="L16" s="325"/>
    </row>
    <row r="17" spans="2:13" hidden="1" x14ac:dyDescent="0.2">
      <c r="K17" s="325"/>
      <c r="L17" s="325"/>
    </row>
    <row r="18" spans="2:13" hidden="1" x14ac:dyDescent="0.2">
      <c r="K18" s="325"/>
      <c r="L18" s="325"/>
    </row>
    <row r="19" spans="2:13" hidden="1" x14ac:dyDescent="0.2">
      <c r="K19" s="325"/>
      <c r="L19" s="325"/>
    </row>
    <row r="20" spans="2:13" hidden="1" x14ac:dyDescent="0.2">
      <c r="K20" s="325"/>
      <c r="L20" s="325"/>
    </row>
    <row r="21" spans="2:13" hidden="1" x14ac:dyDescent="0.2">
      <c r="K21" s="325"/>
      <c r="L21" s="325"/>
    </row>
    <row r="22" spans="2:13" hidden="1" x14ac:dyDescent="0.2">
      <c r="K22" s="325"/>
      <c r="L22" s="325"/>
    </row>
    <row r="23" spans="2:13" hidden="1" x14ac:dyDescent="0.2">
      <c r="K23" s="325"/>
      <c r="L23" s="325"/>
    </row>
    <row r="24" spans="2:13" hidden="1" x14ac:dyDescent="0.2">
      <c r="K24" s="325"/>
      <c r="L24" s="325"/>
    </row>
    <row r="25" spans="2:13" hidden="1" x14ac:dyDescent="0.2">
      <c r="K25" s="325"/>
      <c r="L25" s="325"/>
    </row>
    <row r="26" spans="2:13" hidden="1" x14ac:dyDescent="0.2">
      <c r="K26" s="325"/>
      <c r="L26" s="325"/>
    </row>
    <row r="27" spans="2:13" ht="21" thickBot="1" x14ac:dyDescent="0.35">
      <c r="K27" s="326">
        <f ca="1">SUMIF(L31:L70,0,D31:D70)</f>
        <v>1906914</v>
      </c>
      <c r="L27" s="327">
        <f ca="1">SUM(F31:F70)</f>
        <v>0</v>
      </c>
    </row>
    <row r="28" spans="2:13" ht="21" customHeight="1" thickBot="1" x14ac:dyDescent="0.25">
      <c r="B28" s="681" t="str">
        <f ca="1">MID(CELL("filename",B30),FIND("]",CELL("filename",C30),1)+1,99)</f>
        <v>קיזוזים בגין איחורים</v>
      </c>
      <c r="C28" s="682"/>
      <c r="D28" s="682"/>
      <c r="E28" s="682"/>
      <c r="F28" s="682"/>
      <c r="G28" s="682"/>
      <c r="H28" s="683"/>
    </row>
    <row r="29" spans="2:13" ht="42.75" customHeight="1" x14ac:dyDescent="0.2">
      <c r="B29" s="684" t="s">
        <v>102</v>
      </c>
      <c r="C29" s="684" t="s">
        <v>154</v>
      </c>
      <c r="D29" s="684" t="s">
        <v>266</v>
      </c>
      <c r="E29" s="328" t="s">
        <v>267</v>
      </c>
      <c r="F29" s="684" t="s">
        <v>268</v>
      </c>
      <c r="G29" s="684" t="s">
        <v>269</v>
      </c>
      <c r="H29" s="684" t="s">
        <v>270</v>
      </c>
      <c r="J29" s="686" t="s">
        <v>271</v>
      </c>
      <c r="K29" s="686" t="s">
        <v>272</v>
      </c>
      <c r="L29" s="686" t="s">
        <v>273</v>
      </c>
      <c r="M29" s="686" t="s">
        <v>274</v>
      </c>
    </row>
    <row r="30" spans="2:13" ht="31.5" customHeight="1" thickBot="1" x14ac:dyDescent="0.25">
      <c r="B30" s="685"/>
      <c r="C30" s="685"/>
      <c r="D30" s="685"/>
      <c r="E30" s="329" t="s">
        <v>275</v>
      </c>
      <c r="F30" s="685"/>
      <c r="G30" s="685"/>
      <c r="H30" s="685"/>
      <c r="J30" s="687"/>
      <c r="K30" s="687"/>
      <c r="L30" s="687"/>
      <c r="M30" s="687"/>
    </row>
    <row r="31" spans="2:13" ht="20.25" x14ac:dyDescent="0.25">
      <c r="B31" s="330">
        <f ca="1">IF(C31="","",ROW()-30)</f>
        <v>1</v>
      </c>
      <c r="C31" s="331" t="str">
        <f ca="1">סיכום!B11</f>
        <v>1280 מעלות (אמנים יוצרים)</v>
      </c>
      <c r="D31" s="332">
        <f ca="1">סיכום!D11</f>
        <v>66144.47652798082</v>
      </c>
      <c r="E31" s="333"/>
      <c r="F31" s="334">
        <f t="shared" ref="F31:F70" ca="1" si="0">IF(C31="","",IFERROR(MIN(D31,E31/365*D31),$P$1))</f>
        <v>0</v>
      </c>
      <c r="G31" s="335">
        <f ca="1">IF($C31="","",D31-F31)</f>
        <v>66144.47652798082</v>
      </c>
      <c r="H31" s="335">
        <f ca="1">IF($C31="","",G31+M31)</f>
        <v>66144.47652798082</v>
      </c>
      <c r="J31" s="326">
        <f ca="1">IF($C31="","",IFERROR(IF(E31=0,0,1),0))</f>
        <v>0</v>
      </c>
      <c r="K31" s="326">
        <f ca="1">IF($C31="","",IFERROR(IF(E31=0,0,1),0))</f>
        <v>0</v>
      </c>
      <c r="L31" s="326">
        <f ca="1">IF($C31="","",IF(OR(K31=1,J31=1),1,0))</f>
        <v>0</v>
      </c>
      <c r="M31" s="336">
        <f ca="1">IF($C31="","",IF(L31=1,0,$L$27*$D31/$K$27))</f>
        <v>0</v>
      </c>
    </row>
    <row r="32" spans="2:13" ht="20.25" x14ac:dyDescent="0.25">
      <c r="B32" s="330">
        <f t="shared" ref="B32:B70" ca="1" si="1">IF(C32="","",ROW()-30)</f>
        <v>2</v>
      </c>
      <c r="C32" s="331" t="str">
        <f ca="1">סיכום!B12</f>
        <v>יהי (אורי צבי גרינברג)</v>
      </c>
      <c r="D32" s="332">
        <f ca="1">סיכום!D12</f>
        <v>55389.564826780625</v>
      </c>
      <c r="E32" s="333"/>
      <c r="F32" s="334">
        <f t="shared" ca="1" si="0"/>
        <v>0</v>
      </c>
      <c r="G32" s="335">
        <f t="shared" ref="G32:G70" ca="1" si="2">IF($C32="","",D32-F32)</f>
        <v>55389.564826780625</v>
      </c>
      <c r="H32" s="335">
        <f t="shared" ref="H32:H70" ca="1" si="3">IF($C32="","",G32+M32)</f>
        <v>55389.564826780625</v>
      </c>
      <c r="J32" s="326">
        <f t="shared" ref="J32:J70" ca="1" si="4">IF($C32="","",IFERROR(IF(E32=0,0,1),0))</f>
        <v>0</v>
      </c>
      <c r="K32" s="326">
        <f t="shared" ref="K32:K70" ca="1" si="5">IF($C32="","",IFERROR(IF(E32=0,0,1),0))</f>
        <v>0</v>
      </c>
      <c r="L32" s="326">
        <f t="shared" ref="L32:L70" ca="1" si="6">IF($C32="","",IF(OR(K32=1,J32=1),1,0))</f>
        <v>0</v>
      </c>
      <c r="M32" s="336">
        <f t="shared" ref="M32:M70" ca="1" si="7">IF($C32="","",IF(L32=1,0,$L$27*$D32/$K$27))</f>
        <v>0</v>
      </c>
    </row>
    <row r="33" spans="2:13" ht="20.25" x14ac:dyDescent="0.25">
      <c r="B33" s="330" t="str">
        <f t="shared" ca="1" si="1"/>
        <v/>
      </c>
      <c r="C33" s="331" t="str">
        <f ca="1">סיכום!B13</f>
        <v/>
      </c>
      <c r="D33" s="332" t="str">
        <f ca="1">סיכום!D13</f>
        <v/>
      </c>
      <c r="E33" s="333"/>
      <c r="F33" s="334" t="str">
        <f t="shared" ca="1" si="0"/>
        <v/>
      </c>
      <c r="G33" s="335" t="str">
        <f t="shared" ca="1" si="2"/>
        <v/>
      </c>
      <c r="H33" s="335" t="str">
        <f t="shared" ca="1" si="3"/>
        <v/>
      </c>
      <c r="J33" s="326" t="str">
        <f t="shared" ca="1" si="4"/>
        <v/>
      </c>
      <c r="K33" s="326" t="str">
        <f t="shared" ca="1" si="5"/>
        <v/>
      </c>
      <c r="L33" s="326" t="str">
        <f t="shared" ca="1" si="6"/>
        <v/>
      </c>
      <c r="M33" s="336" t="str">
        <f t="shared" ca="1" si="7"/>
        <v/>
      </c>
    </row>
    <row r="34" spans="2:13" ht="20.25" x14ac:dyDescent="0.25">
      <c r="B34" s="330">
        <f t="shared" ca="1" si="1"/>
        <v>4</v>
      </c>
      <c r="C34" s="331" t="str">
        <f ca="1">סיכום!B14</f>
        <v>דעות (ברית נאמני תורה ועבודה)</v>
      </c>
      <c r="D34" s="332">
        <f ca="1">סיכום!D14</f>
        <v>93387.02784397635</v>
      </c>
      <c r="E34" s="333"/>
      <c r="F34" s="334">
        <f t="shared" ca="1" si="0"/>
        <v>0</v>
      </c>
      <c r="G34" s="335">
        <f t="shared" ca="1" si="2"/>
        <v>93387.02784397635</v>
      </c>
      <c r="H34" s="335">
        <f t="shared" ca="1" si="3"/>
        <v>93387.02784397635</v>
      </c>
      <c r="J34" s="326">
        <f t="shared" ca="1" si="4"/>
        <v>0</v>
      </c>
      <c r="K34" s="326">
        <f t="shared" ca="1" si="5"/>
        <v>0</v>
      </c>
      <c r="L34" s="326">
        <f t="shared" ca="1" si="6"/>
        <v>0</v>
      </c>
      <c r="M34" s="336">
        <f t="shared" ca="1" si="7"/>
        <v>0</v>
      </c>
    </row>
    <row r="35" spans="2:13" ht="20.25" x14ac:dyDescent="0.25">
      <c r="B35" s="330">
        <f t="shared" ca="1" si="1"/>
        <v>5</v>
      </c>
      <c r="C35" s="331" t="str">
        <f ca="1">סיכום!B15</f>
        <v>הליקון</v>
      </c>
      <c r="D35" s="332">
        <f ca="1">סיכום!D15</f>
        <v>115510.69950883459</v>
      </c>
      <c r="E35" s="333"/>
      <c r="F35" s="334">
        <f t="shared" ca="1" si="0"/>
        <v>0</v>
      </c>
      <c r="G35" s="335">
        <f t="shared" ca="1" si="2"/>
        <v>115510.69950883459</v>
      </c>
      <c r="H35" s="335">
        <f t="shared" ca="1" si="3"/>
        <v>115510.69950883459</v>
      </c>
      <c r="J35" s="326">
        <f t="shared" ca="1" si="4"/>
        <v>0</v>
      </c>
      <c r="K35" s="326">
        <f t="shared" ca="1" si="5"/>
        <v>0</v>
      </c>
      <c r="L35" s="326">
        <f t="shared" ca="1" si="6"/>
        <v>0</v>
      </c>
      <c r="M35" s="336">
        <f t="shared" ca="1" si="7"/>
        <v>0</v>
      </c>
    </row>
    <row r="36" spans="2:13" ht="20.25" x14ac:dyDescent="0.25">
      <c r="B36" s="330" t="str">
        <f t="shared" ca="1" si="1"/>
        <v/>
      </c>
      <c r="C36" s="331" t="str">
        <f ca="1">סיכום!B16</f>
        <v/>
      </c>
      <c r="D36" s="332" t="str">
        <f ca="1">סיכום!D16</f>
        <v/>
      </c>
      <c r="E36" s="333"/>
      <c r="F36" s="334" t="str">
        <f t="shared" ca="1" si="0"/>
        <v/>
      </c>
      <c r="G36" s="335" t="str">
        <f t="shared" ca="1" si="2"/>
        <v/>
      </c>
      <c r="H36" s="335" t="str">
        <f t="shared" ca="1" si="3"/>
        <v/>
      </c>
      <c r="J36" s="326" t="str">
        <f t="shared" ca="1" si="4"/>
        <v/>
      </c>
      <c r="K36" s="326" t="str">
        <f t="shared" ca="1" si="5"/>
        <v/>
      </c>
      <c r="L36" s="326" t="str">
        <f t="shared" ca="1" si="6"/>
        <v/>
      </c>
      <c r="M36" s="336" t="str">
        <f t="shared" ca="1" si="7"/>
        <v/>
      </c>
    </row>
    <row r="37" spans="2:13" ht="20.25" x14ac:dyDescent="0.25">
      <c r="B37" s="330" t="str">
        <f t="shared" ca="1" si="1"/>
        <v/>
      </c>
      <c r="C37" s="331" t="str">
        <f ca="1">סיכום!B17</f>
        <v/>
      </c>
      <c r="D37" s="332" t="str">
        <f ca="1">סיכום!D17</f>
        <v/>
      </c>
      <c r="E37" s="333"/>
      <c r="F37" s="334" t="str">
        <f t="shared" ca="1" si="0"/>
        <v/>
      </c>
      <c r="G37" s="335" t="str">
        <f t="shared" ca="1" si="2"/>
        <v/>
      </c>
      <c r="H37" s="335" t="str">
        <f t="shared" ca="1" si="3"/>
        <v/>
      </c>
      <c r="J37" s="326" t="str">
        <f t="shared" ca="1" si="4"/>
        <v/>
      </c>
      <c r="K37" s="326" t="str">
        <f t="shared" ca="1" si="5"/>
        <v/>
      </c>
      <c r="L37" s="326" t="str">
        <f t="shared" ca="1" si="6"/>
        <v/>
      </c>
      <c r="M37" s="336" t="str">
        <f t="shared" ca="1" si="7"/>
        <v/>
      </c>
    </row>
    <row r="38" spans="2:13" ht="20.25" x14ac:dyDescent="0.25">
      <c r="B38" s="330">
        <f t="shared" ca="1" si="1"/>
        <v>8</v>
      </c>
      <c r="C38" s="331" t="str">
        <f ca="1">סיכום!B18</f>
        <v>ננפואטיקה (עמותת מקום לשירה)</v>
      </c>
      <c r="D38" s="332">
        <f ca="1">סיכום!D18</f>
        <v>141968.77580814355</v>
      </c>
      <c r="E38" s="333"/>
      <c r="F38" s="334">
        <f t="shared" ca="1" si="0"/>
        <v>0</v>
      </c>
      <c r="G38" s="335">
        <f t="shared" ca="1" si="2"/>
        <v>141968.77580814355</v>
      </c>
      <c r="H38" s="335">
        <f t="shared" ca="1" si="3"/>
        <v>141968.77580814355</v>
      </c>
      <c r="J38" s="326">
        <f t="shared" ca="1" si="4"/>
        <v>0</v>
      </c>
      <c r="K38" s="326">
        <f t="shared" ca="1" si="5"/>
        <v>0</v>
      </c>
      <c r="L38" s="326">
        <f t="shared" ca="1" si="6"/>
        <v>0</v>
      </c>
      <c r="M38" s="336">
        <f t="shared" ca="1" si="7"/>
        <v>0</v>
      </c>
    </row>
    <row r="39" spans="2:13" ht="20.25" x14ac:dyDescent="0.25">
      <c r="B39" s="330">
        <f t="shared" ca="1" si="1"/>
        <v>9</v>
      </c>
      <c r="C39" s="331" t="str">
        <f ca="1">סיכום!B19</f>
        <v>מאזניים (אגודת הסופרים העבריים)</v>
      </c>
      <c r="D39" s="332">
        <f ca="1">סיכום!D19</f>
        <v>158935.99640128316</v>
      </c>
      <c r="E39" s="333"/>
      <c r="F39" s="334">
        <f t="shared" ca="1" si="0"/>
        <v>0</v>
      </c>
      <c r="G39" s="335">
        <f t="shared" ca="1" si="2"/>
        <v>158935.99640128316</v>
      </c>
      <c r="H39" s="335">
        <f t="shared" ca="1" si="3"/>
        <v>158935.99640128316</v>
      </c>
      <c r="J39" s="326">
        <f t="shared" ca="1" si="4"/>
        <v>0</v>
      </c>
      <c r="K39" s="326">
        <f t="shared" ca="1" si="5"/>
        <v>0</v>
      </c>
      <c r="L39" s="326">
        <f t="shared" ca="1" si="6"/>
        <v>0</v>
      </c>
      <c r="M39" s="336">
        <f t="shared" ca="1" si="7"/>
        <v>0</v>
      </c>
    </row>
    <row r="40" spans="2:13" ht="20.25" x14ac:dyDescent="0.25">
      <c r="B40" s="330">
        <f t="shared" ca="1" si="1"/>
        <v>10</v>
      </c>
      <c r="C40" s="331" t="str">
        <f ca="1">סיכום!B20</f>
        <v>משיב הרוח</v>
      </c>
      <c r="D40" s="332">
        <f ca="1">סיכום!D20</f>
        <v>148737.47387407691</v>
      </c>
      <c r="E40" s="333"/>
      <c r="F40" s="334">
        <f t="shared" ca="1" si="0"/>
        <v>0</v>
      </c>
      <c r="G40" s="335">
        <f t="shared" ca="1" si="2"/>
        <v>148737.47387407691</v>
      </c>
      <c r="H40" s="335">
        <f t="shared" ca="1" si="3"/>
        <v>148737.47387407691</v>
      </c>
      <c r="J40" s="326">
        <f t="shared" ca="1" si="4"/>
        <v>0</v>
      </c>
      <c r="K40" s="326">
        <f t="shared" ca="1" si="5"/>
        <v>0</v>
      </c>
      <c r="L40" s="326">
        <f t="shared" ca="1" si="6"/>
        <v>0</v>
      </c>
      <c r="M40" s="336">
        <f t="shared" ca="1" si="7"/>
        <v>0</v>
      </c>
    </row>
    <row r="41" spans="2:13" ht="20.25" x14ac:dyDescent="0.25">
      <c r="B41" s="330">
        <f t="shared" ca="1" si="1"/>
        <v>11</v>
      </c>
      <c r="C41" s="331" t="str">
        <f ca="1">סיכום!B21</f>
        <v>עמדה (עמותת מונטן)</v>
      </c>
      <c r="D41" s="332">
        <f ca="1">סיכום!D21</f>
        <v>34000</v>
      </c>
      <c r="E41" s="333"/>
      <c r="F41" s="334">
        <f t="shared" ca="1" si="0"/>
        <v>0</v>
      </c>
      <c r="G41" s="335">
        <f t="shared" ca="1" si="2"/>
        <v>34000</v>
      </c>
      <c r="H41" s="335">
        <f t="shared" ca="1" si="3"/>
        <v>34000</v>
      </c>
      <c r="J41" s="326">
        <f t="shared" ca="1" si="4"/>
        <v>0</v>
      </c>
      <c r="K41" s="326">
        <f t="shared" ca="1" si="5"/>
        <v>0</v>
      </c>
      <c r="L41" s="326">
        <f t="shared" ca="1" si="6"/>
        <v>0</v>
      </c>
      <c r="M41" s="336">
        <f t="shared" ca="1" si="7"/>
        <v>0</v>
      </c>
    </row>
    <row r="42" spans="2:13" ht="20.25" x14ac:dyDescent="0.25">
      <c r="B42" s="330">
        <f t="shared" ca="1" si="1"/>
        <v>12</v>
      </c>
      <c r="C42" s="331" t="str">
        <f ca="1">סיכום!B22</f>
        <v>עתון 77 (אגודת סופרים ואמנים)</v>
      </c>
      <c r="D42" s="332">
        <f ca="1">סיכום!D22</f>
        <v>134269.11526979934</v>
      </c>
      <c r="E42" s="333"/>
      <c r="F42" s="334">
        <f t="shared" ca="1" si="0"/>
        <v>0</v>
      </c>
      <c r="G42" s="335">
        <f t="shared" ca="1" si="2"/>
        <v>134269.11526979934</v>
      </c>
      <c r="H42" s="335">
        <f t="shared" ca="1" si="3"/>
        <v>134269.11526979934</v>
      </c>
      <c r="J42" s="326">
        <f t="shared" ca="1" si="4"/>
        <v>0</v>
      </c>
      <c r="K42" s="326">
        <f t="shared" ca="1" si="5"/>
        <v>0</v>
      </c>
      <c r="L42" s="326">
        <f t="shared" ca="1" si="6"/>
        <v>0</v>
      </c>
      <c r="M42" s="336">
        <f t="shared" ca="1" si="7"/>
        <v>0</v>
      </c>
    </row>
    <row r="43" spans="2:13" ht="20.25" x14ac:dyDescent="0.25">
      <c r="B43" s="330" t="str">
        <f t="shared" ca="1" si="1"/>
        <v/>
      </c>
      <c r="C43" s="331" t="str">
        <f ca="1">סיכום!B23</f>
        <v/>
      </c>
      <c r="D43" s="332" t="str">
        <f ca="1">סיכום!D23</f>
        <v/>
      </c>
      <c r="E43" s="333"/>
      <c r="F43" s="334" t="str">
        <f t="shared" ca="1" si="0"/>
        <v/>
      </c>
      <c r="G43" s="335" t="str">
        <f t="shared" ca="1" si="2"/>
        <v/>
      </c>
      <c r="H43" s="335" t="str">
        <f t="shared" ca="1" si="3"/>
        <v/>
      </c>
      <c r="J43" s="326" t="str">
        <f t="shared" ca="1" si="4"/>
        <v/>
      </c>
      <c r="K43" s="326" t="str">
        <f t="shared" ca="1" si="5"/>
        <v/>
      </c>
      <c r="L43" s="326" t="str">
        <f t="shared" ca="1" si="6"/>
        <v/>
      </c>
      <c r="M43" s="336" t="str">
        <f t="shared" ca="1" si="7"/>
        <v/>
      </c>
    </row>
    <row r="44" spans="2:13" ht="20.25" x14ac:dyDescent="0.25">
      <c r="B44" s="330">
        <f t="shared" ca="1" si="1"/>
        <v>14</v>
      </c>
      <c r="C44" s="331" t="str">
        <f ca="1">סיכום!B24</f>
        <v>פסיפס</v>
      </c>
      <c r="D44" s="332">
        <f ca="1">סיכום!D24</f>
        <v>38555.909673218623</v>
      </c>
      <c r="E44" s="333"/>
      <c r="F44" s="334">
        <f t="shared" ca="1" si="0"/>
        <v>0</v>
      </c>
      <c r="G44" s="335">
        <f t="shared" ca="1" si="2"/>
        <v>38555.909673218623</v>
      </c>
      <c r="H44" s="335">
        <f t="shared" ca="1" si="3"/>
        <v>38555.909673218623</v>
      </c>
      <c r="J44" s="326">
        <f t="shared" ca="1" si="4"/>
        <v>0</v>
      </c>
      <c r="K44" s="326">
        <f t="shared" ca="1" si="5"/>
        <v>0</v>
      </c>
      <c r="L44" s="326">
        <f t="shared" ca="1" si="6"/>
        <v>0</v>
      </c>
      <c r="M44" s="336">
        <f t="shared" ca="1" si="7"/>
        <v>0</v>
      </c>
    </row>
    <row r="45" spans="2:13" ht="20.25" x14ac:dyDescent="0.25">
      <c r="B45" s="330">
        <f t="shared" ca="1" si="1"/>
        <v>15</v>
      </c>
      <c r="C45" s="331" t="str">
        <f ca="1">סיכום!B25</f>
        <v>קתרזיס ( עמותת מצרף)</v>
      </c>
      <c r="D45" s="332">
        <f ca="1">סיכום!D25</f>
        <v>29000</v>
      </c>
      <c r="E45" s="333"/>
      <c r="F45" s="334">
        <f t="shared" ca="1" si="0"/>
        <v>0</v>
      </c>
      <c r="G45" s="335">
        <f t="shared" ca="1" si="2"/>
        <v>29000</v>
      </c>
      <c r="H45" s="335">
        <f t="shared" ca="1" si="3"/>
        <v>29000</v>
      </c>
      <c r="J45" s="326">
        <f t="shared" ca="1" si="4"/>
        <v>0</v>
      </c>
      <c r="K45" s="326">
        <f t="shared" ca="1" si="5"/>
        <v>0</v>
      </c>
      <c r="L45" s="326">
        <f t="shared" ca="1" si="6"/>
        <v>0</v>
      </c>
      <c r="M45" s="336">
        <f t="shared" ca="1" si="7"/>
        <v>0</v>
      </c>
    </row>
    <row r="46" spans="2:13" ht="20.25" x14ac:dyDescent="0.25">
      <c r="B46" s="330" t="str">
        <f t="shared" ca="1" si="1"/>
        <v/>
      </c>
      <c r="C46" s="331" t="str">
        <f ca="1">סיכום!B26</f>
        <v/>
      </c>
      <c r="D46" s="332" t="str">
        <f ca="1">סיכום!D26</f>
        <v/>
      </c>
      <c r="E46" s="333"/>
      <c r="F46" s="334" t="str">
        <f t="shared" ca="1" si="0"/>
        <v/>
      </c>
      <c r="G46" s="335" t="str">
        <f t="shared" ca="1" si="2"/>
        <v/>
      </c>
      <c r="H46" s="335" t="str">
        <f t="shared" ca="1" si="3"/>
        <v/>
      </c>
      <c r="J46" s="326" t="str">
        <f t="shared" ca="1" si="4"/>
        <v/>
      </c>
      <c r="K46" s="326" t="str">
        <f t="shared" ca="1" si="5"/>
        <v/>
      </c>
      <c r="L46" s="326" t="str">
        <f t="shared" ca="1" si="6"/>
        <v/>
      </c>
      <c r="M46" s="336" t="str">
        <f t="shared" ca="1" si="7"/>
        <v/>
      </c>
    </row>
    <row r="47" spans="2:13" ht="20.25" x14ac:dyDescent="0.25">
      <c r="B47" s="330">
        <f t="shared" ca="1" si="1"/>
        <v>17</v>
      </c>
      <c r="C47" s="331" t="str">
        <f ca="1">סיכום!B27</f>
        <v>הכיוון מזרח (עמותת אחותי)</v>
      </c>
      <c r="D47" s="332">
        <f ca="1">סיכום!D27</f>
        <v>98262.948341541589</v>
      </c>
      <c r="E47" s="333"/>
      <c r="F47" s="334">
        <f t="shared" ca="1" si="0"/>
        <v>0</v>
      </c>
      <c r="G47" s="335">
        <f t="shared" ca="1" si="2"/>
        <v>98262.948341541589</v>
      </c>
      <c r="H47" s="335">
        <f t="shared" ca="1" si="3"/>
        <v>98262.948341541589</v>
      </c>
      <c r="J47" s="326">
        <f t="shared" ca="1" si="4"/>
        <v>0</v>
      </c>
      <c r="K47" s="326">
        <f t="shared" ca="1" si="5"/>
        <v>0</v>
      </c>
      <c r="L47" s="326">
        <f t="shared" ca="1" si="6"/>
        <v>0</v>
      </c>
      <c r="M47" s="336">
        <f t="shared" ca="1" si="7"/>
        <v>0</v>
      </c>
    </row>
    <row r="48" spans="2:13" ht="20.25" x14ac:dyDescent="0.25">
      <c r="B48" s="330" t="str">
        <f t="shared" ca="1" si="1"/>
        <v/>
      </c>
      <c r="C48" s="331" t="str">
        <f ca="1">סיכום!B28</f>
        <v/>
      </c>
      <c r="D48" s="332" t="str">
        <f ca="1">סיכום!D28</f>
        <v/>
      </c>
      <c r="E48" s="333"/>
      <c r="F48" s="334" t="str">
        <f t="shared" ca="1" si="0"/>
        <v/>
      </c>
      <c r="G48" s="335" t="str">
        <f t="shared" ca="1" si="2"/>
        <v/>
      </c>
      <c r="H48" s="335" t="str">
        <f t="shared" ca="1" si="3"/>
        <v/>
      </c>
      <c r="J48" s="326" t="str">
        <f t="shared" ca="1" si="4"/>
        <v/>
      </c>
      <c r="K48" s="326" t="str">
        <f t="shared" ca="1" si="5"/>
        <v/>
      </c>
      <c r="L48" s="326" t="str">
        <f t="shared" ca="1" si="6"/>
        <v/>
      </c>
      <c r="M48" s="336" t="str">
        <f t="shared" ca="1" si="7"/>
        <v/>
      </c>
    </row>
    <row r="49" spans="2:13" ht="20.25" x14ac:dyDescent="0.25">
      <c r="B49" s="330">
        <f t="shared" ca="1" si="1"/>
        <v>19</v>
      </c>
      <c r="C49" s="331" t="str">
        <f ca="1">סיכום!B29</f>
        <v>הו</v>
      </c>
      <c r="D49" s="332">
        <f ca="1">סיכום!D29</f>
        <v>100140.64481908687</v>
      </c>
      <c r="E49" s="333"/>
      <c r="F49" s="334">
        <f t="shared" ca="1" si="0"/>
        <v>0</v>
      </c>
      <c r="G49" s="335">
        <f t="shared" ca="1" si="2"/>
        <v>100140.64481908687</v>
      </c>
      <c r="H49" s="335">
        <f t="shared" ca="1" si="3"/>
        <v>100140.64481908687</v>
      </c>
      <c r="J49" s="326">
        <f t="shared" ca="1" si="4"/>
        <v>0</v>
      </c>
      <c r="K49" s="326">
        <f t="shared" ca="1" si="5"/>
        <v>0</v>
      </c>
      <c r="L49" s="326">
        <f t="shared" ca="1" si="6"/>
        <v>0</v>
      </c>
      <c r="M49" s="336">
        <f t="shared" ca="1" si="7"/>
        <v>0</v>
      </c>
    </row>
    <row r="50" spans="2:13" ht="20.25" x14ac:dyDescent="0.25">
      <c r="B50" s="330">
        <f t="shared" ca="1" si="1"/>
        <v>20</v>
      </c>
      <c r="C50" s="331" t="str">
        <f ca="1">סיכום!B30</f>
        <v>הבא להבא (עמותת מקום לשירה)</v>
      </c>
      <c r="D50" s="332">
        <f ca="1">סיכום!D30</f>
        <v>75902.39829871527</v>
      </c>
      <c r="E50" s="333"/>
      <c r="F50" s="334">
        <f t="shared" ca="1" si="0"/>
        <v>0</v>
      </c>
      <c r="G50" s="335">
        <f t="shared" ca="1" si="2"/>
        <v>75902.39829871527</v>
      </c>
      <c r="H50" s="335">
        <f t="shared" ca="1" si="3"/>
        <v>75902.39829871527</v>
      </c>
      <c r="J50" s="326">
        <f t="shared" ca="1" si="4"/>
        <v>0</v>
      </c>
      <c r="K50" s="326">
        <f t="shared" ca="1" si="5"/>
        <v>0</v>
      </c>
      <c r="L50" s="326">
        <f t="shared" ca="1" si="6"/>
        <v>0</v>
      </c>
      <c r="M50" s="336">
        <f t="shared" ca="1" si="7"/>
        <v>0</v>
      </c>
    </row>
    <row r="51" spans="2:13" ht="20.25" x14ac:dyDescent="0.25">
      <c r="B51" s="330">
        <f t="shared" ca="1" si="1"/>
        <v>21</v>
      </c>
      <c r="C51" s="331" t="str">
        <f ca="1">סיכום!B31</f>
        <v>היסטוריה (החברה ההיסטורית הישרא</v>
      </c>
      <c r="D51" s="332">
        <f ca="1">סיכום!D31</f>
        <v>51310.941279157974</v>
      </c>
      <c r="E51" s="333"/>
      <c r="F51" s="334">
        <f t="shared" ca="1" si="0"/>
        <v>0</v>
      </c>
      <c r="G51" s="335">
        <f t="shared" ca="1" si="2"/>
        <v>51310.941279157974</v>
      </c>
      <c r="H51" s="335">
        <f t="shared" ca="1" si="3"/>
        <v>51310.941279157974</v>
      </c>
      <c r="J51" s="326">
        <f t="shared" ca="1" si="4"/>
        <v>0</v>
      </c>
      <c r="K51" s="326">
        <f t="shared" ca="1" si="5"/>
        <v>0</v>
      </c>
      <c r="L51" s="326">
        <f t="shared" ca="1" si="6"/>
        <v>0</v>
      </c>
      <c r="M51" s="336">
        <f t="shared" ca="1" si="7"/>
        <v>0</v>
      </c>
    </row>
    <row r="52" spans="2:13" ht="20.25" x14ac:dyDescent="0.25">
      <c r="B52" s="330">
        <f t="shared" ca="1" si="1"/>
        <v>22</v>
      </c>
      <c r="C52" s="331" t="str">
        <f ca="1">סיכום!B32</f>
        <v>מחול עכשיו (תמונע)</v>
      </c>
      <c r="D52" s="332">
        <f ca="1">סיכום!D32</f>
        <v>60000</v>
      </c>
      <c r="E52" s="333"/>
      <c r="F52" s="334">
        <f t="shared" ca="1" si="0"/>
        <v>0</v>
      </c>
      <c r="G52" s="335">
        <f t="shared" ca="1" si="2"/>
        <v>60000</v>
      </c>
      <c r="H52" s="335">
        <f t="shared" ca="1" si="3"/>
        <v>60000</v>
      </c>
      <c r="J52" s="326">
        <f t="shared" ca="1" si="4"/>
        <v>0</v>
      </c>
      <c r="K52" s="326">
        <f t="shared" ca="1" si="5"/>
        <v>0</v>
      </c>
      <c r="L52" s="326">
        <f t="shared" ca="1" si="6"/>
        <v>0</v>
      </c>
      <c r="M52" s="336">
        <f t="shared" ca="1" si="7"/>
        <v>0</v>
      </c>
    </row>
    <row r="53" spans="2:13" ht="20.25" x14ac:dyDescent="0.25">
      <c r="B53" s="330">
        <f t="shared" ca="1" si="1"/>
        <v>23</v>
      </c>
      <c r="C53" s="331" t="str">
        <f ca="1">סיכום!B33</f>
        <v>קול אישה שירה (תואר)</v>
      </c>
      <c r="D53" s="332">
        <f ca="1">סיכום!D33</f>
        <v>75000</v>
      </c>
      <c r="E53" s="333"/>
      <c r="F53" s="334">
        <f t="shared" ca="1" si="0"/>
        <v>0</v>
      </c>
      <c r="G53" s="335">
        <f t="shared" ca="1" si="2"/>
        <v>75000</v>
      </c>
      <c r="H53" s="335">
        <f t="shared" ca="1" si="3"/>
        <v>75000</v>
      </c>
      <c r="J53" s="326">
        <f t="shared" ca="1" si="4"/>
        <v>0</v>
      </c>
      <c r="K53" s="326">
        <f t="shared" ca="1" si="5"/>
        <v>0</v>
      </c>
      <c r="L53" s="326">
        <f t="shared" ca="1" si="6"/>
        <v>0</v>
      </c>
      <c r="M53" s="336">
        <f t="shared" ca="1" si="7"/>
        <v>0</v>
      </c>
    </row>
    <row r="54" spans="2:13" ht="20.25" x14ac:dyDescent="0.25">
      <c r="B54" s="330">
        <f t="shared" ca="1" si="1"/>
        <v>24</v>
      </c>
      <c r="C54" s="331" t="str">
        <f ca="1">סיכום!B34</f>
        <v>האיגוד העולמי למדעי היהדות</v>
      </c>
      <c r="D54" s="332">
        <f ca="1">סיכום!D34</f>
        <v>64574.256854550913</v>
      </c>
      <c r="E54" s="333"/>
      <c r="F54" s="334">
        <f t="shared" ca="1" si="0"/>
        <v>0</v>
      </c>
      <c r="G54" s="335">
        <f t="shared" ca="1" si="2"/>
        <v>64574.256854550913</v>
      </c>
      <c r="H54" s="335">
        <f t="shared" ca="1" si="3"/>
        <v>64574.256854550913</v>
      </c>
      <c r="J54" s="326">
        <f t="shared" ca="1" si="4"/>
        <v>0</v>
      </c>
      <c r="K54" s="326">
        <f t="shared" ca="1" si="5"/>
        <v>0</v>
      </c>
      <c r="L54" s="326">
        <f t="shared" ca="1" si="6"/>
        <v>0</v>
      </c>
      <c r="M54" s="336">
        <f t="shared" ca="1" si="7"/>
        <v>0</v>
      </c>
    </row>
    <row r="55" spans="2:13" ht="20.25" x14ac:dyDescent="0.25">
      <c r="B55" s="330" t="str">
        <f t="shared" ca="1" si="1"/>
        <v/>
      </c>
      <c r="C55" s="331" t="str">
        <f ca="1">סיכום!B35</f>
        <v/>
      </c>
      <c r="D55" s="332" t="str">
        <f ca="1">סיכום!D35</f>
        <v/>
      </c>
      <c r="E55" s="333"/>
      <c r="F55" s="334" t="str">
        <f t="shared" ca="1" si="0"/>
        <v/>
      </c>
      <c r="G55" s="335" t="str">
        <f t="shared" ca="1" si="2"/>
        <v/>
      </c>
      <c r="H55" s="335" t="str">
        <f t="shared" ca="1" si="3"/>
        <v/>
      </c>
      <c r="J55" s="326" t="str">
        <f t="shared" ca="1" si="4"/>
        <v/>
      </c>
      <c r="K55" s="326" t="str">
        <f t="shared" ca="1" si="5"/>
        <v/>
      </c>
      <c r="L55" s="326" t="str">
        <f t="shared" ca="1" si="6"/>
        <v/>
      </c>
      <c r="M55" s="336" t="str">
        <f t="shared" ca="1" si="7"/>
        <v/>
      </c>
    </row>
    <row r="56" spans="2:13" ht="20.25" x14ac:dyDescent="0.25">
      <c r="B56" s="330" t="str">
        <f t="shared" ca="1" si="1"/>
        <v/>
      </c>
      <c r="C56" s="331" t="str">
        <f ca="1">סיכום!B36</f>
        <v/>
      </c>
      <c r="D56" s="332" t="str">
        <f ca="1">סיכום!D36</f>
        <v/>
      </c>
      <c r="E56" s="333"/>
      <c r="F56" s="334" t="str">
        <f t="shared" ca="1" si="0"/>
        <v/>
      </c>
      <c r="G56" s="335" t="str">
        <f t="shared" ca="1" si="2"/>
        <v/>
      </c>
      <c r="H56" s="335" t="str">
        <f t="shared" ca="1" si="3"/>
        <v/>
      </c>
      <c r="J56" s="326" t="str">
        <f t="shared" ca="1" si="4"/>
        <v/>
      </c>
      <c r="K56" s="326" t="str">
        <f t="shared" ca="1" si="5"/>
        <v/>
      </c>
      <c r="L56" s="326" t="str">
        <f t="shared" ca="1" si="6"/>
        <v/>
      </c>
      <c r="M56" s="336" t="str">
        <f t="shared" ca="1" si="7"/>
        <v/>
      </c>
    </row>
    <row r="57" spans="2:13" ht="20.25" x14ac:dyDescent="0.25">
      <c r="B57" s="330" t="str">
        <f t="shared" ca="1" si="1"/>
        <v/>
      </c>
      <c r="C57" s="331" t="str">
        <f ca="1">סיכום!B37</f>
        <v/>
      </c>
      <c r="D57" s="332" t="str">
        <f ca="1">סיכום!D37</f>
        <v/>
      </c>
      <c r="E57" s="333"/>
      <c r="F57" s="334" t="str">
        <f t="shared" ca="1" si="0"/>
        <v/>
      </c>
      <c r="G57" s="335" t="str">
        <f t="shared" ca="1" si="2"/>
        <v/>
      </c>
      <c r="H57" s="335" t="str">
        <f t="shared" ca="1" si="3"/>
        <v/>
      </c>
      <c r="J57" s="326" t="str">
        <f t="shared" ca="1" si="4"/>
        <v/>
      </c>
      <c r="K57" s="326" t="str">
        <f t="shared" ca="1" si="5"/>
        <v/>
      </c>
      <c r="L57" s="326" t="str">
        <f t="shared" ca="1" si="6"/>
        <v/>
      </c>
      <c r="M57" s="336" t="str">
        <f t="shared" ca="1" si="7"/>
        <v/>
      </c>
    </row>
    <row r="58" spans="2:13" ht="20.25" x14ac:dyDescent="0.25">
      <c r="B58" s="330" t="str">
        <f t="shared" ca="1" si="1"/>
        <v/>
      </c>
      <c r="C58" s="331" t="str">
        <f ca="1">סיכום!B38</f>
        <v/>
      </c>
      <c r="D58" s="332" t="str">
        <f ca="1">סיכום!D38</f>
        <v/>
      </c>
      <c r="E58" s="333"/>
      <c r="F58" s="334" t="str">
        <f t="shared" ca="1" si="0"/>
        <v/>
      </c>
      <c r="G58" s="335" t="str">
        <f t="shared" ca="1" si="2"/>
        <v/>
      </c>
      <c r="H58" s="335" t="str">
        <f t="shared" ca="1" si="3"/>
        <v/>
      </c>
      <c r="J58" s="326" t="str">
        <f t="shared" ca="1" si="4"/>
        <v/>
      </c>
      <c r="K58" s="326" t="str">
        <f t="shared" ca="1" si="5"/>
        <v/>
      </c>
      <c r="L58" s="326" t="str">
        <f t="shared" ca="1" si="6"/>
        <v/>
      </c>
      <c r="M58" s="336" t="str">
        <f t="shared" ca="1" si="7"/>
        <v/>
      </c>
    </row>
    <row r="59" spans="2:13" ht="20.25" x14ac:dyDescent="0.25">
      <c r="B59" s="330">
        <f t="shared" ca="1" si="1"/>
        <v>29</v>
      </c>
      <c r="C59" s="331" t="str">
        <f ca="1">סיכום!B39</f>
        <v>גופא (נתיב האומן )</v>
      </c>
      <c r="D59" s="332">
        <f ca="1">סיכום!D39</f>
        <v>44776.872485815889</v>
      </c>
      <c r="E59" s="333"/>
      <c r="F59" s="334">
        <f t="shared" ca="1" si="0"/>
        <v>0</v>
      </c>
      <c r="G59" s="335">
        <f t="shared" ca="1" si="2"/>
        <v>44776.872485815889</v>
      </c>
      <c r="H59" s="335">
        <f t="shared" ca="1" si="3"/>
        <v>44776.872485815889</v>
      </c>
      <c r="J59" s="326">
        <f t="shared" ca="1" si="4"/>
        <v>0</v>
      </c>
      <c r="K59" s="326">
        <f t="shared" ca="1" si="5"/>
        <v>0</v>
      </c>
      <c r="L59" s="326">
        <f t="shared" ca="1" si="6"/>
        <v>0</v>
      </c>
      <c r="M59" s="336">
        <f t="shared" ca="1" si="7"/>
        <v>0</v>
      </c>
    </row>
    <row r="60" spans="2:13" ht="20.25" x14ac:dyDescent="0.25">
      <c r="B60" s="330">
        <f t="shared" ca="1" si="1"/>
        <v>30</v>
      </c>
      <c r="C60" s="331" t="str">
        <f ca="1">סיכום!B40</f>
        <v>ערב רב (בר קיימא)</v>
      </c>
      <c r="D60" s="332">
        <f ca="1">סיכום!D40</f>
        <v>65881.953579386216</v>
      </c>
      <c r="E60" s="333"/>
      <c r="F60" s="334">
        <f t="shared" ca="1" si="0"/>
        <v>0</v>
      </c>
      <c r="G60" s="335">
        <f t="shared" ca="1" si="2"/>
        <v>65881.953579386216</v>
      </c>
      <c r="H60" s="335">
        <f t="shared" ca="1" si="3"/>
        <v>65881.953579386216</v>
      </c>
      <c r="J60" s="326">
        <f t="shared" ca="1" si="4"/>
        <v>0</v>
      </c>
      <c r="K60" s="326">
        <f t="shared" ca="1" si="5"/>
        <v>0</v>
      </c>
      <c r="L60" s="326">
        <f t="shared" ca="1" si="6"/>
        <v>0</v>
      </c>
      <c r="M60" s="336">
        <f t="shared" ca="1" si="7"/>
        <v>0</v>
      </c>
    </row>
    <row r="61" spans="2:13" ht="20.25" x14ac:dyDescent="0.25">
      <c r="B61" s="330" t="str">
        <f t="shared" ca="1" si="1"/>
        <v/>
      </c>
      <c r="C61" s="331" t="str">
        <f ca="1">סיכום!B41</f>
        <v/>
      </c>
      <c r="D61" s="332" t="str">
        <f ca="1">סיכום!D41</f>
        <v/>
      </c>
      <c r="E61" s="333"/>
      <c r="F61" s="334" t="str">
        <f t="shared" ca="1" si="0"/>
        <v/>
      </c>
      <c r="G61" s="335" t="str">
        <f t="shared" ca="1" si="2"/>
        <v/>
      </c>
      <c r="H61" s="335" t="str">
        <f t="shared" ca="1" si="3"/>
        <v/>
      </c>
      <c r="J61" s="326" t="str">
        <f t="shared" ca="1" si="4"/>
        <v/>
      </c>
      <c r="K61" s="326" t="str">
        <f t="shared" ca="1" si="5"/>
        <v/>
      </c>
      <c r="L61" s="326" t="str">
        <f t="shared" ca="1" si="6"/>
        <v/>
      </c>
      <c r="M61" s="336" t="str">
        <f t="shared" ca="1" si="7"/>
        <v/>
      </c>
    </row>
    <row r="62" spans="2:13" ht="20.25" x14ac:dyDescent="0.25">
      <c r="B62" s="330">
        <f t="shared" ca="1" si="1"/>
        <v>32</v>
      </c>
      <c r="C62" s="331" t="str">
        <f ca="1">סיכום!B42</f>
        <v>מעלה</v>
      </c>
      <c r="D62" s="332">
        <f ca="1">סיכום!D42</f>
        <v>120113.02039153693</v>
      </c>
      <c r="E62" s="333"/>
      <c r="F62" s="334">
        <f t="shared" ca="1" si="0"/>
        <v>0</v>
      </c>
      <c r="G62" s="335">
        <f t="shared" ca="1" si="2"/>
        <v>120113.02039153693</v>
      </c>
      <c r="H62" s="335">
        <f t="shared" ca="1" si="3"/>
        <v>120113.02039153693</v>
      </c>
      <c r="J62" s="326">
        <f t="shared" ca="1" si="4"/>
        <v>0</v>
      </c>
      <c r="K62" s="326">
        <f t="shared" ca="1" si="5"/>
        <v>0</v>
      </c>
      <c r="L62" s="326">
        <f t="shared" ca="1" si="6"/>
        <v>0</v>
      </c>
      <c r="M62" s="336">
        <f t="shared" ca="1" si="7"/>
        <v>0</v>
      </c>
    </row>
    <row r="63" spans="2:13" ht="20.25" x14ac:dyDescent="0.25">
      <c r="B63" s="330" t="str">
        <f t="shared" ca="1" si="1"/>
        <v/>
      </c>
      <c r="C63" s="331" t="str">
        <f ca="1">סיכום!B43</f>
        <v/>
      </c>
      <c r="D63" s="332" t="str">
        <f ca="1">סיכום!D43</f>
        <v/>
      </c>
      <c r="E63" s="333"/>
      <c r="F63" s="334" t="str">
        <f t="shared" ca="1" si="0"/>
        <v/>
      </c>
      <c r="G63" s="335" t="str">
        <f t="shared" ca="1" si="2"/>
        <v/>
      </c>
      <c r="H63" s="335" t="str">
        <f t="shared" ca="1" si="3"/>
        <v/>
      </c>
      <c r="J63" s="326" t="str">
        <f t="shared" ca="1" si="4"/>
        <v/>
      </c>
      <c r="K63" s="326" t="str">
        <f t="shared" ca="1" si="5"/>
        <v/>
      </c>
      <c r="L63" s="326" t="str">
        <f t="shared" ca="1" si="6"/>
        <v/>
      </c>
      <c r="M63" s="336" t="str">
        <f t="shared" ca="1" si="7"/>
        <v/>
      </c>
    </row>
    <row r="64" spans="2:13" ht="20.25" x14ac:dyDescent="0.25">
      <c r="B64" s="330">
        <f t="shared" ca="1" si="1"/>
        <v>34</v>
      </c>
      <c r="C64" s="331" t="str">
        <f ca="1">סיכום!B44</f>
        <v>כתב עת ירושלמי</v>
      </c>
      <c r="D64" s="332">
        <f ca="1">סיכום!D44</f>
        <v>59854.236223549698</v>
      </c>
      <c r="E64" s="333"/>
      <c r="F64" s="334">
        <f t="shared" ca="1" si="0"/>
        <v>0</v>
      </c>
      <c r="G64" s="335">
        <f t="shared" ca="1" si="2"/>
        <v>59854.236223549698</v>
      </c>
      <c r="H64" s="335">
        <f t="shared" ca="1" si="3"/>
        <v>59854.236223549698</v>
      </c>
      <c r="J64" s="326">
        <f t="shared" ca="1" si="4"/>
        <v>0</v>
      </c>
      <c r="K64" s="326">
        <f t="shared" ca="1" si="5"/>
        <v>0</v>
      </c>
      <c r="L64" s="326">
        <f t="shared" ca="1" si="6"/>
        <v>0</v>
      </c>
      <c r="M64" s="336">
        <f t="shared" ca="1" si="7"/>
        <v>0</v>
      </c>
    </row>
    <row r="65" spans="2:13" ht="20.25" x14ac:dyDescent="0.25">
      <c r="B65" s="330" t="str">
        <f t="shared" ca="1" si="1"/>
        <v/>
      </c>
      <c r="C65" s="331" t="str">
        <f ca="1">סיכום!B45</f>
        <v/>
      </c>
      <c r="D65" s="332" t="str">
        <f ca="1">סיכום!D45</f>
        <v/>
      </c>
      <c r="E65" s="333"/>
      <c r="F65" s="334" t="str">
        <f t="shared" ca="1" si="0"/>
        <v/>
      </c>
      <c r="G65" s="335" t="str">
        <f t="shared" ca="1" si="2"/>
        <v/>
      </c>
      <c r="H65" s="335" t="str">
        <f t="shared" ca="1" si="3"/>
        <v/>
      </c>
      <c r="J65" s="326" t="str">
        <f t="shared" ca="1" si="4"/>
        <v/>
      </c>
      <c r="K65" s="326" t="str">
        <f t="shared" ca="1" si="5"/>
        <v/>
      </c>
      <c r="L65" s="326" t="str">
        <f t="shared" ca="1" si="6"/>
        <v/>
      </c>
      <c r="M65" s="336" t="str">
        <f t="shared" ca="1" si="7"/>
        <v/>
      </c>
    </row>
    <row r="66" spans="2:13" ht="20.25" x14ac:dyDescent="0.25">
      <c r="B66" s="330">
        <f t="shared" ca="1" si="1"/>
        <v>36</v>
      </c>
      <c r="C66" s="331" t="str">
        <f ca="1">סיכום!B46</f>
        <v>העמותה ליצירה פנטסטית- אוטופיה</v>
      </c>
      <c r="D66" s="332">
        <f ca="1">סיכום!D46</f>
        <v>75197.68799256481</v>
      </c>
      <c r="E66" s="333"/>
      <c r="F66" s="334">
        <f t="shared" ca="1" si="0"/>
        <v>0</v>
      </c>
      <c r="G66" s="335">
        <f t="shared" ca="1" si="2"/>
        <v>75197.68799256481</v>
      </c>
      <c r="H66" s="335">
        <f t="shared" ca="1" si="3"/>
        <v>75197.68799256481</v>
      </c>
      <c r="J66" s="326">
        <f t="shared" ca="1" si="4"/>
        <v>0</v>
      </c>
      <c r="K66" s="326">
        <f t="shared" ca="1" si="5"/>
        <v>0</v>
      </c>
      <c r="L66" s="326">
        <f t="shared" ca="1" si="6"/>
        <v>0</v>
      </c>
      <c r="M66" s="336">
        <f t="shared" ca="1" si="7"/>
        <v>0</v>
      </c>
    </row>
    <row r="67" spans="2:13" ht="20.25" x14ac:dyDescent="0.25">
      <c r="B67" s="330" t="str">
        <f t="shared" ca="1" si="1"/>
        <v/>
      </c>
      <c r="C67" s="331" t="str">
        <f ca="1">סיכום!B47</f>
        <v/>
      </c>
      <c r="D67" s="332" t="str">
        <f ca="1">סיכום!D47</f>
        <v/>
      </c>
      <c r="E67" s="333"/>
      <c r="F67" s="334" t="str">
        <f t="shared" ca="1" si="0"/>
        <v/>
      </c>
      <c r="G67" s="335" t="str">
        <f t="shared" ca="1" si="2"/>
        <v/>
      </c>
      <c r="H67" s="335" t="str">
        <f t="shared" ca="1" si="3"/>
        <v/>
      </c>
      <c r="J67" s="326" t="str">
        <f t="shared" ca="1" si="4"/>
        <v/>
      </c>
      <c r="K67" s="326" t="str">
        <f t="shared" ca="1" si="5"/>
        <v/>
      </c>
      <c r="L67" s="326" t="str">
        <f t="shared" ca="1" si="6"/>
        <v/>
      </c>
      <c r="M67" s="336" t="str">
        <f t="shared" ca="1" si="7"/>
        <v/>
      </c>
    </row>
    <row r="68" spans="2:13" ht="20.25" x14ac:dyDescent="0.25">
      <c r="B68" s="330" t="str">
        <f t="shared" ca="1" si="1"/>
        <v/>
      </c>
      <c r="C68" s="331" t="str">
        <f ca="1">סיכום!B48</f>
        <v/>
      </c>
      <c r="D68" s="332" t="str">
        <f ca="1">סיכום!D48</f>
        <v/>
      </c>
      <c r="E68" s="333"/>
      <c r="F68" s="334" t="str">
        <f t="shared" ca="1" si="0"/>
        <v/>
      </c>
      <c r="G68" s="335" t="str">
        <f t="shared" ca="1" si="2"/>
        <v/>
      </c>
      <c r="H68" s="335" t="str">
        <f t="shared" ca="1" si="3"/>
        <v/>
      </c>
      <c r="J68" s="326" t="str">
        <f t="shared" ca="1" si="4"/>
        <v/>
      </c>
      <c r="K68" s="326" t="str">
        <f t="shared" ca="1" si="5"/>
        <v/>
      </c>
      <c r="L68" s="326" t="str">
        <f t="shared" ca="1" si="6"/>
        <v/>
      </c>
      <c r="M68" s="336" t="str">
        <f t="shared" ca="1" si="7"/>
        <v/>
      </c>
    </row>
    <row r="69" spans="2:13" ht="20.25" x14ac:dyDescent="0.25">
      <c r="B69" s="330" t="str">
        <f t="shared" ca="1" si="1"/>
        <v/>
      </c>
      <c r="C69" s="331" t="str">
        <f ca="1">סיכום!B49</f>
        <v/>
      </c>
      <c r="D69" s="332" t="str">
        <f ca="1">סיכום!D49</f>
        <v/>
      </c>
      <c r="E69" s="333"/>
      <c r="F69" s="334" t="str">
        <f t="shared" ca="1" si="0"/>
        <v/>
      </c>
      <c r="G69" s="335" t="str">
        <f t="shared" ca="1" si="2"/>
        <v/>
      </c>
      <c r="H69" s="335" t="str">
        <f t="shared" ca="1" si="3"/>
        <v/>
      </c>
      <c r="J69" s="326" t="str">
        <f t="shared" ca="1" si="4"/>
        <v/>
      </c>
      <c r="K69" s="326" t="str">
        <f t="shared" ca="1" si="5"/>
        <v/>
      </c>
      <c r="L69" s="326" t="str">
        <f t="shared" ca="1" si="6"/>
        <v/>
      </c>
      <c r="M69" s="336" t="str">
        <f t="shared" ca="1" si="7"/>
        <v/>
      </c>
    </row>
    <row r="70" spans="2:13" ht="21" thickBot="1" x14ac:dyDescent="0.3">
      <c r="B70" s="330" t="str">
        <f t="shared" ca="1" si="1"/>
        <v/>
      </c>
      <c r="C70" s="331" t="str">
        <f ca="1">סיכום!B50</f>
        <v/>
      </c>
      <c r="D70" s="332" t="str">
        <f ca="1">סיכום!D50</f>
        <v/>
      </c>
      <c r="E70" s="333"/>
      <c r="F70" s="334" t="str">
        <f t="shared" ca="1" si="0"/>
        <v/>
      </c>
      <c r="G70" s="335" t="str">
        <f t="shared" ca="1" si="2"/>
        <v/>
      </c>
      <c r="H70" s="335" t="str">
        <f t="shared" ca="1" si="3"/>
        <v/>
      </c>
      <c r="J70" s="326" t="str">
        <f t="shared" ca="1" si="4"/>
        <v/>
      </c>
      <c r="K70" s="326" t="str">
        <f t="shared" ca="1" si="5"/>
        <v/>
      </c>
      <c r="L70" s="326" t="str">
        <f t="shared" ca="1" si="6"/>
        <v/>
      </c>
      <c r="M70" s="336" t="str">
        <f t="shared" ca="1" si="7"/>
        <v/>
      </c>
    </row>
    <row r="71" spans="2:13" ht="19.5" thickBot="1" x14ac:dyDescent="0.35">
      <c r="B71" s="688" t="s">
        <v>54</v>
      </c>
      <c r="C71" s="689"/>
      <c r="D71" s="337">
        <f ca="1">SUM(D31:D70)</f>
        <v>1906914</v>
      </c>
      <c r="E71" s="337">
        <f>SUM(E31:E70)</f>
        <v>0</v>
      </c>
      <c r="F71" s="337">
        <f ca="1">SUM(F31:F70)</f>
        <v>0</v>
      </c>
      <c r="G71" s="337">
        <f ca="1">SUM(G31:G70)</f>
        <v>1906914</v>
      </c>
      <c r="H71" s="337">
        <f ca="1">SUM(H31:H70)</f>
        <v>1906914</v>
      </c>
    </row>
  </sheetData>
  <sheetProtection algorithmName="SHA-512" hashValue="nbT2jPN4mG8nV++PX4fwYq9uXYxLRSLXdFVT9rvC3UpdvmpLIMIqihT4huWc8h+neFR7aSjW8u4W3LdBG9YjmA==" saltValue="Ns4mEHUvFlM5zhTvzg8Iyw==" spinCount="100000" sheet="1" scenarios="1" formatColumns="0" formatRows="0"/>
  <mergeCells count="12">
    <mergeCell ref="J29:J30"/>
    <mergeCell ref="K29:K30"/>
    <mergeCell ref="L29:L30"/>
    <mergeCell ref="M29:M30"/>
    <mergeCell ref="B71:C71"/>
    <mergeCell ref="B28:H28"/>
    <mergeCell ref="B29:B30"/>
    <mergeCell ref="C29:C30"/>
    <mergeCell ref="D29:D30"/>
    <mergeCell ref="F29:F30"/>
    <mergeCell ref="G29:G30"/>
    <mergeCell ref="H29:H30"/>
  </mergeCells>
  <conditionalFormatting sqref="B31:D70">
    <cfRule type="containsBlanks" dxfId="992" priority="8">
      <formula>LEN(TRIM(B31))=0</formula>
    </cfRule>
  </conditionalFormatting>
  <conditionalFormatting sqref="C1:C2">
    <cfRule type="containsBlanks" dxfId="991" priority="1">
      <formula>LEN(TRIM(C1))=0</formula>
    </cfRule>
  </conditionalFormatting>
  <conditionalFormatting sqref="E31:E70">
    <cfRule type="expression" dxfId="990" priority="4">
      <formula>AND($D31="",E31&lt;&gt;"")</formula>
    </cfRule>
    <cfRule type="expression" dxfId="989" priority="5">
      <formula>$C31&lt;&gt;""</formula>
    </cfRule>
  </conditionalFormatting>
  <conditionalFormatting sqref="F31:H70">
    <cfRule type="containsBlanks" dxfId="988" priority="3">
      <formula>LEN(TRIM(F31))=0</formula>
    </cfRule>
  </conditionalFormatting>
  <dataValidations count="1">
    <dataValidation type="whole" operator="greaterThanOrEqual" allowBlank="1" showInputMessage="1" showErrorMessage="1" error="יש להזין מספר שאינו שלילי" sqref="E31:E70" xr:uid="{00000000-0002-0000-1400-000000000000}">
      <formula1>0</formula1>
    </dataValidation>
  </dataValidations>
  <printOptions horizontalCentered="1"/>
  <pageMargins left="0.51181102362204722" right="0.51181102362204722" top="0.74803149606299213" bottom="0.74803149606299213" header="0.31496062992125984" footer="0.31496062992125984"/>
  <pageSetup paperSize="9" scale="85" fitToHeight="0" orientation="portrait" horizontalDpi="1200" verticalDpi="1200" r:id="rId1"/>
  <headerFooter>
    <oddHeader>&amp;C&amp;"-,מודגש"&amp;Uמבחנים לתמיכה של משרד התרבות והספורט</oddHeader>
    <oddFooter>&amp;Lא. חפץ ושות'
יעוץ כלכלי&amp;C&amp;P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גיליון10">
    <tabColor theme="8" tint="-0.249977111117893"/>
  </sheetPr>
  <dimension ref="A1:GR71"/>
  <sheetViews>
    <sheetView rightToLeft="1" view="pageBreakPreview" zoomScale="85" zoomScaleNormal="80" zoomScaleSheetLayoutView="85" workbookViewId="0">
      <pane xSplit="1" ySplit="30" topLeftCell="B31" activePane="bottomRight" state="frozen"/>
      <selection pane="topRight" activeCell="H39" sqref="H39"/>
      <selection pane="bottomLeft" activeCell="H39" sqref="H39"/>
      <selection pane="bottomRight" activeCell="B31" sqref="B31"/>
    </sheetView>
  </sheetViews>
  <sheetFormatPr defaultColWidth="8" defaultRowHeight="21" x14ac:dyDescent="0.35"/>
  <cols>
    <col min="1" max="1" width="8" style="338" hidden="1" customWidth="1"/>
    <col min="2" max="2" width="11.28515625" style="338" customWidth="1"/>
    <col min="3" max="3" width="37.42578125" style="338" bestFit="1" customWidth="1"/>
    <col min="4" max="4" width="13.7109375" style="338" customWidth="1"/>
    <col min="5" max="5" width="10.140625" style="338" customWidth="1"/>
    <col min="6" max="6" width="14" style="338" customWidth="1"/>
    <col min="7" max="7" width="13.28515625" style="338" customWidth="1"/>
    <col min="8" max="9" width="8" style="338" hidden="1" customWidth="1"/>
    <col min="10" max="10" width="19.42578125" style="338" hidden="1" customWidth="1"/>
    <col min="11" max="11" width="18.85546875" style="338" hidden="1" customWidth="1"/>
    <col min="12" max="200" width="8" style="338" hidden="1" customWidth="1"/>
    <col min="201" max="16384" width="8" style="338"/>
  </cols>
  <sheetData>
    <row r="1" spans="2:14" ht="37.5" x14ac:dyDescent="0.35">
      <c r="B1" s="312" t="str">
        <f>פרמטרים!$B$1</f>
        <v>שנת התקציב</v>
      </c>
      <c r="C1" s="270">
        <f>פרמטרים!$C$1</f>
        <v>2025</v>
      </c>
      <c r="D1" s="321" t="str">
        <f ca="1">IF(AND($G$71&lt;&gt;0,$C$2&lt;&gt;$G$71),"בדוק חישובים","")</f>
        <v/>
      </c>
      <c r="N1" s="323" t="s">
        <v>86</v>
      </c>
    </row>
    <row r="2" spans="2:14" ht="30.75" thickBot="1" x14ac:dyDescent="0.4">
      <c r="B2" s="272" t="str">
        <f>פרמטרים!$B$2</f>
        <v>תקציב</v>
      </c>
      <c r="C2" s="273">
        <f>פרמטרים!$C$2</f>
        <v>1906914</v>
      </c>
      <c r="J2" s="324" t="s">
        <v>264</v>
      </c>
      <c r="K2" s="324" t="s">
        <v>265</v>
      </c>
    </row>
    <row r="3" spans="2:14" x14ac:dyDescent="0.35">
      <c r="C3" s="339"/>
      <c r="D3" s="339"/>
      <c r="E3" s="339"/>
      <c r="F3" s="339"/>
      <c r="G3" s="339"/>
      <c r="I3" s="339"/>
      <c r="J3" s="340"/>
      <c r="K3" s="340"/>
      <c r="L3" s="339"/>
    </row>
    <row r="4" spans="2:14" hidden="1" x14ac:dyDescent="0.35">
      <c r="J4" s="325"/>
      <c r="K4" s="325"/>
    </row>
    <row r="5" spans="2:14" hidden="1" x14ac:dyDescent="0.35">
      <c r="C5" s="339"/>
      <c r="J5" s="325"/>
      <c r="K5" s="325"/>
    </row>
    <row r="6" spans="2:14" hidden="1" x14ac:dyDescent="0.35">
      <c r="J6" s="325"/>
      <c r="K6" s="325"/>
    </row>
    <row r="7" spans="2:14" hidden="1" x14ac:dyDescent="0.35">
      <c r="J7" s="325"/>
      <c r="K7" s="325"/>
    </row>
    <row r="8" spans="2:14" hidden="1" x14ac:dyDescent="0.35">
      <c r="J8" s="325"/>
      <c r="K8" s="325"/>
    </row>
    <row r="9" spans="2:14" ht="21" hidden="1" customHeight="1" x14ac:dyDescent="0.35">
      <c r="J9" s="325"/>
      <c r="K9" s="325"/>
    </row>
    <row r="10" spans="2:14" hidden="1" x14ac:dyDescent="0.35">
      <c r="J10" s="325"/>
      <c r="K10" s="325"/>
    </row>
    <row r="11" spans="2:14" hidden="1" x14ac:dyDescent="0.35">
      <c r="J11" s="325"/>
      <c r="K11" s="325"/>
    </row>
    <row r="12" spans="2:14" hidden="1" x14ac:dyDescent="0.35">
      <c r="J12" s="325"/>
      <c r="K12" s="325"/>
    </row>
    <row r="13" spans="2:14" hidden="1" x14ac:dyDescent="0.35">
      <c r="J13" s="325"/>
      <c r="K13" s="325"/>
    </row>
    <row r="14" spans="2:14" hidden="1" x14ac:dyDescent="0.35">
      <c r="J14" s="325"/>
      <c r="K14" s="325"/>
    </row>
    <row r="15" spans="2:14" hidden="1" x14ac:dyDescent="0.35">
      <c r="J15" s="325"/>
      <c r="K15" s="325"/>
    </row>
    <row r="16" spans="2:14" hidden="1" x14ac:dyDescent="0.35">
      <c r="J16" s="325"/>
      <c r="K16" s="325"/>
    </row>
    <row r="17" spans="2:12" hidden="1" x14ac:dyDescent="0.35">
      <c r="J17" s="325"/>
      <c r="K17" s="325"/>
    </row>
    <row r="18" spans="2:12" hidden="1" x14ac:dyDescent="0.35">
      <c r="J18" s="325"/>
      <c r="K18" s="325"/>
    </row>
    <row r="19" spans="2:12" hidden="1" x14ac:dyDescent="0.35">
      <c r="J19" s="325"/>
      <c r="K19" s="325"/>
    </row>
    <row r="20" spans="2:12" hidden="1" x14ac:dyDescent="0.35">
      <c r="J20" s="325"/>
      <c r="K20" s="325"/>
    </row>
    <row r="21" spans="2:12" hidden="1" x14ac:dyDescent="0.35">
      <c r="J21" s="325"/>
      <c r="K21" s="325"/>
    </row>
    <row r="22" spans="2:12" hidden="1" x14ac:dyDescent="0.35">
      <c r="J22" s="325"/>
      <c r="K22" s="325"/>
    </row>
    <row r="23" spans="2:12" hidden="1" x14ac:dyDescent="0.35">
      <c r="J23" s="325"/>
      <c r="K23" s="325"/>
    </row>
    <row r="24" spans="2:12" hidden="1" x14ac:dyDescent="0.35">
      <c r="J24" s="325"/>
      <c r="K24" s="325"/>
    </row>
    <row r="25" spans="2:12" hidden="1" x14ac:dyDescent="0.35">
      <c r="J25" s="325"/>
      <c r="K25" s="325"/>
    </row>
    <row r="26" spans="2:12" hidden="1" x14ac:dyDescent="0.35">
      <c r="J26" s="325"/>
      <c r="K26" s="325"/>
    </row>
    <row r="27" spans="2:12" ht="21.75" thickBot="1" x14ac:dyDescent="0.4">
      <c r="J27" s="326">
        <f ca="1">SUMIF(K31:K70,0,D31:D70)</f>
        <v>1906914</v>
      </c>
      <c r="K27" s="327">
        <f>SUM(E31:E70)</f>
        <v>0</v>
      </c>
    </row>
    <row r="28" spans="2:12" ht="21" customHeight="1" thickBot="1" x14ac:dyDescent="0.4">
      <c r="B28" s="681" t="str">
        <f ca="1">MID(CELL("filename",B30),FIND("]",CELL("filename",C30),1)+1,99)</f>
        <v>קיזוזים- החלטות ועדה</v>
      </c>
      <c r="C28" s="682"/>
      <c r="D28" s="682"/>
      <c r="E28" s="682"/>
      <c r="F28" s="682"/>
      <c r="G28" s="683"/>
    </row>
    <row r="29" spans="2:12" ht="21" customHeight="1" x14ac:dyDescent="0.35">
      <c r="B29" s="684" t="s">
        <v>102</v>
      </c>
      <c r="C29" s="690" t="s">
        <v>154</v>
      </c>
      <c r="D29" s="684" t="s">
        <v>276</v>
      </c>
      <c r="E29" s="684" t="s">
        <v>268</v>
      </c>
      <c r="F29" s="684" t="s">
        <v>269</v>
      </c>
      <c r="G29" s="692" t="s">
        <v>270</v>
      </c>
      <c r="I29" s="686" t="s">
        <v>271</v>
      </c>
      <c r="J29" s="686" t="s">
        <v>272</v>
      </c>
      <c r="K29" s="686" t="s">
        <v>273</v>
      </c>
      <c r="L29" s="686" t="s">
        <v>274</v>
      </c>
    </row>
    <row r="30" spans="2:12" ht="42.75" customHeight="1" thickBot="1" x14ac:dyDescent="0.4">
      <c r="B30" s="685"/>
      <c r="C30" s="691"/>
      <c r="D30" s="685"/>
      <c r="E30" s="685"/>
      <c r="F30" s="685"/>
      <c r="G30" s="693"/>
      <c r="I30" s="687"/>
      <c r="J30" s="687"/>
      <c r="K30" s="687"/>
      <c r="L30" s="687"/>
    </row>
    <row r="31" spans="2:12" x14ac:dyDescent="0.35">
      <c r="B31" s="341">
        <f ca="1">IF(C31="","",ROW()-30)</f>
        <v>1</v>
      </c>
      <c r="C31" s="331" t="str">
        <f ca="1">'קיזוזים בגין איחורים'!C31</f>
        <v>1280 מעלות (אמנים יוצרים)</v>
      </c>
      <c r="D31" s="332">
        <f ca="1">'קיזוזים בגין איחורים'!H31</f>
        <v>66144.47652798082</v>
      </c>
      <c r="E31" s="333"/>
      <c r="F31" s="335">
        <f ca="1">IF($C31="","",IF(E31&gt;D31,$N$1,D31-E31))</f>
        <v>66144.47652798082</v>
      </c>
      <c r="G31" s="335">
        <f ca="1">IF($C31="","",F31+L31)</f>
        <v>66144.47652798082</v>
      </c>
      <c r="I31" s="326">
        <f ca="1">IF($C31="","",IFERROR(IF(E31=0,0,1),0))</f>
        <v>0</v>
      </c>
      <c r="J31" s="326">
        <f ca="1">IF($C31="","",IFERROR(IF('קיזוזים בגין איחורים'!E31=0,0,1),0))</f>
        <v>0</v>
      </c>
      <c r="K31" s="326">
        <f ca="1">IF($C31="","",IF(OR(J31=1,I31=1),1,0))</f>
        <v>0</v>
      </c>
      <c r="L31" s="326">
        <f t="shared" ref="L31:L70" ca="1" si="0">IF($C31="","",IF(K31=1,0,$K$27*$D31/$J$27))</f>
        <v>0</v>
      </c>
    </row>
    <row r="32" spans="2:12" x14ac:dyDescent="0.35">
      <c r="B32" s="341">
        <f t="shared" ref="B32:B70" ca="1" si="1">IF(C32="","",ROW()-30)</f>
        <v>2</v>
      </c>
      <c r="C32" s="331" t="str">
        <f ca="1">'קיזוזים בגין איחורים'!C32</f>
        <v>יהי (אורי צבי גרינברג)</v>
      </c>
      <c r="D32" s="332">
        <f ca="1">'קיזוזים בגין איחורים'!H32</f>
        <v>55389.564826780625</v>
      </c>
      <c r="E32" s="333"/>
      <c r="F32" s="335">
        <f t="shared" ref="F32:F70" ca="1" si="2">IF($C32="","",IF(E32&gt;D32,$N$1,D32-E32))</f>
        <v>55389.564826780625</v>
      </c>
      <c r="G32" s="335">
        <f t="shared" ref="G32:G70" ca="1" si="3">IF($C32="","",F32+L32)</f>
        <v>55389.564826780625</v>
      </c>
      <c r="I32" s="326">
        <f t="shared" ref="I32:I70" ca="1" si="4">IF($C32="","",IFERROR(IF(E32=0,0,1),0))</f>
        <v>0</v>
      </c>
      <c r="J32" s="326">
        <f ca="1">IF($C32="","",IFERROR(IF('קיזוזים בגין איחורים'!E32=0,0,1),0))</f>
        <v>0</v>
      </c>
      <c r="K32" s="326">
        <f t="shared" ref="K32:K70" ca="1" si="5">IF($C32="","",IF(OR(J32=1,I32=1),1,0))</f>
        <v>0</v>
      </c>
      <c r="L32" s="326">
        <f t="shared" ca="1" si="0"/>
        <v>0</v>
      </c>
    </row>
    <row r="33" spans="2:12" x14ac:dyDescent="0.35">
      <c r="B33" s="341" t="str">
        <f t="shared" ca="1" si="1"/>
        <v/>
      </c>
      <c r="C33" s="331" t="str">
        <f ca="1">'קיזוזים בגין איחורים'!C33</f>
        <v/>
      </c>
      <c r="D33" s="332" t="str">
        <f ca="1">'קיזוזים בגין איחורים'!H33</f>
        <v/>
      </c>
      <c r="E33" s="333"/>
      <c r="F33" s="335" t="str">
        <f t="shared" ca="1" si="2"/>
        <v/>
      </c>
      <c r="G33" s="335" t="str">
        <f t="shared" ca="1" si="3"/>
        <v/>
      </c>
      <c r="I33" s="326" t="str">
        <f t="shared" ca="1" si="4"/>
        <v/>
      </c>
      <c r="J33" s="326" t="str">
        <f ca="1">IF($C33="","",IFERROR(IF('קיזוזים בגין איחורים'!E33=0,0,1),0))</f>
        <v/>
      </c>
      <c r="K33" s="326" t="str">
        <f t="shared" ca="1" si="5"/>
        <v/>
      </c>
      <c r="L33" s="326" t="str">
        <f t="shared" ca="1" si="0"/>
        <v/>
      </c>
    </row>
    <row r="34" spans="2:12" x14ac:dyDescent="0.35">
      <c r="B34" s="341">
        <f t="shared" ca="1" si="1"/>
        <v>4</v>
      </c>
      <c r="C34" s="331" t="str">
        <f ca="1">'קיזוזים בגין איחורים'!C34</f>
        <v>דעות (ברית נאמני תורה ועבודה)</v>
      </c>
      <c r="D34" s="332">
        <f ca="1">'קיזוזים בגין איחורים'!H34</f>
        <v>93387.02784397635</v>
      </c>
      <c r="E34" s="333"/>
      <c r="F34" s="335">
        <f t="shared" ca="1" si="2"/>
        <v>93387.02784397635</v>
      </c>
      <c r="G34" s="335">
        <f t="shared" ca="1" si="3"/>
        <v>93387.02784397635</v>
      </c>
      <c r="I34" s="326">
        <f t="shared" ca="1" si="4"/>
        <v>0</v>
      </c>
      <c r="J34" s="326">
        <f ca="1">IF($C34="","",IFERROR(IF('קיזוזים בגין איחורים'!E34=0,0,1),0))</f>
        <v>0</v>
      </c>
      <c r="K34" s="326">
        <f t="shared" ca="1" si="5"/>
        <v>0</v>
      </c>
      <c r="L34" s="326">
        <f t="shared" ca="1" si="0"/>
        <v>0</v>
      </c>
    </row>
    <row r="35" spans="2:12" x14ac:dyDescent="0.35">
      <c r="B35" s="341">
        <f t="shared" ca="1" si="1"/>
        <v>5</v>
      </c>
      <c r="C35" s="331" t="str">
        <f ca="1">'קיזוזים בגין איחורים'!C35</f>
        <v>הליקון</v>
      </c>
      <c r="D35" s="332">
        <f ca="1">'קיזוזים בגין איחורים'!H35</f>
        <v>115510.69950883459</v>
      </c>
      <c r="E35" s="333"/>
      <c r="F35" s="335">
        <f t="shared" ca="1" si="2"/>
        <v>115510.69950883459</v>
      </c>
      <c r="G35" s="335">
        <f t="shared" ca="1" si="3"/>
        <v>115510.69950883459</v>
      </c>
      <c r="I35" s="326">
        <f t="shared" ca="1" si="4"/>
        <v>0</v>
      </c>
      <c r="J35" s="326">
        <f ca="1">IF($C35="","",IFERROR(IF('קיזוזים בגין איחורים'!E35=0,0,1),0))</f>
        <v>0</v>
      </c>
      <c r="K35" s="326">
        <f t="shared" ca="1" si="5"/>
        <v>0</v>
      </c>
      <c r="L35" s="326">
        <f t="shared" ca="1" si="0"/>
        <v>0</v>
      </c>
    </row>
    <row r="36" spans="2:12" x14ac:dyDescent="0.35">
      <c r="B36" s="341" t="str">
        <f t="shared" ca="1" si="1"/>
        <v/>
      </c>
      <c r="C36" s="331" t="str">
        <f ca="1">'קיזוזים בגין איחורים'!C36</f>
        <v/>
      </c>
      <c r="D36" s="332" t="str">
        <f ca="1">'קיזוזים בגין איחורים'!H36</f>
        <v/>
      </c>
      <c r="E36" s="333"/>
      <c r="F36" s="335" t="str">
        <f t="shared" ca="1" si="2"/>
        <v/>
      </c>
      <c r="G36" s="335" t="str">
        <f t="shared" ca="1" si="3"/>
        <v/>
      </c>
      <c r="I36" s="326" t="str">
        <f t="shared" ca="1" si="4"/>
        <v/>
      </c>
      <c r="J36" s="326" t="str">
        <f ca="1">IF($C36="","",IFERROR(IF('קיזוזים בגין איחורים'!E36=0,0,1),0))</f>
        <v/>
      </c>
      <c r="K36" s="326" t="str">
        <f t="shared" ca="1" si="5"/>
        <v/>
      </c>
      <c r="L36" s="326" t="str">
        <f t="shared" ca="1" si="0"/>
        <v/>
      </c>
    </row>
    <row r="37" spans="2:12" x14ac:dyDescent="0.35">
      <c r="B37" s="341" t="str">
        <f t="shared" ca="1" si="1"/>
        <v/>
      </c>
      <c r="C37" s="331" t="str">
        <f ca="1">'קיזוזים בגין איחורים'!C37</f>
        <v/>
      </c>
      <c r="D37" s="332" t="str">
        <f ca="1">'קיזוזים בגין איחורים'!H37</f>
        <v/>
      </c>
      <c r="E37" s="333"/>
      <c r="F37" s="335" t="str">
        <f t="shared" ca="1" si="2"/>
        <v/>
      </c>
      <c r="G37" s="335" t="str">
        <f t="shared" ca="1" si="3"/>
        <v/>
      </c>
      <c r="I37" s="326" t="str">
        <f t="shared" ca="1" si="4"/>
        <v/>
      </c>
      <c r="J37" s="326" t="str">
        <f ca="1">IF($C37="","",IFERROR(IF('קיזוזים בגין איחורים'!E37=0,0,1),0))</f>
        <v/>
      </c>
      <c r="K37" s="326" t="str">
        <f t="shared" ca="1" si="5"/>
        <v/>
      </c>
      <c r="L37" s="326" t="str">
        <f t="shared" ca="1" si="0"/>
        <v/>
      </c>
    </row>
    <row r="38" spans="2:12" x14ac:dyDescent="0.35">
      <c r="B38" s="341">
        <f t="shared" ca="1" si="1"/>
        <v>8</v>
      </c>
      <c r="C38" s="331" t="str">
        <f ca="1">'קיזוזים בגין איחורים'!C38</f>
        <v>ננפואטיקה (עמותת מקום לשירה)</v>
      </c>
      <c r="D38" s="332">
        <f ca="1">'קיזוזים בגין איחורים'!H38</f>
        <v>141968.77580814355</v>
      </c>
      <c r="E38" s="333"/>
      <c r="F38" s="335">
        <f t="shared" ca="1" si="2"/>
        <v>141968.77580814355</v>
      </c>
      <c r="G38" s="335">
        <f t="shared" ca="1" si="3"/>
        <v>141968.77580814355</v>
      </c>
      <c r="I38" s="326">
        <f t="shared" ca="1" si="4"/>
        <v>0</v>
      </c>
      <c r="J38" s="326">
        <f ca="1">IF($C38="","",IFERROR(IF('קיזוזים בגין איחורים'!E38=0,0,1),0))</f>
        <v>0</v>
      </c>
      <c r="K38" s="326">
        <f t="shared" ca="1" si="5"/>
        <v>0</v>
      </c>
      <c r="L38" s="326">
        <f t="shared" ca="1" si="0"/>
        <v>0</v>
      </c>
    </row>
    <row r="39" spans="2:12" x14ac:dyDescent="0.35">
      <c r="B39" s="341">
        <f t="shared" ca="1" si="1"/>
        <v>9</v>
      </c>
      <c r="C39" s="331" t="str">
        <f ca="1">'קיזוזים בגין איחורים'!C39</f>
        <v>מאזניים (אגודת הסופרים העבריים)</v>
      </c>
      <c r="D39" s="332">
        <f ca="1">'קיזוזים בגין איחורים'!H39</f>
        <v>158935.99640128316</v>
      </c>
      <c r="E39" s="333"/>
      <c r="F39" s="335">
        <f t="shared" ca="1" si="2"/>
        <v>158935.99640128316</v>
      </c>
      <c r="G39" s="335">
        <f t="shared" ca="1" si="3"/>
        <v>158935.99640128316</v>
      </c>
      <c r="I39" s="326">
        <f t="shared" ca="1" si="4"/>
        <v>0</v>
      </c>
      <c r="J39" s="326">
        <f ca="1">IF($C39="","",IFERROR(IF('קיזוזים בגין איחורים'!E39=0,0,1),0))</f>
        <v>0</v>
      </c>
      <c r="K39" s="326">
        <f t="shared" ca="1" si="5"/>
        <v>0</v>
      </c>
      <c r="L39" s="326">
        <f t="shared" ca="1" si="0"/>
        <v>0</v>
      </c>
    </row>
    <row r="40" spans="2:12" x14ac:dyDescent="0.35">
      <c r="B40" s="341">
        <f t="shared" ca="1" si="1"/>
        <v>10</v>
      </c>
      <c r="C40" s="331" t="str">
        <f ca="1">'קיזוזים בגין איחורים'!C40</f>
        <v>משיב הרוח</v>
      </c>
      <c r="D40" s="332">
        <f ca="1">'קיזוזים בגין איחורים'!H40</f>
        <v>148737.47387407691</v>
      </c>
      <c r="E40" s="333"/>
      <c r="F40" s="335">
        <f t="shared" ca="1" si="2"/>
        <v>148737.47387407691</v>
      </c>
      <c r="G40" s="335">
        <f t="shared" ca="1" si="3"/>
        <v>148737.47387407691</v>
      </c>
      <c r="I40" s="326">
        <f t="shared" ca="1" si="4"/>
        <v>0</v>
      </c>
      <c r="J40" s="326">
        <f ca="1">IF($C40="","",IFERROR(IF('קיזוזים בגין איחורים'!E40=0,0,1),0))</f>
        <v>0</v>
      </c>
      <c r="K40" s="326">
        <f t="shared" ca="1" si="5"/>
        <v>0</v>
      </c>
      <c r="L40" s="326">
        <f t="shared" ca="1" si="0"/>
        <v>0</v>
      </c>
    </row>
    <row r="41" spans="2:12" x14ac:dyDescent="0.35">
      <c r="B41" s="341">
        <f t="shared" ca="1" si="1"/>
        <v>11</v>
      </c>
      <c r="C41" s="331" t="str">
        <f ca="1">'קיזוזים בגין איחורים'!C41</f>
        <v>עמדה (עמותת מונטן)</v>
      </c>
      <c r="D41" s="332">
        <f ca="1">'קיזוזים בגין איחורים'!H41</f>
        <v>34000</v>
      </c>
      <c r="E41" s="333"/>
      <c r="F41" s="335">
        <f t="shared" ca="1" si="2"/>
        <v>34000</v>
      </c>
      <c r="G41" s="335">
        <f t="shared" ca="1" si="3"/>
        <v>34000</v>
      </c>
      <c r="I41" s="326">
        <f t="shared" ca="1" si="4"/>
        <v>0</v>
      </c>
      <c r="J41" s="326">
        <f ca="1">IF($C41="","",IFERROR(IF('קיזוזים בגין איחורים'!E41=0,0,1),0))</f>
        <v>0</v>
      </c>
      <c r="K41" s="326">
        <f t="shared" ca="1" si="5"/>
        <v>0</v>
      </c>
      <c r="L41" s="326">
        <f t="shared" ca="1" si="0"/>
        <v>0</v>
      </c>
    </row>
    <row r="42" spans="2:12" x14ac:dyDescent="0.35">
      <c r="B42" s="341">
        <f t="shared" ca="1" si="1"/>
        <v>12</v>
      </c>
      <c r="C42" s="331" t="str">
        <f ca="1">'קיזוזים בגין איחורים'!C42</f>
        <v>עתון 77 (אגודת סופרים ואמנים)</v>
      </c>
      <c r="D42" s="332">
        <f ca="1">'קיזוזים בגין איחורים'!H42</f>
        <v>134269.11526979934</v>
      </c>
      <c r="E42" s="333"/>
      <c r="F42" s="335">
        <f t="shared" ca="1" si="2"/>
        <v>134269.11526979934</v>
      </c>
      <c r="G42" s="335">
        <f t="shared" ca="1" si="3"/>
        <v>134269.11526979934</v>
      </c>
      <c r="I42" s="326">
        <f t="shared" ca="1" si="4"/>
        <v>0</v>
      </c>
      <c r="J42" s="326">
        <f ca="1">IF($C42="","",IFERROR(IF('קיזוזים בגין איחורים'!E42=0,0,1),0))</f>
        <v>0</v>
      </c>
      <c r="K42" s="326">
        <f t="shared" ca="1" si="5"/>
        <v>0</v>
      </c>
      <c r="L42" s="326">
        <f t="shared" ca="1" si="0"/>
        <v>0</v>
      </c>
    </row>
    <row r="43" spans="2:12" x14ac:dyDescent="0.35">
      <c r="B43" s="341" t="str">
        <f t="shared" ca="1" si="1"/>
        <v/>
      </c>
      <c r="C43" s="331" t="str">
        <f ca="1">'קיזוזים בגין איחורים'!C43</f>
        <v/>
      </c>
      <c r="D43" s="332" t="str">
        <f ca="1">'קיזוזים בגין איחורים'!H43</f>
        <v/>
      </c>
      <c r="E43" s="333"/>
      <c r="F43" s="335" t="str">
        <f t="shared" ca="1" si="2"/>
        <v/>
      </c>
      <c r="G43" s="335" t="str">
        <f t="shared" ca="1" si="3"/>
        <v/>
      </c>
      <c r="I43" s="326" t="str">
        <f t="shared" ca="1" si="4"/>
        <v/>
      </c>
      <c r="J43" s="326" t="str">
        <f ca="1">IF($C43="","",IFERROR(IF('קיזוזים בגין איחורים'!E43=0,0,1),0))</f>
        <v/>
      </c>
      <c r="K43" s="326" t="str">
        <f t="shared" ca="1" si="5"/>
        <v/>
      </c>
      <c r="L43" s="326" t="str">
        <f t="shared" ca="1" si="0"/>
        <v/>
      </c>
    </row>
    <row r="44" spans="2:12" x14ac:dyDescent="0.35">
      <c r="B44" s="341">
        <f t="shared" ca="1" si="1"/>
        <v>14</v>
      </c>
      <c r="C44" s="331" t="str">
        <f ca="1">'קיזוזים בגין איחורים'!C44</f>
        <v>פסיפס</v>
      </c>
      <c r="D44" s="332">
        <f ca="1">'קיזוזים בגין איחורים'!H44</f>
        <v>38555.909673218623</v>
      </c>
      <c r="E44" s="286"/>
      <c r="F44" s="335">
        <f t="shared" ca="1" si="2"/>
        <v>38555.909673218623</v>
      </c>
      <c r="G44" s="335">
        <f t="shared" ca="1" si="3"/>
        <v>38555.909673218623</v>
      </c>
      <c r="I44" s="326">
        <f t="shared" ca="1" si="4"/>
        <v>0</v>
      </c>
      <c r="J44" s="326">
        <f ca="1">IF($C44="","",IFERROR(IF('קיזוזים בגין איחורים'!E44=0,0,1),0))</f>
        <v>0</v>
      </c>
      <c r="K44" s="326">
        <f t="shared" ca="1" si="5"/>
        <v>0</v>
      </c>
      <c r="L44" s="326">
        <f t="shared" ca="1" si="0"/>
        <v>0</v>
      </c>
    </row>
    <row r="45" spans="2:12" x14ac:dyDescent="0.35">
      <c r="B45" s="341">
        <f t="shared" ca="1" si="1"/>
        <v>15</v>
      </c>
      <c r="C45" s="331" t="str">
        <f ca="1">'קיזוזים בגין איחורים'!C45</f>
        <v>קתרזיס ( עמותת מצרף)</v>
      </c>
      <c r="D45" s="332">
        <f ca="1">'קיזוזים בגין איחורים'!H45</f>
        <v>29000</v>
      </c>
      <c r="E45" s="333"/>
      <c r="F45" s="335">
        <f t="shared" ca="1" si="2"/>
        <v>29000</v>
      </c>
      <c r="G45" s="335">
        <f t="shared" ca="1" si="3"/>
        <v>29000</v>
      </c>
      <c r="I45" s="326">
        <f t="shared" ca="1" si="4"/>
        <v>0</v>
      </c>
      <c r="J45" s="326">
        <f ca="1">IF($C45="","",IFERROR(IF('קיזוזים בגין איחורים'!E45=0,0,1),0))</f>
        <v>0</v>
      </c>
      <c r="K45" s="326">
        <f t="shared" ca="1" si="5"/>
        <v>0</v>
      </c>
      <c r="L45" s="326">
        <f t="shared" ca="1" si="0"/>
        <v>0</v>
      </c>
    </row>
    <row r="46" spans="2:12" x14ac:dyDescent="0.35">
      <c r="B46" s="341" t="str">
        <f t="shared" ca="1" si="1"/>
        <v/>
      </c>
      <c r="C46" s="331" t="str">
        <f ca="1">'קיזוזים בגין איחורים'!C46</f>
        <v/>
      </c>
      <c r="D46" s="332" t="str">
        <f ca="1">'קיזוזים בגין איחורים'!H46</f>
        <v/>
      </c>
      <c r="E46" s="333"/>
      <c r="F46" s="335" t="str">
        <f t="shared" ca="1" si="2"/>
        <v/>
      </c>
      <c r="G46" s="335" t="str">
        <f t="shared" ca="1" si="3"/>
        <v/>
      </c>
      <c r="I46" s="326" t="str">
        <f t="shared" ca="1" si="4"/>
        <v/>
      </c>
      <c r="J46" s="326" t="str">
        <f ca="1">IF($C46="","",IFERROR(IF('קיזוזים בגין איחורים'!E46=0,0,1),0))</f>
        <v/>
      </c>
      <c r="K46" s="326" t="str">
        <f t="shared" ca="1" si="5"/>
        <v/>
      </c>
      <c r="L46" s="326" t="str">
        <f t="shared" ca="1" si="0"/>
        <v/>
      </c>
    </row>
    <row r="47" spans="2:12" x14ac:dyDescent="0.35">
      <c r="B47" s="341">
        <f t="shared" ca="1" si="1"/>
        <v>17</v>
      </c>
      <c r="C47" s="331" t="str">
        <f ca="1">'קיזוזים בגין איחורים'!C47</f>
        <v>הכיוון מזרח (עמותת אחותי)</v>
      </c>
      <c r="D47" s="332">
        <f ca="1">'קיזוזים בגין איחורים'!H47</f>
        <v>98262.948341541589</v>
      </c>
      <c r="E47" s="333"/>
      <c r="F47" s="335">
        <f t="shared" ca="1" si="2"/>
        <v>98262.948341541589</v>
      </c>
      <c r="G47" s="335">
        <f t="shared" ca="1" si="3"/>
        <v>98262.948341541589</v>
      </c>
      <c r="I47" s="326">
        <f t="shared" ca="1" si="4"/>
        <v>0</v>
      </c>
      <c r="J47" s="326">
        <f ca="1">IF($C47="","",IFERROR(IF('קיזוזים בגין איחורים'!E47=0,0,1),0))</f>
        <v>0</v>
      </c>
      <c r="K47" s="326">
        <f t="shared" ca="1" si="5"/>
        <v>0</v>
      </c>
      <c r="L47" s="326">
        <f t="shared" ca="1" si="0"/>
        <v>0</v>
      </c>
    </row>
    <row r="48" spans="2:12" x14ac:dyDescent="0.35">
      <c r="B48" s="341" t="str">
        <f t="shared" ca="1" si="1"/>
        <v/>
      </c>
      <c r="C48" s="331" t="str">
        <f ca="1">'קיזוזים בגין איחורים'!C48</f>
        <v/>
      </c>
      <c r="D48" s="332" t="str">
        <f ca="1">'קיזוזים בגין איחורים'!H48</f>
        <v/>
      </c>
      <c r="E48" s="333"/>
      <c r="F48" s="335" t="str">
        <f t="shared" ca="1" si="2"/>
        <v/>
      </c>
      <c r="G48" s="335" t="str">
        <f t="shared" ca="1" si="3"/>
        <v/>
      </c>
      <c r="I48" s="326" t="str">
        <f t="shared" ca="1" si="4"/>
        <v/>
      </c>
      <c r="J48" s="326" t="str">
        <f ca="1">IF($C48="","",IFERROR(IF('קיזוזים בגין איחורים'!E48=0,0,1),0))</f>
        <v/>
      </c>
      <c r="K48" s="326" t="str">
        <f t="shared" ca="1" si="5"/>
        <v/>
      </c>
      <c r="L48" s="326" t="str">
        <f t="shared" ca="1" si="0"/>
        <v/>
      </c>
    </row>
    <row r="49" spans="2:12" x14ac:dyDescent="0.35">
      <c r="B49" s="341">
        <f t="shared" ca="1" si="1"/>
        <v>19</v>
      </c>
      <c r="C49" s="331" t="str">
        <f ca="1">'קיזוזים בגין איחורים'!C49</f>
        <v>הו</v>
      </c>
      <c r="D49" s="332">
        <f ca="1">'קיזוזים בגין איחורים'!H49</f>
        <v>100140.64481908687</v>
      </c>
      <c r="E49" s="333"/>
      <c r="F49" s="335">
        <f t="shared" ca="1" si="2"/>
        <v>100140.64481908687</v>
      </c>
      <c r="G49" s="335">
        <f t="shared" ca="1" si="3"/>
        <v>100140.64481908687</v>
      </c>
      <c r="I49" s="326">
        <f t="shared" ca="1" si="4"/>
        <v>0</v>
      </c>
      <c r="J49" s="326">
        <f ca="1">IF($C49="","",IFERROR(IF('קיזוזים בגין איחורים'!E49=0,0,1),0))</f>
        <v>0</v>
      </c>
      <c r="K49" s="326">
        <f t="shared" ca="1" si="5"/>
        <v>0</v>
      </c>
      <c r="L49" s="326">
        <f t="shared" ca="1" si="0"/>
        <v>0</v>
      </c>
    </row>
    <row r="50" spans="2:12" x14ac:dyDescent="0.35">
      <c r="B50" s="341">
        <f t="shared" ca="1" si="1"/>
        <v>20</v>
      </c>
      <c r="C50" s="331" t="str">
        <f ca="1">'קיזוזים בגין איחורים'!C50</f>
        <v>הבא להבא (עמותת מקום לשירה)</v>
      </c>
      <c r="D50" s="332">
        <f ca="1">'קיזוזים בגין איחורים'!H50</f>
        <v>75902.39829871527</v>
      </c>
      <c r="E50" s="333"/>
      <c r="F50" s="335">
        <f t="shared" ca="1" si="2"/>
        <v>75902.39829871527</v>
      </c>
      <c r="G50" s="335">
        <f t="shared" ca="1" si="3"/>
        <v>75902.39829871527</v>
      </c>
      <c r="I50" s="326">
        <f t="shared" ca="1" si="4"/>
        <v>0</v>
      </c>
      <c r="J50" s="326">
        <f ca="1">IF($C50="","",IFERROR(IF('קיזוזים בגין איחורים'!E50=0,0,1),0))</f>
        <v>0</v>
      </c>
      <c r="K50" s="326">
        <f t="shared" ca="1" si="5"/>
        <v>0</v>
      </c>
      <c r="L50" s="326">
        <f t="shared" ca="1" si="0"/>
        <v>0</v>
      </c>
    </row>
    <row r="51" spans="2:12" x14ac:dyDescent="0.35">
      <c r="B51" s="341">
        <f t="shared" ca="1" si="1"/>
        <v>21</v>
      </c>
      <c r="C51" s="331" t="str">
        <f ca="1">'קיזוזים בגין איחורים'!C51</f>
        <v>היסטוריה (החברה ההיסטורית הישרא</v>
      </c>
      <c r="D51" s="332">
        <f ca="1">'קיזוזים בגין איחורים'!H51</f>
        <v>51310.941279157974</v>
      </c>
      <c r="E51" s="333"/>
      <c r="F51" s="335">
        <f t="shared" ca="1" si="2"/>
        <v>51310.941279157974</v>
      </c>
      <c r="G51" s="335">
        <f t="shared" ca="1" si="3"/>
        <v>51310.941279157974</v>
      </c>
      <c r="I51" s="326">
        <f t="shared" ca="1" si="4"/>
        <v>0</v>
      </c>
      <c r="J51" s="326">
        <f ca="1">IF($C51="","",IFERROR(IF('קיזוזים בגין איחורים'!E51=0,0,1),0))</f>
        <v>0</v>
      </c>
      <c r="K51" s="326">
        <f t="shared" ca="1" si="5"/>
        <v>0</v>
      </c>
      <c r="L51" s="326">
        <f t="shared" ca="1" si="0"/>
        <v>0</v>
      </c>
    </row>
    <row r="52" spans="2:12" x14ac:dyDescent="0.35">
      <c r="B52" s="341">
        <f t="shared" ca="1" si="1"/>
        <v>22</v>
      </c>
      <c r="C52" s="331" t="str">
        <f ca="1">'קיזוזים בגין איחורים'!C52</f>
        <v>מחול עכשיו (תמונע)</v>
      </c>
      <c r="D52" s="332">
        <f ca="1">'קיזוזים בגין איחורים'!H52</f>
        <v>60000</v>
      </c>
      <c r="E52" s="333"/>
      <c r="F52" s="335">
        <f t="shared" ca="1" si="2"/>
        <v>60000</v>
      </c>
      <c r="G52" s="335">
        <f t="shared" ca="1" si="3"/>
        <v>60000</v>
      </c>
      <c r="I52" s="326">
        <f t="shared" ca="1" si="4"/>
        <v>0</v>
      </c>
      <c r="J52" s="326">
        <f ca="1">IF($C52="","",IFERROR(IF('קיזוזים בגין איחורים'!E52=0,0,1),0))</f>
        <v>0</v>
      </c>
      <c r="K52" s="326">
        <f t="shared" ca="1" si="5"/>
        <v>0</v>
      </c>
      <c r="L52" s="326">
        <f t="shared" ca="1" si="0"/>
        <v>0</v>
      </c>
    </row>
    <row r="53" spans="2:12" x14ac:dyDescent="0.35">
      <c r="B53" s="341">
        <f t="shared" ca="1" si="1"/>
        <v>23</v>
      </c>
      <c r="C53" s="331" t="str">
        <f ca="1">'קיזוזים בגין איחורים'!C53</f>
        <v>קול אישה שירה (תואר)</v>
      </c>
      <c r="D53" s="332">
        <f ca="1">'קיזוזים בגין איחורים'!H53</f>
        <v>75000</v>
      </c>
      <c r="E53" s="333"/>
      <c r="F53" s="335">
        <f t="shared" ca="1" si="2"/>
        <v>75000</v>
      </c>
      <c r="G53" s="335">
        <f t="shared" ca="1" si="3"/>
        <v>75000</v>
      </c>
      <c r="I53" s="326">
        <f t="shared" ca="1" si="4"/>
        <v>0</v>
      </c>
      <c r="J53" s="326">
        <f ca="1">IF($C53="","",IFERROR(IF('קיזוזים בגין איחורים'!E53=0,0,1),0))</f>
        <v>0</v>
      </c>
      <c r="K53" s="326">
        <f t="shared" ca="1" si="5"/>
        <v>0</v>
      </c>
      <c r="L53" s="326">
        <f t="shared" ca="1" si="0"/>
        <v>0</v>
      </c>
    </row>
    <row r="54" spans="2:12" x14ac:dyDescent="0.35">
      <c r="B54" s="341">
        <f t="shared" ca="1" si="1"/>
        <v>24</v>
      </c>
      <c r="C54" s="331" t="str">
        <f ca="1">'קיזוזים בגין איחורים'!C54</f>
        <v>האיגוד העולמי למדעי היהדות</v>
      </c>
      <c r="D54" s="332">
        <f ca="1">'קיזוזים בגין איחורים'!H54</f>
        <v>64574.256854550913</v>
      </c>
      <c r="E54" s="333"/>
      <c r="F54" s="335">
        <f t="shared" ca="1" si="2"/>
        <v>64574.256854550913</v>
      </c>
      <c r="G54" s="335">
        <f t="shared" ca="1" si="3"/>
        <v>64574.256854550913</v>
      </c>
      <c r="I54" s="326">
        <f t="shared" ca="1" si="4"/>
        <v>0</v>
      </c>
      <c r="J54" s="326">
        <f ca="1">IF($C54="","",IFERROR(IF('קיזוזים בגין איחורים'!E54=0,0,1),0))</f>
        <v>0</v>
      </c>
      <c r="K54" s="326">
        <f t="shared" ca="1" si="5"/>
        <v>0</v>
      </c>
      <c r="L54" s="326">
        <f t="shared" ca="1" si="0"/>
        <v>0</v>
      </c>
    </row>
    <row r="55" spans="2:12" x14ac:dyDescent="0.35">
      <c r="B55" s="341" t="str">
        <f t="shared" ca="1" si="1"/>
        <v/>
      </c>
      <c r="C55" s="331" t="str">
        <f ca="1">'קיזוזים בגין איחורים'!C55</f>
        <v/>
      </c>
      <c r="D55" s="332" t="str">
        <f ca="1">'קיזוזים בגין איחורים'!H55</f>
        <v/>
      </c>
      <c r="E55" s="333"/>
      <c r="F55" s="335" t="str">
        <f t="shared" ca="1" si="2"/>
        <v/>
      </c>
      <c r="G55" s="335" t="str">
        <f t="shared" ca="1" si="3"/>
        <v/>
      </c>
      <c r="I55" s="326" t="str">
        <f t="shared" ca="1" si="4"/>
        <v/>
      </c>
      <c r="J55" s="326" t="str">
        <f ca="1">IF($C55="","",IFERROR(IF('קיזוזים בגין איחורים'!E55=0,0,1),0))</f>
        <v/>
      </c>
      <c r="K55" s="326" t="str">
        <f t="shared" ca="1" si="5"/>
        <v/>
      </c>
      <c r="L55" s="326" t="str">
        <f t="shared" ca="1" si="0"/>
        <v/>
      </c>
    </row>
    <row r="56" spans="2:12" x14ac:dyDescent="0.35">
      <c r="B56" s="341" t="str">
        <f t="shared" ca="1" si="1"/>
        <v/>
      </c>
      <c r="C56" s="331" t="str">
        <f ca="1">'קיזוזים בגין איחורים'!C56</f>
        <v/>
      </c>
      <c r="D56" s="332" t="str">
        <f ca="1">'קיזוזים בגין איחורים'!H56</f>
        <v/>
      </c>
      <c r="E56" s="333"/>
      <c r="F56" s="335" t="str">
        <f t="shared" ca="1" si="2"/>
        <v/>
      </c>
      <c r="G56" s="335" t="str">
        <f t="shared" ca="1" si="3"/>
        <v/>
      </c>
      <c r="I56" s="326" t="str">
        <f t="shared" ca="1" si="4"/>
        <v/>
      </c>
      <c r="J56" s="326" t="str">
        <f ca="1">IF($C56="","",IFERROR(IF('קיזוזים בגין איחורים'!E56=0,0,1),0))</f>
        <v/>
      </c>
      <c r="K56" s="326" t="str">
        <f t="shared" ca="1" si="5"/>
        <v/>
      </c>
      <c r="L56" s="326" t="str">
        <f t="shared" ca="1" si="0"/>
        <v/>
      </c>
    </row>
    <row r="57" spans="2:12" x14ac:dyDescent="0.35">
      <c r="B57" s="341" t="str">
        <f t="shared" ca="1" si="1"/>
        <v/>
      </c>
      <c r="C57" s="331" t="str">
        <f ca="1">'קיזוזים בגין איחורים'!C57</f>
        <v/>
      </c>
      <c r="D57" s="332" t="str">
        <f ca="1">'קיזוזים בגין איחורים'!H57</f>
        <v/>
      </c>
      <c r="E57" s="333"/>
      <c r="F57" s="335" t="str">
        <f t="shared" ca="1" si="2"/>
        <v/>
      </c>
      <c r="G57" s="335" t="str">
        <f t="shared" ca="1" si="3"/>
        <v/>
      </c>
      <c r="I57" s="326" t="str">
        <f t="shared" ca="1" si="4"/>
        <v/>
      </c>
      <c r="J57" s="326" t="str">
        <f ca="1">IF($C57="","",IFERROR(IF('קיזוזים בגין איחורים'!E57=0,0,1),0))</f>
        <v/>
      </c>
      <c r="K57" s="326" t="str">
        <f t="shared" ca="1" si="5"/>
        <v/>
      </c>
      <c r="L57" s="326" t="str">
        <f t="shared" ca="1" si="0"/>
        <v/>
      </c>
    </row>
    <row r="58" spans="2:12" x14ac:dyDescent="0.35">
      <c r="B58" s="341" t="str">
        <f t="shared" ca="1" si="1"/>
        <v/>
      </c>
      <c r="C58" s="331" t="str">
        <f ca="1">'קיזוזים בגין איחורים'!C58</f>
        <v/>
      </c>
      <c r="D58" s="332" t="str">
        <f ca="1">'קיזוזים בגין איחורים'!H58</f>
        <v/>
      </c>
      <c r="E58" s="333"/>
      <c r="F58" s="335" t="str">
        <f t="shared" ca="1" si="2"/>
        <v/>
      </c>
      <c r="G58" s="335" t="str">
        <f t="shared" ca="1" si="3"/>
        <v/>
      </c>
      <c r="I58" s="326" t="str">
        <f t="shared" ca="1" si="4"/>
        <v/>
      </c>
      <c r="J58" s="326" t="str">
        <f ca="1">IF($C58="","",IFERROR(IF('קיזוזים בגין איחורים'!E58=0,0,1),0))</f>
        <v/>
      </c>
      <c r="K58" s="326" t="str">
        <f t="shared" ca="1" si="5"/>
        <v/>
      </c>
      <c r="L58" s="326" t="str">
        <f t="shared" ca="1" si="0"/>
        <v/>
      </c>
    </row>
    <row r="59" spans="2:12" x14ac:dyDescent="0.35">
      <c r="B59" s="341">
        <f t="shared" ca="1" si="1"/>
        <v>29</v>
      </c>
      <c r="C59" s="331" t="str">
        <f ca="1">'קיזוזים בגין איחורים'!C59</f>
        <v>גופא (נתיב האומן )</v>
      </c>
      <c r="D59" s="332">
        <f ca="1">'קיזוזים בגין איחורים'!H59</f>
        <v>44776.872485815889</v>
      </c>
      <c r="E59" s="333"/>
      <c r="F59" s="335">
        <f t="shared" ca="1" si="2"/>
        <v>44776.872485815889</v>
      </c>
      <c r="G59" s="335">
        <f t="shared" ca="1" si="3"/>
        <v>44776.872485815889</v>
      </c>
      <c r="I59" s="326">
        <f t="shared" ca="1" si="4"/>
        <v>0</v>
      </c>
      <c r="J59" s="326">
        <f ca="1">IF($C59="","",IFERROR(IF('קיזוזים בגין איחורים'!E59=0,0,1),0))</f>
        <v>0</v>
      </c>
      <c r="K59" s="326">
        <f t="shared" ca="1" si="5"/>
        <v>0</v>
      </c>
      <c r="L59" s="326">
        <f t="shared" ca="1" si="0"/>
        <v>0</v>
      </c>
    </row>
    <row r="60" spans="2:12" x14ac:dyDescent="0.35">
      <c r="B60" s="341">
        <f t="shared" ca="1" si="1"/>
        <v>30</v>
      </c>
      <c r="C60" s="331" t="str">
        <f ca="1">'קיזוזים בגין איחורים'!C60</f>
        <v>ערב רב (בר קיימא)</v>
      </c>
      <c r="D60" s="332">
        <f ca="1">'קיזוזים בגין איחורים'!H60</f>
        <v>65881.953579386216</v>
      </c>
      <c r="E60" s="333"/>
      <c r="F60" s="335">
        <f t="shared" ca="1" si="2"/>
        <v>65881.953579386216</v>
      </c>
      <c r="G60" s="335">
        <f t="shared" ca="1" si="3"/>
        <v>65881.953579386216</v>
      </c>
      <c r="I60" s="326">
        <f t="shared" ca="1" si="4"/>
        <v>0</v>
      </c>
      <c r="J60" s="326">
        <f ca="1">IF($C60="","",IFERROR(IF('קיזוזים בגין איחורים'!E60=0,0,1),0))</f>
        <v>0</v>
      </c>
      <c r="K60" s="326">
        <f t="shared" ca="1" si="5"/>
        <v>0</v>
      </c>
      <c r="L60" s="326">
        <f t="shared" ca="1" si="0"/>
        <v>0</v>
      </c>
    </row>
    <row r="61" spans="2:12" x14ac:dyDescent="0.35">
      <c r="B61" s="341" t="str">
        <f t="shared" ca="1" si="1"/>
        <v/>
      </c>
      <c r="C61" s="331" t="str">
        <f ca="1">'קיזוזים בגין איחורים'!C61</f>
        <v/>
      </c>
      <c r="D61" s="332" t="str">
        <f ca="1">'קיזוזים בגין איחורים'!H61</f>
        <v/>
      </c>
      <c r="E61" s="333"/>
      <c r="F61" s="335" t="str">
        <f t="shared" ca="1" si="2"/>
        <v/>
      </c>
      <c r="G61" s="335" t="str">
        <f t="shared" ca="1" si="3"/>
        <v/>
      </c>
      <c r="I61" s="326" t="str">
        <f t="shared" ca="1" si="4"/>
        <v/>
      </c>
      <c r="J61" s="326" t="str">
        <f ca="1">IF($C61="","",IFERROR(IF('קיזוזים בגין איחורים'!E61=0,0,1),0))</f>
        <v/>
      </c>
      <c r="K61" s="326" t="str">
        <f t="shared" ca="1" si="5"/>
        <v/>
      </c>
      <c r="L61" s="326" t="str">
        <f t="shared" ca="1" si="0"/>
        <v/>
      </c>
    </row>
    <row r="62" spans="2:12" x14ac:dyDescent="0.35">
      <c r="B62" s="341">
        <f t="shared" ca="1" si="1"/>
        <v>32</v>
      </c>
      <c r="C62" s="331" t="str">
        <f ca="1">'קיזוזים בגין איחורים'!C62</f>
        <v>מעלה</v>
      </c>
      <c r="D62" s="332">
        <f ca="1">'קיזוזים בגין איחורים'!H62</f>
        <v>120113.02039153693</v>
      </c>
      <c r="E62" s="333"/>
      <c r="F62" s="335">
        <f t="shared" ca="1" si="2"/>
        <v>120113.02039153693</v>
      </c>
      <c r="G62" s="335">
        <f t="shared" ca="1" si="3"/>
        <v>120113.02039153693</v>
      </c>
      <c r="I62" s="326">
        <f t="shared" ca="1" si="4"/>
        <v>0</v>
      </c>
      <c r="J62" s="326">
        <f ca="1">IF($C62="","",IFERROR(IF('קיזוזים בגין איחורים'!E62=0,0,1),0))</f>
        <v>0</v>
      </c>
      <c r="K62" s="326">
        <f t="shared" ca="1" si="5"/>
        <v>0</v>
      </c>
      <c r="L62" s="326">
        <f t="shared" ca="1" si="0"/>
        <v>0</v>
      </c>
    </row>
    <row r="63" spans="2:12" x14ac:dyDescent="0.35">
      <c r="B63" s="341" t="str">
        <f t="shared" ca="1" si="1"/>
        <v/>
      </c>
      <c r="C63" s="331" t="str">
        <f ca="1">'קיזוזים בגין איחורים'!C63</f>
        <v/>
      </c>
      <c r="D63" s="332" t="str">
        <f ca="1">'קיזוזים בגין איחורים'!H63</f>
        <v/>
      </c>
      <c r="E63" s="333"/>
      <c r="F63" s="335" t="str">
        <f t="shared" ca="1" si="2"/>
        <v/>
      </c>
      <c r="G63" s="335" t="str">
        <f t="shared" ca="1" si="3"/>
        <v/>
      </c>
      <c r="I63" s="326" t="str">
        <f t="shared" ca="1" si="4"/>
        <v/>
      </c>
      <c r="J63" s="326" t="str">
        <f ca="1">IF($C63="","",IFERROR(IF('קיזוזים בגין איחורים'!E63=0,0,1),0))</f>
        <v/>
      </c>
      <c r="K63" s="326" t="str">
        <f t="shared" ca="1" si="5"/>
        <v/>
      </c>
      <c r="L63" s="326" t="str">
        <f t="shared" ca="1" si="0"/>
        <v/>
      </c>
    </row>
    <row r="64" spans="2:12" x14ac:dyDescent="0.35">
      <c r="B64" s="341">
        <f t="shared" ca="1" si="1"/>
        <v>34</v>
      </c>
      <c r="C64" s="331" t="str">
        <f ca="1">'קיזוזים בגין איחורים'!C64</f>
        <v>כתב עת ירושלמי</v>
      </c>
      <c r="D64" s="332">
        <f ca="1">'קיזוזים בגין איחורים'!H64</f>
        <v>59854.236223549698</v>
      </c>
      <c r="E64" s="333"/>
      <c r="F64" s="335">
        <f t="shared" ca="1" si="2"/>
        <v>59854.236223549698</v>
      </c>
      <c r="G64" s="335">
        <f t="shared" ca="1" si="3"/>
        <v>59854.236223549698</v>
      </c>
      <c r="I64" s="326">
        <f t="shared" ca="1" si="4"/>
        <v>0</v>
      </c>
      <c r="J64" s="326">
        <f ca="1">IF($C64="","",IFERROR(IF('קיזוזים בגין איחורים'!E64=0,0,1),0))</f>
        <v>0</v>
      </c>
      <c r="K64" s="326">
        <f t="shared" ca="1" si="5"/>
        <v>0</v>
      </c>
      <c r="L64" s="326">
        <f t="shared" ca="1" si="0"/>
        <v>0</v>
      </c>
    </row>
    <row r="65" spans="2:12" x14ac:dyDescent="0.35">
      <c r="B65" s="341" t="str">
        <f t="shared" ca="1" si="1"/>
        <v/>
      </c>
      <c r="C65" s="331" t="str">
        <f ca="1">'קיזוזים בגין איחורים'!C65</f>
        <v/>
      </c>
      <c r="D65" s="332" t="str">
        <f ca="1">'קיזוזים בגין איחורים'!H65</f>
        <v/>
      </c>
      <c r="E65" s="333"/>
      <c r="F65" s="335" t="str">
        <f t="shared" ca="1" si="2"/>
        <v/>
      </c>
      <c r="G65" s="335" t="str">
        <f t="shared" ca="1" si="3"/>
        <v/>
      </c>
      <c r="I65" s="326" t="str">
        <f t="shared" ca="1" si="4"/>
        <v/>
      </c>
      <c r="J65" s="326" t="str">
        <f ca="1">IF($C65="","",IFERROR(IF('קיזוזים בגין איחורים'!E65=0,0,1),0))</f>
        <v/>
      </c>
      <c r="K65" s="326" t="str">
        <f t="shared" ca="1" si="5"/>
        <v/>
      </c>
      <c r="L65" s="326" t="str">
        <f t="shared" ca="1" si="0"/>
        <v/>
      </c>
    </row>
    <row r="66" spans="2:12" x14ac:dyDescent="0.35">
      <c r="B66" s="341">
        <f t="shared" ca="1" si="1"/>
        <v>36</v>
      </c>
      <c r="C66" s="331" t="str">
        <f ca="1">'קיזוזים בגין איחורים'!C66</f>
        <v>העמותה ליצירה פנטסטית- אוטופיה</v>
      </c>
      <c r="D66" s="332">
        <f ca="1">'קיזוזים בגין איחורים'!H66</f>
        <v>75197.68799256481</v>
      </c>
      <c r="E66" s="333"/>
      <c r="F66" s="335">
        <f t="shared" ca="1" si="2"/>
        <v>75197.68799256481</v>
      </c>
      <c r="G66" s="335">
        <f t="shared" ca="1" si="3"/>
        <v>75197.68799256481</v>
      </c>
      <c r="I66" s="326">
        <f t="shared" ca="1" si="4"/>
        <v>0</v>
      </c>
      <c r="J66" s="326">
        <f ca="1">IF($C66="","",IFERROR(IF('קיזוזים בגין איחורים'!E66=0,0,1),0))</f>
        <v>0</v>
      </c>
      <c r="K66" s="326">
        <f t="shared" ca="1" si="5"/>
        <v>0</v>
      </c>
      <c r="L66" s="326">
        <f t="shared" ca="1" si="0"/>
        <v>0</v>
      </c>
    </row>
    <row r="67" spans="2:12" x14ac:dyDescent="0.35">
      <c r="B67" s="341" t="str">
        <f t="shared" ca="1" si="1"/>
        <v/>
      </c>
      <c r="C67" s="331" t="str">
        <f ca="1">'קיזוזים בגין איחורים'!C67</f>
        <v/>
      </c>
      <c r="D67" s="332" t="str">
        <f ca="1">'קיזוזים בגין איחורים'!H67</f>
        <v/>
      </c>
      <c r="E67" s="333"/>
      <c r="F67" s="335" t="str">
        <f t="shared" ca="1" si="2"/>
        <v/>
      </c>
      <c r="G67" s="335" t="str">
        <f t="shared" ca="1" si="3"/>
        <v/>
      </c>
      <c r="I67" s="326" t="str">
        <f t="shared" ca="1" si="4"/>
        <v/>
      </c>
      <c r="J67" s="326" t="str">
        <f ca="1">IF($C67="","",IFERROR(IF('קיזוזים בגין איחורים'!E67=0,0,1),0))</f>
        <v/>
      </c>
      <c r="K67" s="326" t="str">
        <f t="shared" ca="1" si="5"/>
        <v/>
      </c>
      <c r="L67" s="326" t="str">
        <f t="shared" ca="1" si="0"/>
        <v/>
      </c>
    </row>
    <row r="68" spans="2:12" x14ac:dyDescent="0.35">
      <c r="B68" s="341" t="str">
        <f t="shared" ca="1" si="1"/>
        <v/>
      </c>
      <c r="C68" s="331" t="str">
        <f ca="1">'קיזוזים בגין איחורים'!C68</f>
        <v/>
      </c>
      <c r="D68" s="332" t="str">
        <f ca="1">'קיזוזים בגין איחורים'!H68</f>
        <v/>
      </c>
      <c r="E68" s="333"/>
      <c r="F68" s="335" t="str">
        <f t="shared" ca="1" si="2"/>
        <v/>
      </c>
      <c r="G68" s="335" t="str">
        <f t="shared" ca="1" si="3"/>
        <v/>
      </c>
      <c r="I68" s="326" t="str">
        <f t="shared" ca="1" si="4"/>
        <v/>
      </c>
      <c r="J68" s="326" t="str">
        <f ca="1">IF($C68="","",IFERROR(IF('קיזוזים בגין איחורים'!E68=0,0,1),0))</f>
        <v/>
      </c>
      <c r="K68" s="326" t="str">
        <f t="shared" ca="1" si="5"/>
        <v/>
      </c>
      <c r="L68" s="326" t="str">
        <f t="shared" ca="1" si="0"/>
        <v/>
      </c>
    </row>
    <row r="69" spans="2:12" x14ac:dyDescent="0.35">
      <c r="B69" s="341" t="str">
        <f t="shared" ca="1" si="1"/>
        <v/>
      </c>
      <c r="C69" s="331" t="str">
        <f ca="1">'קיזוזים בגין איחורים'!C69</f>
        <v/>
      </c>
      <c r="D69" s="332" t="str">
        <f ca="1">'קיזוזים בגין איחורים'!H69</f>
        <v/>
      </c>
      <c r="E69" s="333"/>
      <c r="F69" s="335" t="str">
        <f t="shared" ca="1" si="2"/>
        <v/>
      </c>
      <c r="G69" s="335" t="str">
        <f t="shared" ca="1" si="3"/>
        <v/>
      </c>
      <c r="I69" s="326" t="str">
        <f t="shared" ca="1" si="4"/>
        <v/>
      </c>
      <c r="J69" s="326" t="str">
        <f ca="1">IF($C69="","",IFERROR(IF('קיזוזים בגין איחורים'!E69=0,0,1),0))</f>
        <v/>
      </c>
      <c r="K69" s="326" t="str">
        <f t="shared" ca="1" si="5"/>
        <v/>
      </c>
      <c r="L69" s="326" t="str">
        <f t="shared" ca="1" si="0"/>
        <v/>
      </c>
    </row>
    <row r="70" spans="2:12" ht="21.75" thickBot="1" x14ac:dyDescent="0.4">
      <c r="B70" s="341" t="str">
        <f t="shared" ca="1" si="1"/>
        <v/>
      </c>
      <c r="C70" s="331" t="str">
        <f ca="1">'קיזוזים בגין איחורים'!C70</f>
        <v/>
      </c>
      <c r="D70" s="332" t="str">
        <f ca="1">'קיזוזים בגין איחורים'!H70</f>
        <v/>
      </c>
      <c r="E70" s="333"/>
      <c r="F70" s="335" t="str">
        <f t="shared" ca="1" si="2"/>
        <v/>
      </c>
      <c r="G70" s="335" t="str">
        <f t="shared" ca="1" si="3"/>
        <v/>
      </c>
      <c r="I70" s="326" t="str">
        <f t="shared" ca="1" si="4"/>
        <v/>
      </c>
      <c r="J70" s="326" t="str">
        <f ca="1">IF($C70="","",IFERROR(IF('קיזוזים בגין איחורים'!E70=0,0,1),0))</f>
        <v/>
      </c>
      <c r="K70" s="326" t="str">
        <f t="shared" ca="1" si="5"/>
        <v/>
      </c>
      <c r="L70" s="326" t="str">
        <f t="shared" ca="1" si="0"/>
        <v/>
      </c>
    </row>
    <row r="71" spans="2:12" ht="21.75" thickBot="1" x14ac:dyDescent="0.4">
      <c r="B71" s="688" t="s">
        <v>54</v>
      </c>
      <c r="C71" s="689"/>
      <c r="D71" s="337">
        <f ca="1">SUM(D31:D70)</f>
        <v>1906914</v>
      </c>
      <c r="E71" s="337">
        <f>SUM(E31:E70)</f>
        <v>0</v>
      </c>
      <c r="F71" s="337">
        <f ca="1">SUM(F31:F70)</f>
        <v>1906914</v>
      </c>
      <c r="G71" s="337">
        <f ca="1">SUM(G31:G70)</f>
        <v>1906914</v>
      </c>
    </row>
  </sheetData>
  <sheetProtection algorithmName="SHA-512" hashValue="eU8Vjmyrn39j/jUri9KAqLcdKzVrBpe+aDrIxpmMiHNlzAahfY8BFI3lOXXkqWozWzFSxX4SRWX7CCS433lCGA==" saltValue="QdPuDIUSlgZnxt/8lO3tyA==" spinCount="100000" sheet="1" scenarios="1" formatColumns="0" formatRows="0"/>
  <mergeCells count="12">
    <mergeCell ref="I29:I30"/>
    <mergeCell ref="J29:J30"/>
    <mergeCell ref="K29:K30"/>
    <mergeCell ref="L29:L30"/>
    <mergeCell ref="B71:C71"/>
    <mergeCell ref="B28:G28"/>
    <mergeCell ref="B29:B30"/>
    <mergeCell ref="C29:C30"/>
    <mergeCell ref="D29:D30"/>
    <mergeCell ref="E29:E30"/>
    <mergeCell ref="F29:F30"/>
    <mergeCell ref="G29:G30"/>
  </mergeCells>
  <conditionalFormatting sqref="B31:D70">
    <cfRule type="containsBlanks" dxfId="987" priority="10">
      <formula>LEN(TRIM(B31))=0</formula>
    </cfRule>
  </conditionalFormatting>
  <conditionalFormatting sqref="C1:C2">
    <cfRule type="containsBlanks" dxfId="986" priority="1">
      <formula>LEN(TRIM(C1))=0</formula>
    </cfRule>
  </conditionalFormatting>
  <conditionalFormatting sqref="E31:E70">
    <cfRule type="expression" dxfId="985" priority="3">
      <formula>AND($C31="",E31&lt;&gt;"")</formula>
    </cfRule>
    <cfRule type="expression" dxfId="984" priority="4">
      <formula>$C31&lt;&gt;""</formula>
    </cfRule>
  </conditionalFormatting>
  <conditionalFormatting sqref="F31:G70">
    <cfRule type="containsBlanks" dxfId="983" priority="5">
      <formula>LEN(TRIM(F31))=0</formula>
    </cfRule>
  </conditionalFormatting>
  <printOptions horizontalCentered="1"/>
  <pageMargins left="0.51181102362204722" right="0.51181102362204722" top="0.74803149606299213" bottom="0.74803149606299213" header="0.31496062992125984" footer="0.31496062992125984"/>
  <pageSetup paperSize="9" scale="85" fitToHeight="0" orientation="portrait" horizontalDpi="1200" verticalDpi="1200" r:id="rId1"/>
  <headerFooter>
    <oddHeader>&amp;C&amp;"-,מודגש"&amp;Uמבחנים לתמיכה של משרד התרבות והספורט</oddHeader>
    <oddFooter>&amp;Lא. חפץ ושות'
יעוץ כלכלי&amp;C&amp;P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גיליון11">
    <tabColor theme="8" tint="-0.249977111117893"/>
    <pageSetUpPr fitToPage="1"/>
  </sheetPr>
  <dimension ref="A1:W71"/>
  <sheetViews>
    <sheetView rightToLeft="1" view="pageBreakPreview" zoomScale="85" zoomScaleNormal="100" zoomScaleSheetLayoutView="85" workbookViewId="0">
      <pane xSplit="2" ySplit="30" topLeftCell="C31" activePane="bottomRight" state="frozen"/>
      <selection pane="topRight" activeCell="H39" sqref="H39"/>
      <selection pane="bottomLeft" activeCell="H39" sqref="H39"/>
      <selection pane="bottomRight" activeCell="C31" sqref="C31"/>
    </sheetView>
  </sheetViews>
  <sheetFormatPr defaultColWidth="9.140625" defaultRowHeight="15.75" x14ac:dyDescent="0.25"/>
  <cols>
    <col min="1" max="1" width="14.85546875" style="288" customWidth="1"/>
    <col min="2" max="2" width="39.28515625" style="288" customWidth="1"/>
    <col min="3" max="3" width="18.5703125" style="288" customWidth="1"/>
    <col min="4" max="4" width="19.140625" style="288" customWidth="1"/>
    <col min="5" max="5" width="25.85546875" style="288" customWidth="1"/>
    <col min="6" max="6" width="16.85546875" style="288" customWidth="1"/>
    <col min="7" max="7" width="17.28515625" style="288" customWidth="1"/>
    <col min="8" max="8" width="20" style="288" customWidth="1"/>
    <col min="9" max="9" width="21.85546875" style="288" customWidth="1"/>
    <col min="10" max="21" width="27.42578125" style="288" hidden="1" customWidth="1"/>
    <col min="22" max="22" width="22" style="288" customWidth="1"/>
    <col min="23" max="23" width="16.28515625" style="288" customWidth="1"/>
    <col min="24" max="16384" width="9.140625" style="288"/>
  </cols>
  <sheetData>
    <row r="1" spans="1:4" ht="18.75" x14ac:dyDescent="0.25">
      <c r="A1" s="312" t="str">
        <f>פרמטרים!$B$1</f>
        <v>שנת התקציב</v>
      </c>
      <c r="B1" s="270">
        <f>פרמטרים!$C$1</f>
        <v>2025</v>
      </c>
      <c r="C1" s="287"/>
      <c r="D1" s="287"/>
    </row>
    <row r="2" spans="1:4" ht="19.5" thickBot="1" x14ac:dyDescent="0.3">
      <c r="A2" s="272" t="str">
        <f>פרמטרים!$B$2</f>
        <v>תקציב</v>
      </c>
      <c r="B2" s="273">
        <f>פרמטרים!$C$2</f>
        <v>1906914</v>
      </c>
      <c r="C2" s="289"/>
      <c r="D2" s="289"/>
    </row>
    <row r="3" spans="1:4" x14ac:dyDescent="0.25">
      <c r="A3" s="290"/>
      <c r="B3" s="290"/>
      <c r="C3" s="289"/>
      <c r="D3" s="289"/>
    </row>
    <row r="4" spans="1:4" hidden="1" x14ac:dyDescent="0.25">
      <c r="A4" s="290"/>
      <c r="B4" s="290"/>
      <c r="C4" s="289"/>
      <c r="D4" s="289"/>
    </row>
    <row r="5" spans="1:4" hidden="1" x14ac:dyDescent="0.25">
      <c r="A5" s="290"/>
      <c r="B5" s="290"/>
      <c r="C5" s="289"/>
      <c r="D5" s="289"/>
    </row>
    <row r="6" spans="1:4" hidden="1" x14ac:dyDescent="0.25">
      <c r="A6" s="290"/>
      <c r="B6" s="290"/>
      <c r="C6" s="289"/>
      <c r="D6" s="289"/>
    </row>
    <row r="7" spans="1:4" hidden="1" x14ac:dyDescent="0.25">
      <c r="A7" s="290"/>
      <c r="B7" s="290"/>
      <c r="C7" s="289"/>
      <c r="D7" s="289"/>
    </row>
    <row r="8" spans="1:4" hidden="1" x14ac:dyDescent="0.25">
      <c r="A8" s="290"/>
      <c r="B8" s="290"/>
      <c r="C8" s="289"/>
      <c r="D8" s="289"/>
    </row>
    <row r="9" spans="1:4" hidden="1" x14ac:dyDescent="0.25">
      <c r="A9" s="290"/>
      <c r="B9" s="290"/>
      <c r="C9" s="289"/>
      <c r="D9" s="289"/>
    </row>
    <row r="10" spans="1:4" hidden="1" x14ac:dyDescent="0.25">
      <c r="A10" s="290"/>
      <c r="B10" s="290"/>
      <c r="C10" s="289"/>
      <c r="D10" s="289"/>
    </row>
    <row r="11" spans="1:4" hidden="1" x14ac:dyDescent="0.25">
      <c r="A11" s="290"/>
      <c r="B11" s="290"/>
      <c r="C11" s="289"/>
      <c r="D11" s="289"/>
    </row>
    <row r="12" spans="1:4" hidden="1" x14ac:dyDescent="0.25">
      <c r="A12" s="290"/>
      <c r="B12" s="290"/>
      <c r="C12" s="289"/>
      <c r="D12" s="289"/>
    </row>
    <row r="13" spans="1:4" hidden="1" x14ac:dyDescent="0.25">
      <c r="A13" s="290"/>
      <c r="B13" s="290"/>
      <c r="C13" s="289"/>
      <c r="D13" s="289"/>
    </row>
    <row r="14" spans="1:4" hidden="1" x14ac:dyDescent="0.25">
      <c r="A14" s="290"/>
      <c r="B14" s="290"/>
      <c r="C14" s="289"/>
      <c r="D14" s="289"/>
    </row>
    <row r="15" spans="1:4" hidden="1" x14ac:dyDescent="0.25">
      <c r="A15" s="290"/>
      <c r="B15" s="290"/>
      <c r="C15" s="289"/>
      <c r="D15" s="289"/>
    </row>
    <row r="16" spans="1:4" hidden="1" x14ac:dyDescent="0.25">
      <c r="A16" s="290"/>
      <c r="B16" s="290"/>
      <c r="C16" s="289"/>
      <c r="D16" s="289"/>
    </row>
    <row r="17" spans="1:23" hidden="1" x14ac:dyDescent="0.25">
      <c r="A17" s="290"/>
      <c r="B17" s="290"/>
      <c r="C17" s="289"/>
      <c r="D17" s="289"/>
    </row>
    <row r="18" spans="1:23" hidden="1" x14ac:dyDescent="0.25">
      <c r="A18" s="290"/>
      <c r="B18" s="290"/>
      <c r="C18" s="289"/>
      <c r="D18" s="289"/>
    </row>
    <row r="19" spans="1:23" hidden="1" x14ac:dyDescent="0.25">
      <c r="A19" s="290"/>
      <c r="B19" s="290"/>
      <c r="C19" s="289"/>
      <c r="D19" s="289"/>
    </row>
    <row r="20" spans="1:23" hidden="1" x14ac:dyDescent="0.25">
      <c r="A20" s="290"/>
      <c r="B20" s="290"/>
      <c r="C20" s="289"/>
      <c r="D20" s="289"/>
    </row>
    <row r="21" spans="1:23" hidden="1" x14ac:dyDescent="0.25">
      <c r="A21" s="290"/>
      <c r="B21" s="290"/>
      <c r="C21" s="289"/>
      <c r="D21" s="289"/>
    </row>
    <row r="22" spans="1:23" hidden="1" x14ac:dyDescent="0.25">
      <c r="A22" s="290"/>
      <c r="B22" s="290"/>
      <c r="C22" s="289"/>
      <c r="D22" s="289"/>
    </row>
    <row r="23" spans="1:23" hidden="1" x14ac:dyDescent="0.25">
      <c r="A23" s="290"/>
      <c r="B23" s="290"/>
      <c r="C23" s="289"/>
      <c r="D23" s="289"/>
    </row>
    <row r="24" spans="1:23" hidden="1" x14ac:dyDescent="0.25">
      <c r="A24" s="290"/>
      <c r="B24" s="290"/>
      <c r="C24" s="289"/>
      <c r="D24" s="289"/>
    </row>
    <row r="25" spans="1:23" hidden="1" x14ac:dyDescent="0.25">
      <c r="A25" s="290"/>
      <c r="B25" s="290"/>
      <c r="C25" s="289"/>
      <c r="D25" s="289"/>
    </row>
    <row r="26" spans="1:23" hidden="1" x14ac:dyDescent="0.25">
      <c r="A26" s="290"/>
      <c r="B26" s="290"/>
      <c r="C26" s="289"/>
      <c r="D26" s="289"/>
    </row>
    <row r="27" spans="1:23" ht="16.5" thickBot="1" x14ac:dyDescent="0.3">
      <c r="A27" s="290"/>
      <c r="B27" s="290"/>
      <c r="C27" s="289"/>
      <c r="D27" s="289"/>
    </row>
    <row r="28" spans="1:23" ht="19.5" thickBot="1" x14ac:dyDescent="0.3">
      <c r="A28" s="698" t="str">
        <f ca="1">MID(CELL("filename",A30),FIND("]",CELL("filename",B29),1)+1,99)</f>
        <v>הגבלה לסכום מבוקש (2)</v>
      </c>
      <c r="B28" s="699"/>
      <c r="C28" s="699"/>
      <c r="D28" s="699"/>
      <c r="E28" s="699"/>
      <c r="F28" s="699"/>
      <c r="G28" s="699"/>
      <c r="H28" s="699"/>
      <c r="I28" s="699"/>
      <c r="J28" s="699"/>
      <c r="K28" s="699"/>
      <c r="L28" s="699"/>
      <c r="M28" s="699"/>
      <c r="N28" s="699"/>
      <c r="O28" s="699"/>
      <c r="P28" s="699"/>
      <c r="Q28" s="699"/>
      <c r="R28" s="699"/>
      <c r="S28" s="699"/>
      <c r="T28" s="699"/>
      <c r="U28" s="699"/>
      <c r="V28" s="699"/>
      <c r="W28" s="700"/>
    </row>
    <row r="29" spans="1:23" s="292" customFormat="1" ht="19.5" customHeight="1" x14ac:dyDescent="0.25">
      <c r="A29" s="673" t="s">
        <v>102</v>
      </c>
      <c r="B29" s="675" t="s">
        <v>103</v>
      </c>
      <c r="C29" s="694" t="s">
        <v>244</v>
      </c>
      <c r="D29" s="694" t="s">
        <v>277</v>
      </c>
      <c r="E29" s="694" t="s">
        <v>278</v>
      </c>
      <c r="F29" s="694" t="s">
        <v>245</v>
      </c>
      <c r="G29" s="694" t="s">
        <v>246</v>
      </c>
      <c r="H29" s="694" t="s">
        <v>247</v>
      </c>
      <c r="I29" s="694" t="s">
        <v>279</v>
      </c>
      <c r="J29" s="291"/>
      <c r="K29" s="291"/>
      <c r="L29" s="291"/>
      <c r="M29" s="291"/>
      <c r="N29" s="291"/>
      <c r="O29" s="291"/>
      <c r="P29" s="291"/>
      <c r="Q29" s="291"/>
      <c r="R29" s="291"/>
      <c r="S29" s="291"/>
      <c r="T29" s="291"/>
      <c r="U29" s="291"/>
      <c r="V29" s="694" t="s">
        <v>280</v>
      </c>
      <c r="W29" s="696" t="s">
        <v>235</v>
      </c>
    </row>
    <row r="30" spans="1:23" s="292" customFormat="1" ht="54" customHeight="1" thickBot="1" x14ac:dyDescent="0.3">
      <c r="A30" s="674"/>
      <c r="B30" s="676"/>
      <c r="C30" s="695"/>
      <c r="D30" s="695"/>
      <c r="E30" s="695"/>
      <c r="F30" s="695"/>
      <c r="G30" s="695"/>
      <c r="H30" s="695"/>
      <c r="I30" s="695"/>
      <c r="J30" s="293" t="s">
        <v>252</v>
      </c>
      <c r="K30" s="293" t="s">
        <v>253</v>
      </c>
      <c r="L30" s="293" t="s">
        <v>254</v>
      </c>
      <c r="M30" s="293" t="s">
        <v>255</v>
      </c>
      <c r="N30" s="293" t="s">
        <v>256</v>
      </c>
      <c r="O30" s="293" t="s">
        <v>257</v>
      </c>
      <c r="P30" s="293" t="s">
        <v>258</v>
      </c>
      <c r="Q30" s="293" t="s">
        <v>259</v>
      </c>
      <c r="R30" s="293" t="s">
        <v>260</v>
      </c>
      <c r="S30" s="293" t="s">
        <v>261</v>
      </c>
      <c r="T30" s="293" t="s">
        <v>262</v>
      </c>
      <c r="U30" s="293" t="s">
        <v>263</v>
      </c>
      <c r="V30" s="695"/>
      <c r="W30" s="697"/>
    </row>
    <row r="31" spans="1:23" s="292" customFormat="1" x14ac:dyDescent="0.25">
      <c r="A31" s="276">
        <f ca="1">IF(B31="","",ROW()-30)</f>
        <v>1</v>
      </c>
      <c r="B31" s="277" t="str">
        <f ca="1">'קיזוזים- החלטות ועדה'!C31</f>
        <v>1280 מעלות (אמנים יוצרים)</v>
      </c>
      <c r="C31" s="294">
        <f ca="1">IF($B31="","",'הגבלה לסכום מבוקש (1)'!D31)</f>
        <v>100000</v>
      </c>
      <c r="D31" s="294">
        <f ca="1">IF($B31="","",'קיזוזים בגין איחורים'!F31+'קיזוזים- החלטות ועדה'!E31)</f>
        <v>0</v>
      </c>
      <c r="E31" s="294">
        <f ca="1">IF($B31="","",C31-D31)</f>
        <v>100000</v>
      </c>
      <c r="F31" s="294">
        <f ca="1">'קיזוזים- החלטות ועדה'!G31</f>
        <v>66144.47652798082</v>
      </c>
      <c r="G31" s="502">
        <f ca="1">IF(B31="","",IF(F31&gt;$E31,1,0))</f>
        <v>0</v>
      </c>
      <c r="H31" s="294">
        <f ca="1">IF($B31="","",MIN(E31:F31))</f>
        <v>66144.47652798082</v>
      </c>
      <c r="I31" s="294">
        <f t="shared" ref="I31:I70" ca="1" si="0">IF($B31="","",IF(G31=1,H31,H31/SUMIF(G$31:G$70,0,H$31:H$70)*($B$2-SUMIF(G$31:G$70,1,H$31:H$70))))</f>
        <v>66144.47652798082</v>
      </c>
      <c r="J31" s="295">
        <f ca="1">IF(OR(I31&gt;$E31,$G31=1),1,0)</f>
        <v>0</v>
      </c>
      <c r="K31" s="296">
        <f ca="1">IF($B31="","",MIN(I31,$E31))</f>
        <v>66144.47652798082</v>
      </c>
      <c r="L31" s="296">
        <f t="shared" ref="L31:L70" ca="1" si="1">IF($B31="","",IF(J31=1,K31,K31/SUMIF(J$31:J$70,0,K$31:K$70)*($B$2-SUMIF(J$31:J$70,1,K$31:K$70))))</f>
        <v>66144.47652798082</v>
      </c>
      <c r="M31" s="295">
        <f ca="1">IF(OR(L31&gt;$E31,$G31=1,$J31=1),1,0)</f>
        <v>0</v>
      </c>
      <c r="N31" s="296">
        <f ca="1">IF($B31="","",MIN(L31,$E31))</f>
        <v>66144.47652798082</v>
      </c>
      <c r="O31" s="296">
        <f t="shared" ref="O31:O70" ca="1" si="2">IF($B31="","",IF(M31=1,N31,N31/SUMIF(M$31:M$70,0,N$31:N$70)*($B$2-SUMIF(M$31:M$70,1,N$31:N$70))))</f>
        <v>66144.47652798082</v>
      </c>
      <c r="P31" s="295">
        <f ca="1">IF(OR(O31&gt;$E31,$G31=1,$J31=1,$M31=1),1,0)</f>
        <v>0</v>
      </c>
      <c r="Q31" s="296">
        <f ca="1">IF($B31="","",MIN(O31,$E31))</f>
        <v>66144.47652798082</v>
      </c>
      <c r="R31" s="296">
        <f t="shared" ref="R31:R70" ca="1" si="3">IF($B31="","",IF(P31=2,Q31,IF(P31=1,Q31,Q31/SUMIF(P$31:P$70,0,Q$31:Q$70)*($B$2-SUMIF(P$31:P$70,1,Q$31:Q$70)-SUMIF(P$31:P$70,2,Q$31:Q$70)))))</f>
        <v>66144.47652798082</v>
      </c>
      <c r="S31" s="295">
        <f ca="1">IF(OR(R31&gt;$E31,$G31=1,$J31=1,$M31=1,$P31=1),1,0)</f>
        <v>0</v>
      </c>
      <c r="T31" s="296">
        <f ca="1">IF($B31="","",MIN(R31,$E31))</f>
        <v>66144.47652798082</v>
      </c>
      <c r="U31" s="296">
        <f t="shared" ref="U31:U70" ca="1" si="4">IF($B31="","",IF(S31=2,T31,IF(S31=1,T31,T31/SUMIF(S$31:S$70,0,T$31:T$70)*($B$2-SUMIF(S$31:S$70,1,T$31:T$70)-SUMIF(S$31:S$70,2,T$31:T$70)))))</f>
        <v>66144.47652798082</v>
      </c>
      <c r="V31" s="294">
        <f ca="1">IFERROR(U31,0)</f>
        <v>66144.47652798082</v>
      </c>
      <c r="W31" s="501">
        <f ca="1">IF(E31="","",IFERROR(V31/SUMIF($V$31:$V$70,"&lt;&gt;#DIV/0!"),0))</f>
        <v>3.4686659455004695E-2</v>
      </c>
    </row>
    <row r="32" spans="1:23" s="292" customFormat="1" x14ac:dyDescent="0.25">
      <c r="A32" s="276">
        <f t="shared" ref="A32:A70" ca="1" si="5">IF(B32="","",ROW()-30)</f>
        <v>2</v>
      </c>
      <c r="B32" s="277" t="str">
        <f ca="1">'קיזוזים- החלטות ועדה'!C32</f>
        <v>יהי (אורי צבי גרינברג)</v>
      </c>
      <c r="C32" s="297">
        <f ca="1">IF($B32="","",'הגבלה לסכום מבוקש (1)'!D32)</f>
        <v>150000</v>
      </c>
      <c r="D32" s="294">
        <f ca="1">IF($B32="","",'קיזוזים בגין איחורים'!F32+'קיזוזים- החלטות ועדה'!E32)</f>
        <v>0</v>
      </c>
      <c r="E32" s="297">
        <f t="shared" ref="E32:E70" ca="1" si="6">IF($B32="","",C32-D32)</f>
        <v>150000</v>
      </c>
      <c r="F32" s="294">
        <f ca="1">'קיזוזים- החלטות ועדה'!G32</f>
        <v>55389.564826780625</v>
      </c>
      <c r="G32" s="503">
        <f t="shared" ref="G32:G70" ca="1" si="7">IF(B32="","",IF(F32&gt;$E32,1,0))</f>
        <v>0</v>
      </c>
      <c r="H32" s="297">
        <f t="shared" ref="H32:H70" ca="1" si="8">IF($B32="","",MIN(E32:F32))</f>
        <v>55389.564826780625</v>
      </c>
      <c r="I32" s="297">
        <f t="shared" ca="1" si="0"/>
        <v>55389.564826780625</v>
      </c>
      <c r="J32" s="298">
        <f t="shared" ref="J32:J70" ca="1" si="9">IF(OR(I32&gt;$E32,$G32=1),1,0)</f>
        <v>0</v>
      </c>
      <c r="K32" s="299">
        <f t="shared" ref="K32:K70" ca="1" si="10">IF($B32="","",MIN(I32,$E32))</f>
        <v>55389.564826780625</v>
      </c>
      <c r="L32" s="299">
        <f t="shared" ca="1" si="1"/>
        <v>55389.564826780625</v>
      </c>
      <c r="M32" s="298">
        <f t="shared" ref="M32:M70" ca="1" si="11">IF(OR(L32&gt;$E32,$G32=1,$J32=1),1,0)</f>
        <v>0</v>
      </c>
      <c r="N32" s="299">
        <f t="shared" ref="N32:N70" ca="1" si="12">IF($B32="","",MIN(L32,$E32))</f>
        <v>55389.564826780625</v>
      </c>
      <c r="O32" s="299">
        <f t="shared" ca="1" si="2"/>
        <v>55389.564826780625</v>
      </c>
      <c r="P32" s="298">
        <f t="shared" ref="P32:P70" ca="1" si="13">IF(OR(O32&gt;$E32,$G32=1,$J32=1,$M32=1),1,0)</f>
        <v>0</v>
      </c>
      <c r="Q32" s="299">
        <f t="shared" ref="Q32:Q70" ca="1" si="14">IF($B32="","",MIN(O32,$E32))</f>
        <v>55389.564826780625</v>
      </c>
      <c r="R32" s="299">
        <f t="shared" ca="1" si="3"/>
        <v>55389.564826780625</v>
      </c>
      <c r="S32" s="298">
        <f t="shared" ref="S32:S70" ca="1" si="15">IF(OR(R32&gt;$E32,$G32=1,$J32=1,$M32=1,$P32=1),1,0)</f>
        <v>0</v>
      </c>
      <c r="T32" s="299">
        <f t="shared" ref="T32:T70" ca="1" si="16">IF($B32="","",MIN(R32,$E32))</f>
        <v>55389.564826780625</v>
      </c>
      <c r="U32" s="299">
        <f t="shared" ca="1" si="4"/>
        <v>55389.564826780625</v>
      </c>
      <c r="V32" s="297">
        <f t="shared" ref="V32:V70" ca="1" si="17">IFERROR(U32,0)</f>
        <v>55389.564826780625</v>
      </c>
      <c r="W32" s="501">
        <f t="shared" ref="W32:W70" ca="1" si="18">IF(E32="","",IFERROR(V32/SUMIF($V$31:$V$70,"&lt;&gt;#DIV/0!"),0))</f>
        <v>2.9046703116543601E-2</v>
      </c>
    </row>
    <row r="33" spans="1:23" s="292" customFormat="1" x14ac:dyDescent="0.25">
      <c r="A33" s="276" t="str">
        <f t="shared" ca="1" si="5"/>
        <v/>
      </c>
      <c r="B33" s="277" t="str">
        <f ca="1">'קיזוזים- החלטות ועדה'!C33</f>
        <v/>
      </c>
      <c r="C33" s="297" t="str">
        <f ca="1">IF($B33="","",'הגבלה לסכום מבוקש (1)'!D33)</f>
        <v/>
      </c>
      <c r="D33" s="294" t="str">
        <f ca="1">IF($B33="","",'קיזוזים בגין איחורים'!F33+'קיזוזים- החלטות ועדה'!E33)</f>
        <v/>
      </c>
      <c r="E33" s="297" t="str">
        <f t="shared" ca="1" si="6"/>
        <v/>
      </c>
      <c r="F33" s="294" t="str">
        <f ca="1">'קיזוזים- החלטות ועדה'!G33</f>
        <v/>
      </c>
      <c r="G33" s="503" t="str">
        <f t="shared" ca="1" si="7"/>
        <v/>
      </c>
      <c r="H33" s="297" t="str">
        <f t="shared" ca="1" si="8"/>
        <v/>
      </c>
      <c r="I33" s="297" t="str">
        <f t="shared" ca="1" si="0"/>
        <v/>
      </c>
      <c r="J33" s="298">
        <f t="shared" ca="1" si="9"/>
        <v>0</v>
      </c>
      <c r="K33" s="299" t="str">
        <f t="shared" ca="1" si="10"/>
        <v/>
      </c>
      <c r="L33" s="299" t="str">
        <f t="shared" ca="1" si="1"/>
        <v/>
      </c>
      <c r="M33" s="298">
        <f t="shared" ca="1" si="11"/>
        <v>0</v>
      </c>
      <c r="N33" s="299" t="str">
        <f t="shared" ca="1" si="12"/>
        <v/>
      </c>
      <c r="O33" s="299" t="str">
        <f t="shared" ca="1" si="2"/>
        <v/>
      </c>
      <c r="P33" s="298">
        <f t="shared" ca="1" si="13"/>
        <v>0</v>
      </c>
      <c r="Q33" s="299" t="str">
        <f t="shared" ca="1" si="14"/>
        <v/>
      </c>
      <c r="R33" s="299" t="str">
        <f t="shared" ca="1" si="3"/>
        <v/>
      </c>
      <c r="S33" s="298">
        <f t="shared" ca="1" si="15"/>
        <v>0</v>
      </c>
      <c r="T33" s="299" t="str">
        <f t="shared" ca="1" si="16"/>
        <v/>
      </c>
      <c r="U33" s="299" t="str">
        <f t="shared" ca="1" si="4"/>
        <v/>
      </c>
      <c r="V33" s="297" t="str">
        <f t="shared" ca="1" si="17"/>
        <v/>
      </c>
      <c r="W33" s="501" t="str">
        <f t="shared" ca="1" si="18"/>
        <v/>
      </c>
    </row>
    <row r="34" spans="1:23" s="292" customFormat="1" x14ac:dyDescent="0.25">
      <c r="A34" s="276">
        <f t="shared" ca="1" si="5"/>
        <v>4</v>
      </c>
      <c r="B34" s="277" t="str">
        <f ca="1">'קיזוזים- החלטות ועדה'!C34</f>
        <v>דעות (ברית נאמני תורה ועבודה)</v>
      </c>
      <c r="C34" s="297">
        <f ca="1">IF($B34="","",'הגבלה לסכום מבוקש (1)'!D34)</f>
        <v>165000</v>
      </c>
      <c r="D34" s="294">
        <f ca="1">IF($B34="","",'קיזוזים בגין איחורים'!F34+'קיזוזים- החלטות ועדה'!E34)</f>
        <v>0</v>
      </c>
      <c r="E34" s="297">
        <f t="shared" ca="1" si="6"/>
        <v>165000</v>
      </c>
      <c r="F34" s="294">
        <f ca="1">'קיזוזים- החלטות ועדה'!G34</f>
        <v>93387.02784397635</v>
      </c>
      <c r="G34" s="503">
        <f t="shared" ca="1" si="7"/>
        <v>0</v>
      </c>
      <c r="H34" s="297">
        <f t="shared" ca="1" si="8"/>
        <v>93387.02784397635</v>
      </c>
      <c r="I34" s="297">
        <f t="shared" ca="1" si="0"/>
        <v>93387.02784397635</v>
      </c>
      <c r="J34" s="298">
        <f t="shared" ca="1" si="9"/>
        <v>0</v>
      </c>
      <c r="K34" s="299">
        <f t="shared" ca="1" si="10"/>
        <v>93387.02784397635</v>
      </c>
      <c r="L34" s="299">
        <f t="shared" ca="1" si="1"/>
        <v>93387.02784397635</v>
      </c>
      <c r="M34" s="298">
        <f t="shared" ca="1" si="11"/>
        <v>0</v>
      </c>
      <c r="N34" s="299">
        <f t="shared" ca="1" si="12"/>
        <v>93387.02784397635</v>
      </c>
      <c r="O34" s="299">
        <f t="shared" ca="1" si="2"/>
        <v>93387.02784397635</v>
      </c>
      <c r="P34" s="298">
        <f t="shared" ca="1" si="13"/>
        <v>0</v>
      </c>
      <c r="Q34" s="299">
        <f t="shared" ca="1" si="14"/>
        <v>93387.02784397635</v>
      </c>
      <c r="R34" s="299">
        <f t="shared" ca="1" si="3"/>
        <v>93387.02784397635</v>
      </c>
      <c r="S34" s="298">
        <f t="shared" ca="1" si="15"/>
        <v>0</v>
      </c>
      <c r="T34" s="299">
        <f t="shared" ca="1" si="16"/>
        <v>93387.02784397635</v>
      </c>
      <c r="U34" s="299">
        <f t="shared" ca="1" si="4"/>
        <v>93387.02784397635</v>
      </c>
      <c r="V34" s="297">
        <f t="shared" ca="1" si="17"/>
        <v>93387.02784397635</v>
      </c>
      <c r="W34" s="501">
        <f t="shared" ca="1" si="18"/>
        <v>4.8972857634888803E-2</v>
      </c>
    </row>
    <row r="35" spans="1:23" s="292" customFormat="1" x14ac:dyDescent="0.25">
      <c r="A35" s="276">
        <f t="shared" ca="1" si="5"/>
        <v>5</v>
      </c>
      <c r="B35" s="277" t="str">
        <f ca="1">'קיזוזים- החלטות ועדה'!C35</f>
        <v>הליקון</v>
      </c>
      <c r="C35" s="297">
        <f ca="1">IF($B35="","",'הגבלה לסכום מבוקש (1)'!D35)</f>
        <v>240000</v>
      </c>
      <c r="D35" s="294">
        <f ca="1">IF($B35="","",'קיזוזים בגין איחורים'!F35+'קיזוזים- החלטות ועדה'!E35)</f>
        <v>0</v>
      </c>
      <c r="E35" s="297">
        <f t="shared" ca="1" si="6"/>
        <v>240000</v>
      </c>
      <c r="F35" s="294">
        <f ca="1">'קיזוזים- החלטות ועדה'!G35</f>
        <v>115510.69950883459</v>
      </c>
      <c r="G35" s="503">
        <f t="shared" ca="1" si="7"/>
        <v>0</v>
      </c>
      <c r="H35" s="297">
        <f t="shared" ca="1" si="8"/>
        <v>115510.69950883459</v>
      </c>
      <c r="I35" s="297">
        <f t="shared" ca="1" si="0"/>
        <v>115510.69950883459</v>
      </c>
      <c r="J35" s="298">
        <f t="shared" ca="1" si="9"/>
        <v>0</v>
      </c>
      <c r="K35" s="299">
        <f t="shared" ca="1" si="10"/>
        <v>115510.69950883459</v>
      </c>
      <c r="L35" s="299">
        <f t="shared" ca="1" si="1"/>
        <v>115510.69950883459</v>
      </c>
      <c r="M35" s="298">
        <f t="shared" ca="1" si="11"/>
        <v>0</v>
      </c>
      <c r="N35" s="299">
        <f t="shared" ca="1" si="12"/>
        <v>115510.69950883459</v>
      </c>
      <c r="O35" s="299">
        <f t="shared" ca="1" si="2"/>
        <v>115510.69950883459</v>
      </c>
      <c r="P35" s="298">
        <f t="shared" ca="1" si="13"/>
        <v>0</v>
      </c>
      <c r="Q35" s="299">
        <f t="shared" ca="1" si="14"/>
        <v>115510.69950883459</v>
      </c>
      <c r="R35" s="299">
        <f t="shared" ca="1" si="3"/>
        <v>115510.69950883459</v>
      </c>
      <c r="S35" s="298">
        <f t="shared" ca="1" si="15"/>
        <v>0</v>
      </c>
      <c r="T35" s="299">
        <f t="shared" ca="1" si="16"/>
        <v>115510.69950883459</v>
      </c>
      <c r="U35" s="299">
        <f t="shared" ca="1" si="4"/>
        <v>115510.69950883459</v>
      </c>
      <c r="V35" s="297">
        <f t="shared" ca="1" si="17"/>
        <v>115510.69950883459</v>
      </c>
      <c r="W35" s="501">
        <f t="shared" ca="1" si="18"/>
        <v>6.0574676943393663E-2</v>
      </c>
    </row>
    <row r="36" spans="1:23" s="292" customFormat="1" x14ac:dyDescent="0.25">
      <c r="A36" s="276" t="str">
        <f t="shared" ca="1" si="5"/>
        <v/>
      </c>
      <c r="B36" s="277" t="str">
        <f ca="1">'קיזוזים- החלטות ועדה'!C36</f>
        <v/>
      </c>
      <c r="C36" s="297" t="str">
        <f ca="1">IF($B36="","",'הגבלה לסכום מבוקש (1)'!D36)</f>
        <v/>
      </c>
      <c r="D36" s="294" t="str">
        <f ca="1">IF($B36="","",'קיזוזים בגין איחורים'!F36+'קיזוזים- החלטות ועדה'!E36)</f>
        <v/>
      </c>
      <c r="E36" s="297" t="str">
        <f t="shared" ca="1" si="6"/>
        <v/>
      </c>
      <c r="F36" s="294" t="str">
        <f ca="1">'קיזוזים- החלטות ועדה'!G36</f>
        <v/>
      </c>
      <c r="G36" s="503" t="str">
        <f t="shared" ca="1" si="7"/>
        <v/>
      </c>
      <c r="H36" s="297" t="str">
        <f t="shared" ca="1" si="8"/>
        <v/>
      </c>
      <c r="I36" s="297" t="str">
        <f t="shared" ca="1" si="0"/>
        <v/>
      </c>
      <c r="J36" s="298">
        <f t="shared" ca="1" si="9"/>
        <v>0</v>
      </c>
      <c r="K36" s="299" t="str">
        <f t="shared" ca="1" si="10"/>
        <v/>
      </c>
      <c r="L36" s="299" t="str">
        <f t="shared" ca="1" si="1"/>
        <v/>
      </c>
      <c r="M36" s="298">
        <f t="shared" ca="1" si="11"/>
        <v>0</v>
      </c>
      <c r="N36" s="299" t="str">
        <f t="shared" ca="1" si="12"/>
        <v/>
      </c>
      <c r="O36" s="299" t="str">
        <f t="shared" ca="1" si="2"/>
        <v/>
      </c>
      <c r="P36" s="298">
        <f t="shared" ca="1" si="13"/>
        <v>0</v>
      </c>
      <c r="Q36" s="299" t="str">
        <f t="shared" ca="1" si="14"/>
        <v/>
      </c>
      <c r="R36" s="299" t="str">
        <f t="shared" ca="1" si="3"/>
        <v/>
      </c>
      <c r="S36" s="298">
        <f t="shared" ca="1" si="15"/>
        <v>0</v>
      </c>
      <c r="T36" s="299" t="str">
        <f t="shared" ca="1" si="16"/>
        <v/>
      </c>
      <c r="U36" s="299" t="str">
        <f t="shared" ca="1" si="4"/>
        <v/>
      </c>
      <c r="V36" s="297" t="str">
        <f t="shared" ca="1" si="17"/>
        <v/>
      </c>
      <c r="W36" s="501" t="str">
        <f t="shared" ca="1" si="18"/>
        <v/>
      </c>
    </row>
    <row r="37" spans="1:23" s="292" customFormat="1" x14ac:dyDescent="0.25">
      <c r="A37" s="276" t="str">
        <f t="shared" ca="1" si="5"/>
        <v/>
      </c>
      <c r="B37" s="277" t="str">
        <f ca="1">'קיזוזים- החלטות ועדה'!C37</f>
        <v/>
      </c>
      <c r="C37" s="297" t="str">
        <f ca="1">IF($B37="","",'הגבלה לסכום מבוקש (1)'!D37)</f>
        <v/>
      </c>
      <c r="D37" s="294" t="str">
        <f ca="1">IF($B37="","",'קיזוזים בגין איחורים'!F37+'קיזוזים- החלטות ועדה'!E37)</f>
        <v/>
      </c>
      <c r="E37" s="297" t="str">
        <f t="shared" ca="1" si="6"/>
        <v/>
      </c>
      <c r="F37" s="294" t="str">
        <f ca="1">'קיזוזים- החלטות ועדה'!G37</f>
        <v/>
      </c>
      <c r="G37" s="503" t="str">
        <f t="shared" ca="1" si="7"/>
        <v/>
      </c>
      <c r="H37" s="297" t="str">
        <f t="shared" ca="1" si="8"/>
        <v/>
      </c>
      <c r="I37" s="297" t="str">
        <f t="shared" ca="1" si="0"/>
        <v/>
      </c>
      <c r="J37" s="298">
        <f t="shared" ca="1" si="9"/>
        <v>0</v>
      </c>
      <c r="K37" s="299" t="str">
        <f t="shared" ca="1" si="10"/>
        <v/>
      </c>
      <c r="L37" s="299" t="str">
        <f t="shared" ca="1" si="1"/>
        <v/>
      </c>
      <c r="M37" s="298">
        <f t="shared" ca="1" si="11"/>
        <v>0</v>
      </c>
      <c r="N37" s="299" t="str">
        <f t="shared" ca="1" si="12"/>
        <v/>
      </c>
      <c r="O37" s="299" t="str">
        <f t="shared" ca="1" si="2"/>
        <v/>
      </c>
      <c r="P37" s="298">
        <f t="shared" ca="1" si="13"/>
        <v>0</v>
      </c>
      <c r="Q37" s="299" t="str">
        <f t="shared" ca="1" si="14"/>
        <v/>
      </c>
      <c r="R37" s="299" t="str">
        <f t="shared" ca="1" si="3"/>
        <v/>
      </c>
      <c r="S37" s="298">
        <f t="shared" ca="1" si="15"/>
        <v>0</v>
      </c>
      <c r="T37" s="299" t="str">
        <f t="shared" ca="1" si="16"/>
        <v/>
      </c>
      <c r="U37" s="299" t="str">
        <f t="shared" ca="1" si="4"/>
        <v/>
      </c>
      <c r="V37" s="297" t="str">
        <f t="shared" ca="1" si="17"/>
        <v/>
      </c>
      <c r="W37" s="501" t="str">
        <f t="shared" ca="1" si="18"/>
        <v/>
      </c>
    </row>
    <row r="38" spans="1:23" s="292" customFormat="1" x14ac:dyDescent="0.25">
      <c r="A38" s="276">
        <f t="shared" ca="1" si="5"/>
        <v>8</v>
      </c>
      <c r="B38" s="277" t="str">
        <f ca="1">'קיזוזים- החלטות ועדה'!C38</f>
        <v>ננפואטיקה (עמותת מקום לשירה)</v>
      </c>
      <c r="C38" s="297">
        <f ca="1">IF($B38="","",'הגבלה לסכום מבוקש (1)'!D38)</f>
        <v>170000</v>
      </c>
      <c r="D38" s="294">
        <f ca="1">IF($B38="","",'קיזוזים בגין איחורים'!F38+'קיזוזים- החלטות ועדה'!E38)</f>
        <v>0</v>
      </c>
      <c r="E38" s="297">
        <f t="shared" ca="1" si="6"/>
        <v>170000</v>
      </c>
      <c r="F38" s="294">
        <f ca="1">'קיזוזים- החלטות ועדה'!G38</f>
        <v>141968.77580814355</v>
      </c>
      <c r="G38" s="503">
        <f t="shared" ca="1" si="7"/>
        <v>0</v>
      </c>
      <c r="H38" s="297">
        <f t="shared" ca="1" si="8"/>
        <v>141968.77580814355</v>
      </c>
      <c r="I38" s="297">
        <f t="shared" ca="1" si="0"/>
        <v>141968.77580814355</v>
      </c>
      <c r="J38" s="298">
        <f t="shared" ca="1" si="9"/>
        <v>0</v>
      </c>
      <c r="K38" s="299">
        <f t="shared" ca="1" si="10"/>
        <v>141968.77580814355</v>
      </c>
      <c r="L38" s="299">
        <f t="shared" ca="1" si="1"/>
        <v>141968.77580814355</v>
      </c>
      <c r="M38" s="298">
        <f t="shared" ca="1" si="11"/>
        <v>0</v>
      </c>
      <c r="N38" s="299">
        <f t="shared" ca="1" si="12"/>
        <v>141968.77580814355</v>
      </c>
      <c r="O38" s="299">
        <f t="shared" ca="1" si="2"/>
        <v>141968.77580814355</v>
      </c>
      <c r="P38" s="298">
        <f t="shared" ca="1" si="13"/>
        <v>0</v>
      </c>
      <c r="Q38" s="299">
        <f t="shared" ca="1" si="14"/>
        <v>141968.77580814355</v>
      </c>
      <c r="R38" s="299">
        <f t="shared" ca="1" si="3"/>
        <v>141968.77580814355</v>
      </c>
      <c r="S38" s="298">
        <f t="shared" ca="1" si="15"/>
        <v>0</v>
      </c>
      <c r="T38" s="299">
        <f t="shared" ca="1" si="16"/>
        <v>141968.77580814355</v>
      </c>
      <c r="U38" s="299">
        <f t="shared" ca="1" si="4"/>
        <v>141968.77580814355</v>
      </c>
      <c r="V38" s="297">
        <f t="shared" ca="1" si="17"/>
        <v>141968.77580814355</v>
      </c>
      <c r="W38" s="501">
        <f t="shared" ca="1" si="18"/>
        <v>7.4449490542386046E-2</v>
      </c>
    </row>
    <row r="39" spans="1:23" s="292" customFormat="1" x14ac:dyDescent="0.25">
      <c r="A39" s="276">
        <f t="shared" ca="1" si="5"/>
        <v>9</v>
      </c>
      <c r="B39" s="277" t="str">
        <f ca="1">'קיזוזים- החלטות ועדה'!C39</f>
        <v>מאזניים (אגודת הסופרים העבריים)</v>
      </c>
      <c r="C39" s="297">
        <f ca="1">IF($B39="","",'הגבלה לסכום מבוקש (1)'!D39)</f>
        <v>220000</v>
      </c>
      <c r="D39" s="294">
        <f ca="1">IF($B39="","",'קיזוזים בגין איחורים'!F39+'קיזוזים- החלטות ועדה'!E39)</f>
        <v>0</v>
      </c>
      <c r="E39" s="297">
        <f t="shared" ca="1" si="6"/>
        <v>220000</v>
      </c>
      <c r="F39" s="294">
        <f ca="1">'קיזוזים- החלטות ועדה'!G39</f>
        <v>158935.99640128316</v>
      </c>
      <c r="G39" s="503">
        <f t="shared" ca="1" si="7"/>
        <v>0</v>
      </c>
      <c r="H39" s="297">
        <f t="shared" ca="1" si="8"/>
        <v>158935.99640128316</v>
      </c>
      <c r="I39" s="297">
        <f t="shared" ca="1" si="0"/>
        <v>158935.99640128316</v>
      </c>
      <c r="J39" s="298">
        <f t="shared" ca="1" si="9"/>
        <v>0</v>
      </c>
      <c r="K39" s="299">
        <f t="shared" ca="1" si="10"/>
        <v>158935.99640128316</v>
      </c>
      <c r="L39" s="299">
        <f t="shared" ca="1" si="1"/>
        <v>158935.99640128316</v>
      </c>
      <c r="M39" s="298">
        <f t="shared" ca="1" si="11"/>
        <v>0</v>
      </c>
      <c r="N39" s="299">
        <f t="shared" ca="1" si="12"/>
        <v>158935.99640128316</v>
      </c>
      <c r="O39" s="299">
        <f t="shared" ca="1" si="2"/>
        <v>158935.99640128316</v>
      </c>
      <c r="P39" s="298">
        <f t="shared" ca="1" si="13"/>
        <v>0</v>
      </c>
      <c r="Q39" s="299">
        <f t="shared" ca="1" si="14"/>
        <v>158935.99640128316</v>
      </c>
      <c r="R39" s="299">
        <f t="shared" ca="1" si="3"/>
        <v>158935.99640128316</v>
      </c>
      <c r="S39" s="298">
        <f t="shared" ca="1" si="15"/>
        <v>0</v>
      </c>
      <c r="T39" s="299">
        <f t="shared" ca="1" si="16"/>
        <v>158935.99640128316</v>
      </c>
      <c r="U39" s="299">
        <f t="shared" ca="1" si="4"/>
        <v>158935.99640128316</v>
      </c>
      <c r="V39" s="297">
        <f t="shared" ca="1" si="17"/>
        <v>158935.99640128316</v>
      </c>
      <c r="W39" s="501">
        <f t="shared" ca="1" si="18"/>
        <v>8.3347228244841226E-2</v>
      </c>
    </row>
    <row r="40" spans="1:23" s="292" customFormat="1" x14ac:dyDescent="0.25">
      <c r="A40" s="276">
        <f t="shared" ca="1" si="5"/>
        <v>10</v>
      </c>
      <c r="B40" s="277" t="str">
        <f ca="1">'קיזוזים- החלטות ועדה'!C40</f>
        <v>משיב הרוח</v>
      </c>
      <c r="C40" s="297">
        <f ca="1">IF($B40="","",'הגבלה לסכום מבוקש (1)'!D40)</f>
        <v>300000</v>
      </c>
      <c r="D40" s="294">
        <f ca="1">IF($B40="","",'קיזוזים בגין איחורים'!F40+'קיזוזים- החלטות ועדה'!E40)</f>
        <v>0</v>
      </c>
      <c r="E40" s="297">
        <f t="shared" ca="1" si="6"/>
        <v>300000</v>
      </c>
      <c r="F40" s="294">
        <f ca="1">'קיזוזים- החלטות ועדה'!G40</f>
        <v>148737.47387407691</v>
      </c>
      <c r="G40" s="503">
        <f t="shared" ca="1" si="7"/>
        <v>0</v>
      </c>
      <c r="H40" s="297">
        <f t="shared" ca="1" si="8"/>
        <v>148737.47387407691</v>
      </c>
      <c r="I40" s="297">
        <f t="shared" ca="1" si="0"/>
        <v>148737.47387407691</v>
      </c>
      <c r="J40" s="298">
        <f t="shared" ca="1" si="9"/>
        <v>0</v>
      </c>
      <c r="K40" s="299">
        <f t="shared" ca="1" si="10"/>
        <v>148737.47387407691</v>
      </c>
      <c r="L40" s="299">
        <f t="shared" ca="1" si="1"/>
        <v>148737.47387407691</v>
      </c>
      <c r="M40" s="298">
        <f t="shared" ca="1" si="11"/>
        <v>0</v>
      </c>
      <c r="N40" s="299">
        <f t="shared" ca="1" si="12"/>
        <v>148737.47387407691</v>
      </c>
      <c r="O40" s="299">
        <f t="shared" ca="1" si="2"/>
        <v>148737.47387407691</v>
      </c>
      <c r="P40" s="298">
        <f t="shared" ca="1" si="13"/>
        <v>0</v>
      </c>
      <c r="Q40" s="299">
        <f t="shared" ca="1" si="14"/>
        <v>148737.47387407691</v>
      </c>
      <c r="R40" s="299">
        <f t="shared" ca="1" si="3"/>
        <v>148737.47387407691</v>
      </c>
      <c r="S40" s="298">
        <f t="shared" ca="1" si="15"/>
        <v>0</v>
      </c>
      <c r="T40" s="299">
        <f t="shared" ca="1" si="16"/>
        <v>148737.47387407691</v>
      </c>
      <c r="U40" s="299">
        <f t="shared" ca="1" si="4"/>
        <v>148737.47387407691</v>
      </c>
      <c r="V40" s="297">
        <f t="shared" ca="1" si="17"/>
        <v>148737.47387407691</v>
      </c>
      <c r="W40" s="501">
        <f t="shared" ca="1" si="18"/>
        <v>7.7999046561133281E-2</v>
      </c>
    </row>
    <row r="41" spans="1:23" s="292" customFormat="1" x14ac:dyDescent="0.25">
      <c r="A41" s="276">
        <f t="shared" ca="1" si="5"/>
        <v>11</v>
      </c>
      <c r="B41" s="277" t="str">
        <f ca="1">'קיזוזים- החלטות ועדה'!C41</f>
        <v>עמדה (עמותת מונטן)</v>
      </c>
      <c r="C41" s="297">
        <f ca="1">IF($B41="","",'הגבלה לסכום מבוקש (1)'!D41)</f>
        <v>34000</v>
      </c>
      <c r="D41" s="294">
        <f ca="1">IF($B41="","",'קיזוזים בגין איחורים'!F41+'קיזוזים- החלטות ועדה'!E41)</f>
        <v>0</v>
      </c>
      <c r="E41" s="297">
        <f t="shared" ca="1" si="6"/>
        <v>34000</v>
      </c>
      <c r="F41" s="294">
        <f ca="1">'קיזוזים- החלטות ועדה'!G41</f>
        <v>34000</v>
      </c>
      <c r="G41" s="503">
        <f t="shared" ca="1" si="7"/>
        <v>0</v>
      </c>
      <c r="H41" s="297">
        <f t="shared" ca="1" si="8"/>
        <v>34000</v>
      </c>
      <c r="I41" s="297">
        <f t="shared" ca="1" si="0"/>
        <v>34000</v>
      </c>
      <c r="J41" s="298">
        <f t="shared" ca="1" si="9"/>
        <v>0</v>
      </c>
      <c r="K41" s="299">
        <f t="shared" ca="1" si="10"/>
        <v>34000</v>
      </c>
      <c r="L41" s="299">
        <f t="shared" ca="1" si="1"/>
        <v>34000</v>
      </c>
      <c r="M41" s="298">
        <f t="shared" ca="1" si="11"/>
        <v>0</v>
      </c>
      <c r="N41" s="299">
        <f t="shared" ca="1" si="12"/>
        <v>34000</v>
      </c>
      <c r="O41" s="299">
        <f t="shared" ca="1" si="2"/>
        <v>34000</v>
      </c>
      <c r="P41" s="298">
        <f t="shared" ca="1" si="13"/>
        <v>0</v>
      </c>
      <c r="Q41" s="299">
        <f t="shared" ca="1" si="14"/>
        <v>34000</v>
      </c>
      <c r="R41" s="299">
        <f t="shared" ca="1" si="3"/>
        <v>34000</v>
      </c>
      <c r="S41" s="298">
        <f t="shared" ca="1" si="15"/>
        <v>0</v>
      </c>
      <c r="T41" s="299">
        <f t="shared" ca="1" si="16"/>
        <v>34000</v>
      </c>
      <c r="U41" s="299">
        <f t="shared" ca="1" si="4"/>
        <v>34000</v>
      </c>
      <c r="V41" s="297">
        <f t="shared" ca="1" si="17"/>
        <v>34000</v>
      </c>
      <c r="W41" s="501">
        <f t="shared" ca="1" si="18"/>
        <v>1.7829854938397852E-2</v>
      </c>
    </row>
    <row r="42" spans="1:23" s="292" customFormat="1" x14ac:dyDescent="0.25">
      <c r="A42" s="276">
        <f t="shared" ca="1" si="5"/>
        <v>12</v>
      </c>
      <c r="B42" s="277" t="str">
        <f ca="1">'קיזוזים- החלטות ועדה'!C42</f>
        <v>עתון 77 (אגודת סופרים ואמנים)</v>
      </c>
      <c r="C42" s="297">
        <f ca="1">IF($B42="","",'הגבלה לסכום מבוקש (1)'!D42)</f>
        <v>300000</v>
      </c>
      <c r="D42" s="294">
        <f ca="1">IF($B42="","",'קיזוזים בגין איחורים'!F42+'קיזוזים- החלטות ועדה'!E42)</f>
        <v>0</v>
      </c>
      <c r="E42" s="297">
        <f t="shared" ca="1" si="6"/>
        <v>300000</v>
      </c>
      <c r="F42" s="294">
        <f ca="1">'קיזוזים- החלטות ועדה'!G42</f>
        <v>134269.11526979934</v>
      </c>
      <c r="G42" s="503">
        <f t="shared" ca="1" si="7"/>
        <v>0</v>
      </c>
      <c r="H42" s="297">
        <f t="shared" ca="1" si="8"/>
        <v>134269.11526979934</v>
      </c>
      <c r="I42" s="297">
        <f t="shared" ca="1" si="0"/>
        <v>134269.11526979934</v>
      </c>
      <c r="J42" s="298">
        <f t="shared" ca="1" si="9"/>
        <v>0</v>
      </c>
      <c r="K42" s="299">
        <f t="shared" ca="1" si="10"/>
        <v>134269.11526979934</v>
      </c>
      <c r="L42" s="299">
        <f t="shared" ca="1" si="1"/>
        <v>134269.11526979934</v>
      </c>
      <c r="M42" s="298">
        <f t="shared" ca="1" si="11"/>
        <v>0</v>
      </c>
      <c r="N42" s="299">
        <f t="shared" ca="1" si="12"/>
        <v>134269.11526979934</v>
      </c>
      <c r="O42" s="299">
        <f t="shared" ca="1" si="2"/>
        <v>134269.11526979934</v>
      </c>
      <c r="P42" s="298">
        <f t="shared" ca="1" si="13"/>
        <v>0</v>
      </c>
      <c r="Q42" s="299">
        <f t="shared" ca="1" si="14"/>
        <v>134269.11526979934</v>
      </c>
      <c r="R42" s="299">
        <f t="shared" ca="1" si="3"/>
        <v>134269.11526979934</v>
      </c>
      <c r="S42" s="298">
        <f t="shared" ca="1" si="15"/>
        <v>0</v>
      </c>
      <c r="T42" s="299">
        <f t="shared" ca="1" si="16"/>
        <v>134269.11526979934</v>
      </c>
      <c r="U42" s="299">
        <f t="shared" ca="1" si="4"/>
        <v>134269.11526979934</v>
      </c>
      <c r="V42" s="297">
        <f t="shared" ca="1" si="17"/>
        <v>134269.11526979934</v>
      </c>
      <c r="W42" s="501">
        <f t="shared" ca="1" si="18"/>
        <v>7.0411730822574764E-2</v>
      </c>
    </row>
    <row r="43" spans="1:23" s="292" customFormat="1" x14ac:dyDescent="0.25">
      <c r="A43" s="276" t="str">
        <f t="shared" ca="1" si="5"/>
        <v/>
      </c>
      <c r="B43" s="277" t="str">
        <f ca="1">'קיזוזים- החלטות ועדה'!C43</f>
        <v/>
      </c>
      <c r="C43" s="297" t="str">
        <f ca="1">IF($B43="","",'הגבלה לסכום מבוקש (1)'!D43)</f>
        <v/>
      </c>
      <c r="D43" s="294" t="str">
        <f ca="1">IF($B43="","",'קיזוזים בגין איחורים'!F43+'קיזוזים- החלטות ועדה'!E43)</f>
        <v/>
      </c>
      <c r="E43" s="297" t="str">
        <f t="shared" ca="1" si="6"/>
        <v/>
      </c>
      <c r="F43" s="294" t="str">
        <f ca="1">'קיזוזים- החלטות ועדה'!G43</f>
        <v/>
      </c>
      <c r="G43" s="503" t="str">
        <f t="shared" ca="1" si="7"/>
        <v/>
      </c>
      <c r="H43" s="297" t="str">
        <f t="shared" ca="1" si="8"/>
        <v/>
      </c>
      <c r="I43" s="297" t="str">
        <f t="shared" ca="1" si="0"/>
        <v/>
      </c>
      <c r="J43" s="298">
        <f t="shared" ca="1" si="9"/>
        <v>0</v>
      </c>
      <c r="K43" s="299" t="str">
        <f t="shared" ca="1" si="10"/>
        <v/>
      </c>
      <c r="L43" s="299" t="str">
        <f t="shared" ca="1" si="1"/>
        <v/>
      </c>
      <c r="M43" s="298">
        <f t="shared" ca="1" si="11"/>
        <v>0</v>
      </c>
      <c r="N43" s="299" t="str">
        <f t="shared" ca="1" si="12"/>
        <v/>
      </c>
      <c r="O43" s="299" t="str">
        <f t="shared" ca="1" si="2"/>
        <v/>
      </c>
      <c r="P43" s="298">
        <f t="shared" ca="1" si="13"/>
        <v>0</v>
      </c>
      <c r="Q43" s="299" t="str">
        <f t="shared" ca="1" si="14"/>
        <v/>
      </c>
      <c r="R43" s="299" t="str">
        <f t="shared" ca="1" si="3"/>
        <v/>
      </c>
      <c r="S43" s="298">
        <f t="shared" ca="1" si="15"/>
        <v>0</v>
      </c>
      <c r="T43" s="299" t="str">
        <f t="shared" ca="1" si="16"/>
        <v/>
      </c>
      <c r="U43" s="299" t="str">
        <f t="shared" ca="1" si="4"/>
        <v/>
      </c>
      <c r="V43" s="297" t="str">
        <f t="shared" ca="1" si="17"/>
        <v/>
      </c>
      <c r="W43" s="501" t="str">
        <f t="shared" ca="1" si="18"/>
        <v/>
      </c>
    </row>
    <row r="44" spans="1:23" s="292" customFormat="1" x14ac:dyDescent="0.25">
      <c r="A44" s="276">
        <f t="shared" ca="1" si="5"/>
        <v>14</v>
      </c>
      <c r="B44" s="277" t="str">
        <f ca="1">'קיזוזים- החלטות ועדה'!C44</f>
        <v>פסיפס</v>
      </c>
      <c r="C44" s="297">
        <f ca="1">IF($B44="","",'הגבלה לסכום מבוקש (1)'!D44)</f>
        <v>90000</v>
      </c>
      <c r="D44" s="294">
        <f ca="1">IF($B44="","",'קיזוזים בגין איחורים'!F44+'קיזוזים- החלטות ועדה'!E44)</f>
        <v>0</v>
      </c>
      <c r="E44" s="297">
        <f t="shared" ca="1" si="6"/>
        <v>90000</v>
      </c>
      <c r="F44" s="294">
        <f ca="1">'קיזוזים- החלטות ועדה'!G44</f>
        <v>38555.909673218623</v>
      </c>
      <c r="G44" s="503">
        <f t="shared" ca="1" si="7"/>
        <v>0</v>
      </c>
      <c r="H44" s="297">
        <f t="shared" ca="1" si="8"/>
        <v>38555.909673218623</v>
      </c>
      <c r="I44" s="297">
        <f t="shared" ca="1" si="0"/>
        <v>38555.909673218623</v>
      </c>
      <c r="J44" s="298">
        <f t="shared" ca="1" si="9"/>
        <v>0</v>
      </c>
      <c r="K44" s="299">
        <f t="shared" ca="1" si="10"/>
        <v>38555.909673218623</v>
      </c>
      <c r="L44" s="299">
        <f t="shared" ca="1" si="1"/>
        <v>38555.909673218623</v>
      </c>
      <c r="M44" s="298">
        <f t="shared" ca="1" si="11"/>
        <v>0</v>
      </c>
      <c r="N44" s="299">
        <f t="shared" ca="1" si="12"/>
        <v>38555.909673218623</v>
      </c>
      <c r="O44" s="299">
        <f t="shared" ca="1" si="2"/>
        <v>38555.909673218623</v>
      </c>
      <c r="P44" s="298">
        <f t="shared" ca="1" si="13"/>
        <v>0</v>
      </c>
      <c r="Q44" s="299">
        <f t="shared" ca="1" si="14"/>
        <v>38555.909673218623</v>
      </c>
      <c r="R44" s="299">
        <f t="shared" ca="1" si="3"/>
        <v>38555.909673218623</v>
      </c>
      <c r="S44" s="298">
        <f t="shared" ca="1" si="15"/>
        <v>0</v>
      </c>
      <c r="T44" s="299">
        <f t="shared" ca="1" si="16"/>
        <v>38555.909673218623</v>
      </c>
      <c r="U44" s="299">
        <f t="shared" ca="1" si="4"/>
        <v>38555.909673218623</v>
      </c>
      <c r="V44" s="297">
        <f t="shared" ca="1" si="17"/>
        <v>38555.909673218623</v>
      </c>
      <c r="W44" s="501">
        <f t="shared" ca="1" si="18"/>
        <v>2.0219008132101722E-2</v>
      </c>
    </row>
    <row r="45" spans="1:23" s="292" customFormat="1" x14ac:dyDescent="0.25">
      <c r="A45" s="276">
        <f t="shared" ca="1" si="5"/>
        <v>15</v>
      </c>
      <c r="B45" s="277" t="str">
        <f ca="1">'קיזוזים- החלטות ועדה'!C45</f>
        <v>קתרזיס ( עמותת מצרף)</v>
      </c>
      <c r="C45" s="297">
        <f ca="1">IF($B45="","",'הגבלה לסכום מבוקש (1)'!D45)</f>
        <v>29000</v>
      </c>
      <c r="D45" s="294">
        <f ca="1">IF($B45="","",'קיזוזים בגין איחורים'!F45+'קיזוזים- החלטות ועדה'!E45)</f>
        <v>0</v>
      </c>
      <c r="E45" s="297">
        <f t="shared" ca="1" si="6"/>
        <v>29000</v>
      </c>
      <c r="F45" s="294">
        <f ca="1">'קיזוזים- החלטות ועדה'!G45</f>
        <v>29000</v>
      </c>
      <c r="G45" s="503">
        <f t="shared" ca="1" si="7"/>
        <v>0</v>
      </c>
      <c r="H45" s="297">
        <f t="shared" ca="1" si="8"/>
        <v>29000</v>
      </c>
      <c r="I45" s="297">
        <f t="shared" ca="1" si="0"/>
        <v>29000</v>
      </c>
      <c r="J45" s="298">
        <f t="shared" ca="1" si="9"/>
        <v>0</v>
      </c>
      <c r="K45" s="299">
        <f t="shared" ca="1" si="10"/>
        <v>29000</v>
      </c>
      <c r="L45" s="299">
        <f t="shared" ca="1" si="1"/>
        <v>29000</v>
      </c>
      <c r="M45" s="298">
        <f t="shared" ca="1" si="11"/>
        <v>0</v>
      </c>
      <c r="N45" s="299">
        <f t="shared" ca="1" si="12"/>
        <v>29000</v>
      </c>
      <c r="O45" s="299">
        <f t="shared" ca="1" si="2"/>
        <v>29000</v>
      </c>
      <c r="P45" s="298">
        <f t="shared" ca="1" si="13"/>
        <v>0</v>
      </c>
      <c r="Q45" s="299">
        <f t="shared" ca="1" si="14"/>
        <v>29000</v>
      </c>
      <c r="R45" s="299">
        <f t="shared" ca="1" si="3"/>
        <v>29000</v>
      </c>
      <c r="S45" s="298">
        <f t="shared" ca="1" si="15"/>
        <v>0</v>
      </c>
      <c r="T45" s="299">
        <f t="shared" ca="1" si="16"/>
        <v>29000</v>
      </c>
      <c r="U45" s="299">
        <f t="shared" ca="1" si="4"/>
        <v>29000</v>
      </c>
      <c r="V45" s="297">
        <f t="shared" ca="1" si="17"/>
        <v>29000</v>
      </c>
      <c r="W45" s="501">
        <f t="shared" ca="1" si="18"/>
        <v>1.520781744745699E-2</v>
      </c>
    </row>
    <row r="46" spans="1:23" s="292" customFormat="1" x14ac:dyDescent="0.25">
      <c r="A46" s="276" t="str">
        <f t="shared" ca="1" si="5"/>
        <v/>
      </c>
      <c r="B46" s="277" t="str">
        <f ca="1">'קיזוזים- החלטות ועדה'!C46</f>
        <v/>
      </c>
      <c r="C46" s="297" t="str">
        <f ca="1">IF($B46="","",'הגבלה לסכום מבוקש (1)'!D46)</f>
        <v/>
      </c>
      <c r="D46" s="294" t="str">
        <f ca="1">IF($B46="","",'קיזוזים בגין איחורים'!F46+'קיזוזים- החלטות ועדה'!E46)</f>
        <v/>
      </c>
      <c r="E46" s="297" t="str">
        <f t="shared" ca="1" si="6"/>
        <v/>
      </c>
      <c r="F46" s="294" t="str">
        <f ca="1">'קיזוזים- החלטות ועדה'!G46</f>
        <v/>
      </c>
      <c r="G46" s="503" t="str">
        <f t="shared" ca="1" si="7"/>
        <v/>
      </c>
      <c r="H46" s="297" t="str">
        <f t="shared" ca="1" si="8"/>
        <v/>
      </c>
      <c r="I46" s="297" t="str">
        <f t="shared" ca="1" si="0"/>
        <v/>
      </c>
      <c r="J46" s="298">
        <f t="shared" ca="1" si="9"/>
        <v>0</v>
      </c>
      <c r="K46" s="299" t="str">
        <f t="shared" ca="1" si="10"/>
        <v/>
      </c>
      <c r="L46" s="299" t="str">
        <f t="shared" ca="1" si="1"/>
        <v/>
      </c>
      <c r="M46" s="298">
        <f t="shared" ca="1" si="11"/>
        <v>0</v>
      </c>
      <c r="N46" s="299" t="str">
        <f t="shared" ca="1" si="12"/>
        <v/>
      </c>
      <c r="O46" s="299" t="str">
        <f t="shared" ca="1" si="2"/>
        <v/>
      </c>
      <c r="P46" s="298">
        <f t="shared" ca="1" si="13"/>
        <v>0</v>
      </c>
      <c r="Q46" s="299" t="str">
        <f t="shared" ca="1" si="14"/>
        <v/>
      </c>
      <c r="R46" s="299" t="str">
        <f t="shared" ca="1" si="3"/>
        <v/>
      </c>
      <c r="S46" s="298">
        <f t="shared" ca="1" si="15"/>
        <v>0</v>
      </c>
      <c r="T46" s="299" t="str">
        <f t="shared" ca="1" si="16"/>
        <v/>
      </c>
      <c r="U46" s="299" t="str">
        <f t="shared" ca="1" si="4"/>
        <v/>
      </c>
      <c r="V46" s="297" t="str">
        <f t="shared" ca="1" si="17"/>
        <v/>
      </c>
      <c r="W46" s="501" t="str">
        <f t="shared" ca="1" si="18"/>
        <v/>
      </c>
    </row>
    <row r="47" spans="1:23" s="292" customFormat="1" x14ac:dyDescent="0.25">
      <c r="A47" s="276">
        <f t="shared" ca="1" si="5"/>
        <v>17</v>
      </c>
      <c r="B47" s="277" t="str">
        <f ca="1">'קיזוזים- החלטות ועדה'!C47</f>
        <v>הכיוון מזרח (עמותת אחותי)</v>
      </c>
      <c r="C47" s="297">
        <f ca="1">IF($B47="","",'הגבלה לסכום מבוקש (1)'!D47)</f>
        <v>180000</v>
      </c>
      <c r="D47" s="294">
        <f ca="1">IF($B47="","",'קיזוזים בגין איחורים'!F47+'קיזוזים- החלטות ועדה'!E47)</f>
        <v>0</v>
      </c>
      <c r="E47" s="297">
        <f t="shared" ca="1" si="6"/>
        <v>180000</v>
      </c>
      <c r="F47" s="294">
        <f ca="1">'קיזוזים- החלטות ועדה'!G47</f>
        <v>98262.948341541589</v>
      </c>
      <c r="G47" s="503">
        <f t="shared" ca="1" si="7"/>
        <v>0</v>
      </c>
      <c r="H47" s="297">
        <f t="shared" ca="1" si="8"/>
        <v>98262.948341541589</v>
      </c>
      <c r="I47" s="297">
        <f t="shared" ca="1" si="0"/>
        <v>98262.948341541589</v>
      </c>
      <c r="J47" s="298">
        <f t="shared" ca="1" si="9"/>
        <v>0</v>
      </c>
      <c r="K47" s="299">
        <f t="shared" ca="1" si="10"/>
        <v>98262.948341541589</v>
      </c>
      <c r="L47" s="299">
        <f t="shared" ca="1" si="1"/>
        <v>98262.948341541589</v>
      </c>
      <c r="M47" s="298">
        <f t="shared" ca="1" si="11"/>
        <v>0</v>
      </c>
      <c r="N47" s="299">
        <f t="shared" ca="1" si="12"/>
        <v>98262.948341541589</v>
      </c>
      <c r="O47" s="299">
        <f t="shared" ca="1" si="2"/>
        <v>98262.948341541589</v>
      </c>
      <c r="P47" s="298">
        <f t="shared" ca="1" si="13"/>
        <v>0</v>
      </c>
      <c r="Q47" s="299">
        <f t="shared" ca="1" si="14"/>
        <v>98262.948341541589</v>
      </c>
      <c r="R47" s="299">
        <f t="shared" ca="1" si="3"/>
        <v>98262.948341541589</v>
      </c>
      <c r="S47" s="298">
        <f t="shared" ca="1" si="15"/>
        <v>0</v>
      </c>
      <c r="T47" s="299">
        <f t="shared" ca="1" si="16"/>
        <v>98262.948341541589</v>
      </c>
      <c r="U47" s="299">
        <f t="shared" ca="1" si="4"/>
        <v>98262.948341541589</v>
      </c>
      <c r="V47" s="297">
        <f t="shared" ca="1" si="17"/>
        <v>98262.948341541589</v>
      </c>
      <c r="W47" s="501">
        <f t="shared" ca="1" si="18"/>
        <v>5.1529826904381418E-2</v>
      </c>
    </row>
    <row r="48" spans="1:23" s="292" customFormat="1" x14ac:dyDescent="0.25">
      <c r="A48" s="276" t="str">
        <f t="shared" ca="1" si="5"/>
        <v/>
      </c>
      <c r="B48" s="277" t="str">
        <f ca="1">'קיזוזים- החלטות ועדה'!C48</f>
        <v/>
      </c>
      <c r="C48" s="297" t="str">
        <f ca="1">IF($B48="","",'הגבלה לסכום מבוקש (1)'!D48)</f>
        <v/>
      </c>
      <c r="D48" s="294" t="str">
        <f ca="1">IF($B48="","",'קיזוזים בגין איחורים'!F48+'קיזוזים- החלטות ועדה'!E48)</f>
        <v/>
      </c>
      <c r="E48" s="297" t="str">
        <f t="shared" ca="1" si="6"/>
        <v/>
      </c>
      <c r="F48" s="294" t="str">
        <f ca="1">'קיזוזים- החלטות ועדה'!G48</f>
        <v/>
      </c>
      <c r="G48" s="503" t="str">
        <f t="shared" ca="1" si="7"/>
        <v/>
      </c>
      <c r="H48" s="297" t="str">
        <f t="shared" ca="1" si="8"/>
        <v/>
      </c>
      <c r="I48" s="297" t="str">
        <f t="shared" ca="1" si="0"/>
        <v/>
      </c>
      <c r="J48" s="298">
        <f t="shared" ca="1" si="9"/>
        <v>0</v>
      </c>
      <c r="K48" s="299" t="str">
        <f t="shared" ca="1" si="10"/>
        <v/>
      </c>
      <c r="L48" s="299" t="str">
        <f t="shared" ca="1" si="1"/>
        <v/>
      </c>
      <c r="M48" s="298">
        <f t="shared" ca="1" si="11"/>
        <v>0</v>
      </c>
      <c r="N48" s="299" t="str">
        <f t="shared" ca="1" si="12"/>
        <v/>
      </c>
      <c r="O48" s="299" t="str">
        <f t="shared" ca="1" si="2"/>
        <v/>
      </c>
      <c r="P48" s="298">
        <f t="shared" ca="1" si="13"/>
        <v>0</v>
      </c>
      <c r="Q48" s="299" t="str">
        <f t="shared" ca="1" si="14"/>
        <v/>
      </c>
      <c r="R48" s="299" t="str">
        <f t="shared" ca="1" si="3"/>
        <v/>
      </c>
      <c r="S48" s="298">
        <f t="shared" ca="1" si="15"/>
        <v>0</v>
      </c>
      <c r="T48" s="299" t="str">
        <f t="shared" ca="1" si="16"/>
        <v/>
      </c>
      <c r="U48" s="299" t="str">
        <f t="shared" ca="1" si="4"/>
        <v/>
      </c>
      <c r="V48" s="297" t="str">
        <f t="shared" ca="1" si="17"/>
        <v/>
      </c>
      <c r="W48" s="501" t="str">
        <f t="shared" ca="1" si="18"/>
        <v/>
      </c>
    </row>
    <row r="49" spans="1:23" s="292" customFormat="1" x14ac:dyDescent="0.25">
      <c r="A49" s="276">
        <f t="shared" ca="1" si="5"/>
        <v>19</v>
      </c>
      <c r="B49" s="277" t="str">
        <f ca="1">'קיזוזים- החלטות ועדה'!C49</f>
        <v>הו</v>
      </c>
      <c r="C49" s="297">
        <f ca="1">IF($B49="","",'הגבלה לסכום מבוקש (1)'!D49)</f>
        <v>180000</v>
      </c>
      <c r="D49" s="294">
        <f ca="1">IF($B49="","",'קיזוזים בגין איחורים'!F49+'קיזוזים- החלטות ועדה'!E49)</f>
        <v>0</v>
      </c>
      <c r="E49" s="297">
        <f t="shared" ca="1" si="6"/>
        <v>180000</v>
      </c>
      <c r="F49" s="294">
        <f ca="1">'קיזוזים- החלטות ועדה'!G49</f>
        <v>100140.64481908687</v>
      </c>
      <c r="G49" s="503">
        <f t="shared" ca="1" si="7"/>
        <v>0</v>
      </c>
      <c r="H49" s="297">
        <f t="shared" ca="1" si="8"/>
        <v>100140.64481908687</v>
      </c>
      <c r="I49" s="297">
        <f t="shared" ca="1" si="0"/>
        <v>100140.64481908687</v>
      </c>
      <c r="J49" s="298">
        <f t="shared" ca="1" si="9"/>
        <v>0</v>
      </c>
      <c r="K49" s="299">
        <f t="shared" ca="1" si="10"/>
        <v>100140.64481908687</v>
      </c>
      <c r="L49" s="299">
        <f t="shared" ca="1" si="1"/>
        <v>100140.64481908687</v>
      </c>
      <c r="M49" s="298">
        <f t="shared" ca="1" si="11"/>
        <v>0</v>
      </c>
      <c r="N49" s="299">
        <f t="shared" ca="1" si="12"/>
        <v>100140.64481908687</v>
      </c>
      <c r="O49" s="299">
        <f t="shared" ca="1" si="2"/>
        <v>100140.64481908687</v>
      </c>
      <c r="P49" s="298">
        <f t="shared" ca="1" si="13"/>
        <v>0</v>
      </c>
      <c r="Q49" s="299">
        <f t="shared" ca="1" si="14"/>
        <v>100140.64481908687</v>
      </c>
      <c r="R49" s="299">
        <f t="shared" ca="1" si="3"/>
        <v>100140.64481908687</v>
      </c>
      <c r="S49" s="298">
        <f t="shared" ca="1" si="15"/>
        <v>0</v>
      </c>
      <c r="T49" s="299">
        <f t="shared" ca="1" si="16"/>
        <v>100140.64481908687</v>
      </c>
      <c r="U49" s="299">
        <f t="shared" ca="1" si="4"/>
        <v>100140.64481908687</v>
      </c>
      <c r="V49" s="297">
        <f t="shared" ca="1" si="17"/>
        <v>100140.64481908687</v>
      </c>
      <c r="W49" s="501">
        <f t="shared" ca="1" si="18"/>
        <v>5.2514505016527685E-2</v>
      </c>
    </row>
    <row r="50" spans="1:23" s="292" customFormat="1" x14ac:dyDescent="0.25">
      <c r="A50" s="276">
        <f t="shared" ca="1" si="5"/>
        <v>20</v>
      </c>
      <c r="B50" s="277" t="str">
        <f ca="1">'קיזוזים- החלטות ועדה'!C50</f>
        <v>הבא להבא (עמותת מקום לשירה)</v>
      </c>
      <c r="C50" s="297">
        <f ca="1">IF($B50="","",'הגבלה לסכום מבוקש (1)'!D50)</f>
        <v>80000</v>
      </c>
      <c r="D50" s="294">
        <f ca="1">IF($B50="","",'קיזוזים בגין איחורים'!F50+'קיזוזים- החלטות ועדה'!E50)</f>
        <v>0</v>
      </c>
      <c r="E50" s="297">
        <f t="shared" ca="1" si="6"/>
        <v>80000</v>
      </c>
      <c r="F50" s="294">
        <f ca="1">'קיזוזים- החלטות ועדה'!G50</f>
        <v>75902.39829871527</v>
      </c>
      <c r="G50" s="503">
        <f t="shared" ca="1" si="7"/>
        <v>0</v>
      </c>
      <c r="H50" s="297">
        <f t="shared" ca="1" si="8"/>
        <v>75902.39829871527</v>
      </c>
      <c r="I50" s="297">
        <f t="shared" ca="1" si="0"/>
        <v>75902.39829871527</v>
      </c>
      <c r="J50" s="298">
        <f t="shared" ca="1" si="9"/>
        <v>0</v>
      </c>
      <c r="K50" s="299">
        <f t="shared" ca="1" si="10"/>
        <v>75902.39829871527</v>
      </c>
      <c r="L50" s="299">
        <f t="shared" ca="1" si="1"/>
        <v>75902.39829871527</v>
      </c>
      <c r="M50" s="298">
        <f t="shared" ca="1" si="11"/>
        <v>0</v>
      </c>
      <c r="N50" s="299">
        <f t="shared" ca="1" si="12"/>
        <v>75902.39829871527</v>
      </c>
      <c r="O50" s="299">
        <f t="shared" ca="1" si="2"/>
        <v>75902.39829871527</v>
      </c>
      <c r="P50" s="298">
        <f t="shared" ca="1" si="13"/>
        <v>0</v>
      </c>
      <c r="Q50" s="299">
        <f t="shared" ca="1" si="14"/>
        <v>75902.39829871527</v>
      </c>
      <c r="R50" s="299">
        <f t="shared" ca="1" si="3"/>
        <v>75902.39829871527</v>
      </c>
      <c r="S50" s="298">
        <f t="shared" ca="1" si="15"/>
        <v>0</v>
      </c>
      <c r="T50" s="299">
        <f t="shared" ca="1" si="16"/>
        <v>75902.39829871527</v>
      </c>
      <c r="U50" s="299">
        <f t="shared" ca="1" si="4"/>
        <v>75902.39829871527</v>
      </c>
      <c r="V50" s="297">
        <f t="shared" ca="1" si="17"/>
        <v>75902.39829871527</v>
      </c>
      <c r="W50" s="501">
        <f t="shared" ca="1" si="18"/>
        <v>3.9803786798311445E-2</v>
      </c>
    </row>
    <row r="51" spans="1:23" s="292" customFormat="1" x14ac:dyDescent="0.25">
      <c r="A51" s="276">
        <f t="shared" ca="1" si="5"/>
        <v>21</v>
      </c>
      <c r="B51" s="277" t="str">
        <f ca="1">'קיזוזים- החלטות ועדה'!C51</f>
        <v>היסטוריה (החברה ההיסטורית הישרא</v>
      </c>
      <c r="C51" s="297">
        <f ca="1">IF($B51="","",'הגבלה לסכום מבוקש (1)'!D51)</f>
        <v>120000</v>
      </c>
      <c r="D51" s="294">
        <f ca="1">IF($B51="","",'קיזוזים בגין איחורים'!F51+'קיזוזים- החלטות ועדה'!E51)</f>
        <v>0</v>
      </c>
      <c r="E51" s="297">
        <f t="shared" ca="1" si="6"/>
        <v>120000</v>
      </c>
      <c r="F51" s="294">
        <f ca="1">'קיזוזים- החלטות ועדה'!G51</f>
        <v>51310.941279157974</v>
      </c>
      <c r="G51" s="503">
        <f t="shared" ca="1" si="7"/>
        <v>0</v>
      </c>
      <c r="H51" s="297">
        <f t="shared" ca="1" si="8"/>
        <v>51310.941279157974</v>
      </c>
      <c r="I51" s="297">
        <f t="shared" ca="1" si="0"/>
        <v>51310.941279157974</v>
      </c>
      <c r="J51" s="298">
        <f t="shared" ca="1" si="9"/>
        <v>0</v>
      </c>
      <c r="K51" s="299">
        <f t="shared" ca="1" si="10"/>
        <v>51310.941279157974</v>
      </c>
      <c r="L51" s="299">
        <f t="shared" ca="1" si="1"/>
        <v>51310.941279157974</v>
      </c>
      <c r="M51" s="298">
        <f t="shared" ca="1" si="11"/>
        <v>0</v>
      </c>
      <c r="N51" s="299">
        <f t="shared" ca="1" si="12"/>
        <v>51310.941279157974</v>
      </c>
      <c r="O51" s="299">
        <f t="shared" ca="1" si="2"/>
        <v>51310.941279157974</v>
      </c>
      <c r="P51" s="298">
        <f t="shared" ca="1" si="13"/>
        <v>0</v>
      </c>
      <c r="Q51" s="299">
        <f t="shared" ca="1" si="14"/>
        <v>51310.941279157974</v>
      </c>
      <c r="R51" s="299">
        <f t="shared" ca="1" si="3"/>
        <v>51310.941279157974</v>
      </c>
      <c r="S51" s="298">
        <f t="shared" ca="1" si="15"/>
        <v>0</v>
      </c>
      <c r="T51" s="299">
        <f t="shared" ca="1" si="16"/>
        <v>51310.941279157974</v>
      </c>
      <c r="U51" s="299">
        <f t="shared" ca="1" si="4"/>
        <v>51310.941279157974</v>
      </c>
      <c r="V51" s="297">
        <f t="shared" ca="1" si="17"/>
        <v>51310.941279157974</v>
      </c>
      <c r="W51" s="501">
        <f t="shared" ca="1" si="18"/>
        <v>2.6907842345883441E-2</v>
      </c>
    </row>
    <row r="52" spans="1:23" s="292" customFormat="1" x14ac:dyDescent="0.25">
      <c r="A52" s="276">
        <f t="shared" ca="1" si="5"/>
        <v>22</v>
      </c>
      <c r="B52" s="277" t="str">
        <f ca="1">'קיזוזים- החלטות ועדה'!C52</f>
        <v>מחול עכשיו (תמונע)</v>
      </c>
      <c r="C52" s="297">
        <f ca="1">IF($B52="","",'הגבלה לסכום מבוקש (1)'!D52)</f>
        <v>60000</v>
      </c>
      <c r="D52" s="294">
        <f ca="1">IF($B52="","",'קיזוזים בגין איחורים'!F52+'קיזוזים- החלטות ועדה'!E52)</f>
        <v>0</v>
      </c>
      <c r="E52" s="297">
        <f t="shared" ca="1" si="6"/>
        <v>60000</v>
      </c>
      <c r="F52" s="294">
        <f ca="1">'קיזוזים- החלטות ועדה'!G52</f>
        <v>60000</v>
      </c>
      <c r="G52" s="503">
        <f t="shared" ca="1" si="7"/>
        <v>0</v>
      </c>
      <c r="H52" s="297">
        <f t="shared" ca="1" si="8"/>
        <v>60000</v>
      </c>
      <c r="I52" s="297">
        <f t="shared" ca="1" si="0"/>
        <v>60000</v>
      </c>
      <c r="J52" s="298">
        <f t="shared" ca="1" si="9"/>
        <v>0</v>
      </c>
      <c r="K52" s="299">
        <f t="shared" ca="1" si="10"/>
        <v>60000</v>
      </c>
      <c r="L52" s="299">
        <f t="shared" ca="1" si="1"/>
        <v>60000</v>
      </c>
      <c r="M52" s="298">
        <f t="shared" ca="1" si="11"/>
        <v>0</v>
      </c>
      <c r="N52" s="299">
        <f t="shared" ca="1" si="12"/>
        <v>60000</v>
      </c>
      <c r="O52" s="299">
        <f t="shared" ca="1" si="2"/>
        <v>60000</v>
      </c>
      <c r="P52" s="298">
        <f t="shared" ca="1" si="13"/>
        <v>0</v>
      </c>
      <c r="Q52" s="299">
        <f t="shared" ca="1" si="14"/>
        <v>60000</v>
      </c>
      <c r="R52" s="299">
        <f t="shared" ca="1" si="3"/>
        <v>60000</v>
      </c>
      <c r="S52" s="298">
        <f t="shared" ca="1" si="15"/>
        <v>0</v>
      </c>
      <c r="T52" s="299">
        <f t="shared" ca="1" si="16"/>
        <v>60000</v>
      </c>
      <c r="U52" s="299">
        <f t="shared" ca="1" si="4"/>
        <v>60000</v>
      </c>
      <c r="V52" s="297">
        <f t="shared" ca="1" si="17"/>
        <v>60000</v>
      </c>
      <c r="W52" s="501">
        <f t="shared" ca="1" si="18"/>
        <v>3.1464449891290325E-2</v>
      </c>
    </row>
    <row r="53" spans="1:23" s="292" customFormat="1" x14ac:dyDescent="0.25">
      <c r="A53" s="276">
        <f t="shared" ca="1" si="5"/>
        <v>23</v>
      </c>
      <c r="B53" s="277" t="str">
        <f ca="1">'קיזוזים- החלטות ועדה'!C53</f>
        <v>קול אישה שירה (תואר)</v>
      </c>
      <c r="C53" s="297">
        <f ca="1">IF($B53="","",'הגבלה לסכום מבוקש (1)'!D53)</f>
        <v>75000</v>
      </c>
      <c r="D53" s="294">
        <f ca="1">IF($B53="","",'קיזוזים בגין איחורים'!F53+'קיזוזים- החלטות ועדה'!E53)</f>
        <v>0</v>
      </c>
      <c r="E53" s="297">
        <f t="shared" ca="1" si="6"/>
        <v>75000</v>
      </c>
      <c r="F53" s="294">
        <f ca="1">'קיזוזים- החלטות ועדה'!G53</f>
        <v>75000</v>
      </c>
      <c r="G53" s="503">
        <f t="shared" ca="1" si="7"/>
        <v>0</v>
      </c>
      <c r="H53" s="297">
        <f t="shared" ca="1" si="8"/>
        <v>75000</v>
      </c>
      <c r="I53" s="297">
        <f t="shared" ca="1" si="0"/>
        <v>75000</v>
      </c>
      <c r="J53" s="298">
        <f t="shared" ca="1" si="9"/>
        <v>0</v>
      </c>
      <c r="K53" s="299">
        <f t="shared" ca="1" si="10"/>
        <v>75000</v>
      </c>
      <c r="L53" s="299">
        <f t="shared" ca="1" si="1"/>
        <v>75000</v>
      </c>
      <c r="M53" s="298">
        <f t="shared" ca="1" si="11"/>
        <v>0</v>
      </c>
      <c r="N53" s="299">
        <f t="shared" ca="1" si="12"/>
        <v>75000</v>
      </c>
      <c r="O53" s="299">
        <f t="shared" ca="1" si="2"/>
        <v>75000</v>
      </c>
      <c r="P53" s="298">
        <f t="shared" ca="1" si="13"/>
        <v>0</v>
      </c>
      <c r="Q53" s="299">
        <f t="shared" ca="1" si="14"/>
        <v>75000</v>
      </c>
      <c r="R53" s="299">
        <f t="shared" ca="1" si="3"/>
        <v>75000</v>
      </c>
      <c r="S53" s="298">
        <f t="shared" ca="1" si="15"/>
        <v>0</v>
      </c>
      <c r="T53" s="299">
        <f t="shared" ca="1" si="16"/>
        <v>75000</v>
      </c>
      <c r="U53" s="299">
        <f t="shared" ca="1" si="4"/>
        <v>75000</v>
      </c>
      <c r="V53" s="297">
        <f t="shared" ca="1" si="17"/>
        <v>75000</v>
      </c>
      <c r="W53" s="501">
        <f t="shared" ca="1" si="18"/>
        <v>3.9330562364112906E-2</v>
      </c>
    </row>
    <row r="54" spans="1:23" s="292" customFormat="1" x14ac:dyDescent="0.25">
      <c r="A54" s="276">
        <f t="shared" ca="1" si="5"/>
        <v>24</v>
      </c>
      <c r="B54" s="277" t="str">
        <f ca="1">'קיזוזים- החלטות ועדה'!C54</f>
        <v>האיגוד העולמי למדעי היהדות</v>
      </c>
      <c r="C54" s="297">
        <f ca="1">IF($B54="","",'הגבלה לסכום מבוקש (1)'!D54)</f>
        <v>180000</v>
      </c>
      <c r="D54" s="294">
        <f ca="1">IF($B54="","",'קיזוזים בגין איחורים'!F54+'קיזוזים- החלטות ועדה'!E54)</f>
        <v>0</v>
      </c>
      <c r="E54" s="297">
        <f t="shared" ca="1" si="6"/>
        <v>180000</v>
      </c>
      <c r="F54" s="294">
        <f ca="1">'קיזוזים- החלטות ועדה'!G54</f>
        <v>64574.256854550913</v>
      </c>
      <c r="G54" s="503">
        <f t="shared" ca="1" si="7"/>
        <v>0</v>
      </c>
      <c r="H54" s="297">
        <f t="shared" ca="1" si="8"/>
        <v>64574.256854550913</v>
      </c>
      <c r="I54" s="297">
        <f t="shared" ca="1" si="0"/>
        <v>64574.256854550913</v>
      </c>
      <c r="J54" s="298">
        <f t="shared" ca="1" si="9"/>
        <v>0</v>
      </c>
      <c r="K54" s="299">
        <f t="shared" ca="1" si="10"/>
        <v>64574.256854550913</v>
      </c>
      <c r="L54" s="299">
        <f t="shared" ca="1" si="1"/>
        <v>64574.256854550913</v>
      </c>
      <c r="M54" s="298">
        <f t="shared" ca="1" si="11"/>
        <v>0</v>
      </c>
      <c r="N54" s="299">
        <f t="shared" ca="1" si="12"/>
        <v>64574.256854550913</v>
      </c>
      <c r="O54" s="299">
        <f t="shared" ca="1" si="2"/>
        <v>64574.256854550913</v>
      </c>
      <c r="P54" s="298">
        <f t="shared" ca="1" si="13"/>
        <v>0</v>
      </c>
      <c r="Q54" s="299">
        <f t="shared" ca="1" si="14"/>
        <v>64574.256854550913</v>
      </c>
      <c r="R54" s="299">
        <f t="shared" ca="1" si="3"/>
        <v>64574.256854550913</v>
      </c>
      <c r="S54" s="298">
        <f t="shared" ca="1" si="15"/>
        <v>0</v>
      </c>
      <c r="T54" s="299">
        <f t="shared" ca="1" si="16"/>
        <v>64574.256854550913</v>
      </c>
      <c r="U54" s="299">
        <f t="shared" ca="1" si="4"/>
        <v>64574.256854550913</v>
      </c>
      <c r="V54" s="297">
        <f t="shared" ca="1" si="17"/>
        <v>64574.256854550913</v>
      </c>
      <c r="W54" s="501">
        <f t="shared" ca="1" si="18"/>
        <v>3.3863224484455466E-2</v>
      </c>
    </row>
    <row r="55" spans="1:23" s="292" customFormat="1" x14ac:dyDescent="0.25">
      <c r="A55" s="276" t="str">
        <f t="shared" ca="1" si="5"/>
        <v/>
      </c>
      <c r="B55" s="277" t="str">
        <f ca="1">'קיזוזים- החלטות ועדה'!C55</f>
        <v/>
      </c>
      <c r="C55" s="297" t="str">
        <f ca="1">IF($B55="","",'הגבלה לסכום מבוקש (1)'!D55)</f>
        <v/>
      </c>
      <c r="D55" s="294" t="str">
        <f ca="1">IF($B55="","",'קיזוזים בגין איחורים'!F55+'קיזוזים- החלטות ועדה'!E55)</f>
        <v/>
      </c>
      <c r="E55" s="297" t="str">
        <f t="shared" ca="1" si="6"/>
        <v/>
      </c>
      <c r="F55" s="294" t="str">
        <f ca="1">'קיזוזים- החלטות ועדה'!G55</f>
        <v/>
      </c>
      <c r="G55" s="503" t="str">
        <f t="shared" ca="1" si="7"/>
        <v/>
      </c>
      <c r="H55" s="297" t="str">
        <f t="shared" ca="1" si="8"/>
        <v/>
      </c>
      <c r="I55" s="297" t="str">
        <f t="shared" ca="1" si="0"/>
        <v/>
      </c>
      <c r="J55" s="298">
        <f t="shared" ca="1" si="9"/>
        <v>0</v>
      </c>
      <c r="K55" s="299" t="str">
        <f t="shared" ca="1" si="10"/>
        <v/>
      </c>
      <c r="L55" s="299" t="str">
        <f t="shared" ca="1" si="1"/>
        <v/>
      </c>
      <c r="M55" s="298">
        <f t="shared" ca="1" si="11"/>
        <v>0</v>
      </c>
      <c r="N55" s="299" t="str">
        <f t="shared" ca="1" si="12"/>
        <v/>
      </c>
      <c r="O55" s="299" t="str">
        <f t="shared" ca="1" si="2"/>
        <v/>
      </c>
      <c r="P55" s="298">
        <f t="shared" ca="1" si="13"/>
        <v>0</v>
      </c>
      <c r="Q55" s="299" t="str">
        <f t="shared" ca="1" si="14"/>
        <v/>
      </c>
      <c r="R55" s="299" t="str">
        <f t="shared" ca="1" si="3"/>
        <v/>
      </c>
      <c r="S55" s="298">
        <f t="shared" ca="1" si="15"/>
        <v>0</v>
      </c>
      <c r="T55" s="299" t="str">
        <f t="shared" ca="1" si="16"/>
        <v/>
      </c>
      <c r="U55" s="299" t="str">
        <f t="shared" ca="1" si="4"/>
        <v/>
      </c>
      <c r="V55" s="297" t="str">
        <f t="shared" ca="1" si="17"/>
        <v/>
      </c>
      <c r="W55" s="501" t="str">
        <f t="shared" ca="1" si="18"/>
        <v/>
      </c>
    </row>
    <row r="56" spans="1:23" s="292" customFormat="1" x14ac:dyDescent="0.25">
      <c r="A56" s="276" t="str">
        <f t="shared" ca="1" si="5"/>
        <v/>
      </c>
      <c r="B56" s="277" t="str">
        <f ca="1">'קיזוזים- החלטות ועדה'!C56</f>
        <v/>
      </c>
      <c r="C56" s="297" t="str">
        <f ca="1">IF($B56="","",'הגבלה לסכום מבוקש (1)'!D56)</f>
        <v/>
      </c>
      <c r="D56" s="294" t="str">
        <f ca="1">IF($B56="","",'קיזוזים בגין איחורים'!F56+'קיזוזים- החלטות ועדה'!E56)</f>
        <v/>
      </c>
      <c r="E56" s="297" t="str">
        <f t="shared" ca="1" si="6"/>
        <v/>
      </c>
      <c r="F56" s="294" t="str">
        <f ca="1">'קיזוזים- החלטות ועדה'!G56</f>
        <v/>
      </c>
      <c r="G56" s="503" t="str">
        <f t="shared" ca="1" si="7"/>
        <v/>
      </c>
      <c r="H56" s="297" t="str">
        <f t="shared" ca="1" si="8"/>
        <v/>
      </c>
      <c r="I56" s="297" t="str">
        <f t="shared" ca="1" si="0"/>
        <v/>
      </c>
      <c r="J56" s="298">
        <f t="shared" ca="1" si="9"/>
        <v>0</v>
      </c>
      <c r="K56" s="299" t="str">
        <f t="shared" ca="1" si="10"/>
        <v/>
      </c>
      <c r="L56" s="299" t="str">
        <f t="shared" ca="1" si="1"/>
        <v/>
      </c>
      <c r="M56" s="298">
        <f t="shared" ca="1" si="11"/>
        <v>0</v>
      </c>
      <c r="N56" s="299" t="str">
        <f t="shared" ca="1" si="12"/>
        <v/>
      </c>
      <c r="O56" s="299" t="str">
        <f t="shared" ca="1" si="2"/>
        <v/>
      </c>
      <c r="P56" s="298">
        <f t="shared" ca="1" si="13"/>
        <v>0</v>
      </c>
      <c r="Q56" s="299" t="str">
        <f t="shared" ca="1" si="14"/>
        <v/>
      </c>
      <c r="R56" s="299" t="str">
        <f t="shared" ca="1" si="3"/>
        <v/>
      </c>
      <c r="S56" s="298">
        <f t="shared" ca="1" si="15"/>
        <v>0</v>
      </c>
      <c r="T56" s="299" t="str">
        <f t="shared" ca="1" si="16"/>
        <v/>
      </c>
      <c r="U56" s="299" t="str">
        <f t="shared" ca="1" si="4"/>
        <v/>
      </c>
      <c r="V56" s="297" t="str">
        <f t="shared" ca="1" si="17"/>
        <v/>
      </c>
      <c r="W56" s="501" t="str">
        <f t="shared" ca="1" si="18"/>
        <v/>
      </c>
    </row>
    <row r="57" spans="1:23" s="292" customFormat="1" x14ac:dyDescent="0.25">
      <c r="A57" s="276" t="str">
        <f t="shared" ca="1" si="5"/>
        <v/>
      </c>
      <c r="B57" s="277" t="str">
        <f ca="1">'קיזוזים- החלטות ועדה'!C57</f>
        <v/>
      </c>
      <c r="C57" s="297" t="str">
        <f ca="1">IF($B57="","",'הגבלה לסכום מבוקש (1)'!D57)</f>
        <v/>
      </c>
      <c r="D57" s="294" t="str">
        <f ca="1">IF($B57="","",'קיזוזים בגין איחורים'!F57+'קיזוזים- החלטות ועדה'!E57)</f>
        <v/>
      </c>
      <c r="E57" s="297" t="str">
        <f t="shared" ca="1" si="6"/>
        <v/>
      </c>
      <c r="F57" s="294" t="str">
        <f ca="1">'קיזוזים- החלטות ועדה'!G57</f>
        <v/>
      </c>
      <c r="G57" s="503" t="str">
        <f t="shared" ca="1" si="7"/>
        <v/>
      </c>
      <c r="H57" s="297" t="str">
        <f t="shared" ca="1" si="8"/>
        <v/>
      </c>
      <c r="I57" s="297" t="str">
        <f t="shared" ca="1" si="0"/>
        <v/>
      </c>
      <c r="J57" s="298">
        <f t="shared" ca="1" si="9"/>
        <v>0</v>
      </c>
      <c r="K57" s="299" t="str">
        <f t="shared" ca="1" si="10"/>
        <v/>
      </c>
      <c r="L57" s="299" t="str">
        <f t="shared" ca="1" si="1"/>
        <v/>
      </c>
      <c r="M57" s="298">
        <f t="shared" ca="1" si="11"/>
        <v>0</v>
      </c>
      <c r="N57" s="299" t="str">
        <f t="shared" ca="1" si="12"/>
        <v/>
      </c>
      <c r="O57" s="299" t="str">
        <f t="shared" ca="1" si="2"/>
        <v/>
      </c>
      <c r="P57" s="298">
        <f t="shared" ca="1" si="13"/>
        <v>0</v>
      </c>
      <c r="Q57" s="299" t="str">
        <f t="shared" ca="1" si="14"/>
        <v/>
      </c>
      <c r="R57" s="299" t="str">
        <f t="shared" ca="1" si="3"/>
        <v/>
      </c>
      <c r="S57" s="298">
        <f t="shared" ca="1" si="15"/>
        <v>0</v>
      </c>
      <c r="T57" s="299" t="str">
        <f t="shared" ca="1" si="16"/>
        <v/>
      </c>
      <c r="U57" s="299" t="str">
        <f t="shared" ca="1" si="4"/>
        <v/>
      </c>
      <c r="V57" s="297" t="str">
        <f t="shared" ca="1" si="17"/>
        <v/>
      </c>
      <c r="W57" s="501" t="str">
        <f t="shared" ca="1" si="18"/>
        <v/>
      </c>
    </row>
    <row r="58" spans="1:23" s="292" customFormat="1" x14ac:dyDescent="0.25">
      <c r="A58" s="276" t="str">
        <f t="shared" ca="1" si="5"/>
        <v/>
      </c>
      <c r="B58" s="277" t="str">
        <f ca="1">'קיזוזים- החלטות ועדה'!C58</f>
        <v/>
      </c>
      <c r="C58" s="297" t="str">
        <f ca="1">IF($B58="","",'הגבלה לסכום מבוקש (1)'!D58)</f>
        <v/>
      </c>
      <c r="D58" s="294" t="str">
        <f ca="1">IF($B58="","",'קיזוזים בגין איחורים'!F58+'קיזוזים- החלטות ועדה'!E58)</f>
        <v/>
      </c>
      <c r="E58" s="297" t="str">
        <f t="shared" ca="1" si="6"/>
        <v/>
      </c>
      <c r="F58" s="294" t="str">
        <f ca="1">'קיזוזים- החלטות ועדה'!G58</f>
        <v/>
      </c>
      <c r="G58" s="503" t="str">
        <f t="shared" ca="1" si="7"/>
        <v/>
      </c>
      <c r="H58" s="297" t="str">
        <f t="shared" ca="1" si="8"/>
        <v/>
      </c>
      <c r="I58" s="297" t="str">
        <f t="shared" ca="1" si="0"/>
        <v/>
      </c>
      <c r="J58" s="298">
        <f t="shared" ca="1" si="9"/>
        <v>0</v>
      </c>
      <c r="K58" s="299" t="str">
        <f t="shared" ca="1" si="10"/>
        <v/>
      </c>
      <c r="L58" s="299" t="str">
        <f t="shared" ca="1" si="1"/>
        <v/>
      </c>
      <c r="M58" s="298">
        <f t="shared" ca="1" si="11"/>
        <v>0</v>
      </c>
      <c r="N58" s="299" t="str">
        <f t="shared" ca="1" si="12"/>
        <v/>
      </c>
      <c r="O58" s="299" t="str">
        <f t="shared" ca="1" si="2"/>
        <v/>
      </c>
      <c r="P58" s="298">
        <f t="shared" ca="1" si="13"/>
        <v>0</v>
      </c>
      <c r="Q58" s="299" t="str">
        <f t="shared" ca="1" si="14"/>
        <v/>
      </c>
      <c r="R58" s="299" t="str">
        <f t="shared" ca="1" si="3"/>
        <v/>
      </c>
      <c r="S58" s="298">
        <f t="shared" ca="1" si="15"/>
        <v>0</v>
      </c>
      <c r="T58" s="299" t="str">
        <f t="shared" ca="1" si="16"/>
        <v/>
      </c>
      <c r="U58" s="299" t="str">
        <f t="shared" ca="1" si="4"/>
        <v/>
      </c>
      <c r="V58" s="297" t="str">
        <f t="shared" ca="1" si="17"/>
        <v/>
      </c>
      <c r="W58" s="501" t="str">
        <f t="shared" ca="1" si="18"/>
        <v/>
      </c>
    </row>
    <row r="59" spans="1:23" s="292" customFormat="1" x14ac:dyDescent="0.25">
      <c r="A59" s="276">
        <f t="shared" ca="1" si="5"/>
        <v>29</v>
      </c>
      <c r="B59" s="277" t="str">
        <f ca="1">'קיזוזים- החלטות ועדה'!C59</f>
        <v>גופא (נתיב האומן )</v>
      </c>
      <c r="C59" s="297">
        <f ca="1">IF($B59="","",'הגבלה לסכום מבוקש (1)'!D59)</f>
        <v>250000</v>
      </c>
      <c r="D59" s="294">
        <f ca="1">IF($B59="","",'קיזוזים בגין איחורים'!F59+'קיזוזים- החלטות ועדה'!E59)</f>
        <v>0</v>
      </c>
      <c r="E59" s="297">
        <f t="shared" ca="1" si="6"/>
        <v>250000</v>
      </c>
      <c r="F59" s="294">
        <f ca="1">'קיזוזים- החלטות ועדה'!G59</f>
        <v>44776.872485815889</v>
      </c>
      <c r="G59" s="503">
        <f t="shared" ca="1" si="7"/>
        <v>0</v>
      </c>
      <c r="H59" s="297">
        <f t="shared" ca="1" si="8"/>
        <v>44776.872485815889</v>
      </c>
      <c r="I59" s="297">
        <f t="shared" ca="1" si="0"/>
        <v>44776.872485815889</v>
      </c>
      <c r="J59" s="298">
        <f t="shared" ca="1" si="9"/>
        <v>0</v>
      </c>
      <c r="K59" s="299">
        <f t="shared" ca="1" si="10"/>
        <v>44776.872485815889</v>
      </c>
      <c r="L59" s="299">
        <f t="shared" ca="1" si="1"/>
        <v>44776.872485815889</v>
      </c>
      <c r="M59" s="298">
        <f t="shared" ca="1" si="11"/>
        <v>0</v>
      </c>
      <c r="N59" s="299">
        <f t="shared" ca="1" si="12"/>
        <v>44776.872485815889</v>
      </c>
      <c r="O59" s="299">
        <f t="shared" ca="1" si="2"/>
        <v>44776.872485815889</v>
      </c>
      <c r="P59" s="298">
        <f t="shared" ca="1" si="13"/>
        <v>0</v>
      </c>
      <c r="Q59" s="299">
        <f t="shared" ca="1" si="14"/>
        <v>44776.872485815889</v>
      </c>
      <c r="R59" s="299">
        <f t="shared" ca="1" si="3"/>
        <v>44776.872485815889</v>
      </c>
      <c r="S59" s="298">
        <f t="shared" ca="1" si="15"/>
        <v>0</v>
      </c>
      <c r="T59" s="299">
        <f t="shared" ca="1" si="16"/>
        <v>44776.872485815889</v>
      </c>
      <c r="U59" s="299">
        <f t="shared" ca="1" si="4"/>
        <v>44776.872485815889</v>
      </c>
      <c r="V59" s="297">
        <f t="shared" ca="1" si="17"/>
        <v>44776.872485815889</v>
      </c>
      <c r="W59" s="501">
        <f t="shared" ca="1" si="18"/>
        <v>2.3481327676977509E-2</v>
      </c>
    </row>
    <row r="60" spans="1:23" s="292" customFormat="1" x14ac:dyDescent="0.25">
      <c r="A60" s="276">
        <f t="shared" ca="1" si="5"/>
        <v>30</v>
      </c>
      <c r="B60" s="277" t="str">
        <f ca="1">'קיזוזים- החלטות ועדה'!C60</f>
        <v>ערב רב (בר קיימא)</v>
      </c>
      <c r="C60" s="297">
        <f ca="1">IF($B60="","",'הגבלה לסכום מבוקש (1)'!D60)</f>
        <v>150000</v>
      </c>
      <c r="D60" s="294">
        <f ca="1">IF($B60="","",'קיזוזים בגין איחורים'!F60+'קיזוזים- החלטות ועדה'!E60)</f>
        <v>0</v>
      </c>
      <c r="E60" s="297">
        <f t="shared" ca="1" si="6"/>
        <v>150000</v>
      </c>
      <c r="F60" s="294">
        <f ca="1">'קיזוזים- החלטות ועדה'!G60</f>
        <v>65881.953579386216</v>
      </c>
      <c r="G60" s="503">
        <f t="shared" ca="1" si="7"/>
        <v>0</v>
      </c>
      <c r="H60" s="297">
        <f t="shared" ca="1" si="8"/>
        <v>65881.953579386216</v>
      </c>
      <c r="I60" s="297">
        <f t="shared" ca="1" si="0"/>
        <v>65881.953579386216</v>
      </c>
      <c r="J60" s="298">
        <f t="shared" ca="1" si="9"/>
        <v>0</v>
      </c>
      <c r="K60" s="299">
        <f t="shared" ca="1" si="10"/>
        <v>65881.953579386216</v>
      </c>
      <c r="L60" s="299">
        <f t="shared" ca="1" si="1"/>
        <v>65881.953579386216</v>
      </c>
      <c r="M60" s="298">
        <f t="shared" ca="1" si="11"/>
        <v>0</v>
      </c>
      <c r="N60" s="299">
        <f t="shared" ca="1" si="12"/>
        <v>65881.953579386216</v>
      </c>
      <c r="O60" s="299">
        <f t="shared" ca="1" si="2"/>
        <v>65881.953579386216</v>
      </c>
      <c r="P60" s="298">
        <f t="shared" ca="1" si="13"/>
        <v>0</v>
      </c>
      <c r="Q60" s="299">
        <f t="shared" ca="1" si="14"/>
        <v>65881.953579386216</v>
      </c>
      <c r="R60" s="299">
        <f t="shared" ca="1" si="3"/>
        <v>65881.953579386216</v>
      </c>
      <c r="S60" s="298">
        <f t="shared" ca="1" si="15"/>
        <v>0</v>
      </c>
      <c r="T60" s="299">
        <f t="shared" ca="1" si="16"/>
        <v>65881.953579386216</v>
      </c>
      <c r="U60" s="299">
        <f t="shared" ca="1" si="4"/>
        <v>65881.953579386216</v>
      </c>
      <c r="V60" s="297">
        <f t="shared" ca="1" si="17"/>
        <v>65881.953579386216</v>
      </c>
      <c r="W60" s="501">
        <f t="shared" ca="1" si="18"/>
        <v>3.4548990452315215E-2</v>
      </c>
    </row>
    <row r="61" spans="1:23" s="292" customFormat="1" x14ac:dyDescent="0.25">
      <c r="A61" s="276" t="str">
        <f t="shared" ca="1" si="5"/>
        <v/>
      </c>
      <c r="B61" s="277" t="str">
        <f ca="1">'קיזוזים- החלטות ועדה'!C61</f>
        <v/>
      </c>
      <c r="C61" s="297" t="str">
        <f ca="1">IF($B61="","",'הגבלה לסכום מבוקש (1)'!D61)</f>
        <v/>
      </c>
      <c r="D61" s="294" t="str">
        <f ca="1">IF($B61="","",'קיזוזים בגין איחורים'!F61+'קיזוזים- החלטות ועדה'!E61)</f>
        <v/>
      </c>
      <c r="E61" s="297" t="str">
        <f t="shared" ca="1" si="6"/>
        <v/>
      </c>
      <c r="F61" s="294" t="str">
        <f ca="1">'קיזוזים- החלטות ועדה'!G61</f>
        <v/>
      </c>
      <c r="G61" s="503" t="str">
        <f t="shared" ca="1" si="7"/>
        <v/>
      </c>
      <c r="H61" s="297" t="str">
        <f t="shared" ca="1" si="8"/>
        <v/>
      </c>
      <c r="I61" s="297" t="str">
        <f t="shared" ca="1" si="0"/>
        <v/>
      </c>
      <c r="J61" s="298">
        <f t="shared" ca="1" si="9"/>
        <v>0</v>
      </c>
      <c r="K61" s="299" t="str">
        <f t="shared" ca="1" si="10"/>
        <v/>
      </c>
      <c r="L61" s="299" t="str">
        <f t="shared" ca="1" si="1"/>
        <v/>
      </c>
      <c r="M61" s="298">
        <f t="shared" ca="1" si="11"/>
        <v>0</v>
      </c>
      <c r="N61" s="299" t="str">
        <f t="shared" ca="1" si="12"/>
        <v/>
      </c>
      <c r="O61" s="299" t="str">
        <f t="shared" ca="1" si="2"/>
        <v/>
      </c>
      <c r="P61" s="298">
        <f t="shared" ca="1" si="13"/>
        <v>0</v>
      </c>
      <c r="Q61" s="299" t="str">
        <f t="shared" ca="1" si="14"/>
        <v/>
      </c>
      <c r="R61" s="299" t="str">
        <f t="shared" ca="1" si="3"/>
        <v/>
      </c>
      <c r="S61" s="298">
        <f t="shared" ca="1" si="15"/>
        <v>0</v>
      </c>
      <c r="T61" s="299" t="str">
        <f t="shared" ca="1" si="16"/>
        <v/>
      </c>
      <c r="U61" s="299" t="str">
        <f t="shared" ca="1" si="4"/>
        <v/>
      </c>
      <c r="V61" s="297" t="str">
        <f t="shared" ca="1" si="17"/>
        <v/>
      </c>
      <c r="W61" s="501" t="str">
        <f t="shared" ca="1" si="18"/>
        <v/>
      </c>
    </row>
    <row r="62" spans="1:23" s="292" customFormat="1" x14ac:dyDescent="0.25">
      <c r="A62" s="276">
        <f t="shared" ca="1" si="5"/>
        <v>32</v>
      </c>
      <c r="B62" s="277" t="str">
        <f ca="1">'קיזוזים- החלטות ועדה'!C62</f>
        <v>מעלה</v>
      </c>
      <c r="C62" s="297">
        <f ca="1">IF($B62="","",'הגבלה לסכום מבוקש (1)'!D62)</f>
        <v>150000</v>
      </c>
      <c r="D62" s="294">
        <f ca="1">IF($B62="","",'קיזוזים בגין איחורים'!F62+'קיזוזים- החלטות ועדה'!E62)</f>
        <v>0</v>
      </c>
      <c r="E62" s="297">
        <f t="shared" ca="1" si="6"/>
        <v>150000</v>
      </c>
      <c r="F62" s="294">
        <f ca="1">'קיזוזים- החלטות ועדה'!G62</f>
        <v>120113.02039153693</v>
      </c>
      <c r="G62" s="503">
        <f t="shared" ca="1" si="7"/>
        <v>0</v>
      </c>
      <c r="H62" s="297">
        <f t="shared" ca="1" si="8"/>
        <v>120113.02039153693</v>
      </c>
      <c r="I62" s="297">
        <f t="shared" ca="1" si="0"/>
        <v>120113.02039153692</v>
      </c>
      <c r="J62" s="298">
        <f t="shared" ca="1" si="9"/>
        <v>0</v>
      </c>
      <c r="K62" s="299">
        <f t="shared" ca="1" si="10"/>
        <v>120113.02039153692</v>
      </c>
      <c r="L62" s="299">
        <f t="shared" ca="1" si="1"/>
        <v>120113.02039153692</v>
      </c>
      <c r="M62" s="298">
        <f t="shared" ca="1" si="11"/>
        <v>0</v>
      </c>
      <c r="N62" s="299">
        <f t="shared" ca="1" si="12"/>
        <v>120113.02039153692</v>
      </c>
      <c r="O62" s="299">
        <f t="shared" ca="1" si="2"/>
        <v>120113.02039153692</v>
      </c>
      <c r="P62" s="298">
        <f t="shared" ca="1" si="13"/>
        <v>0</v>
      </c>
      <c r="Q62" s="299">
        <f t="shared" ca="1" si="14"/>
        <v>120113.02039153692</v>
      </c>
      <c r="R62" s="299">
        <f t="shared" ca="1" si="3"/>
        <v>120113.02039153692</v>
      </c>
      <c r="S62" s="298">
        <f t="shared" ca="1" si="15"/>
        <v>0</v>
      </c>
      <c r="T62" s="299">
        <f t="shared" ca="1" si="16"/>
        <v>120113.02039153692</v>
      </c>
      <c r="U62" s="299">
        <f t="shared" ca="1" si="4"/>
        <v>120113.02039153692</v>
      </c>
      <c r="V62" s="297">
        <f t="shared" ca="1" si="17"/>
        <v>120113.02039153692</v>
      </c>
      <c r="W62" s="501">
        <f t="shared" ca="1" si="18"/>
        <v>6.2988168523350777E-2</v>
      </c>
    </row>
    <row r="63" spans="1:23" s="292" customFormat="1" x14ac:dyDescent="0.25">
      <c r="A63" s="276" t="str">
        <f t="shared" ca="1" si="5"/>
        <v/>
      </c>
      <c r="B63" s="277" t="str">
        <f ca="1">'קיזוזים- החלטות ועדה'!C63</f>
        <v/>
      </c>
      <c r="C63" s="297" t="str">
        <f ca="1">IF($B63="","",'הגבלה לסכום מבוקש (1)'!D63)</f>
        <v/>
      </c>
      <c r="D63" s="294" t="str">
        <f ca="1">IF($B63="","",'קיזוזים בגין איחורים'!F63+'קיזוזים- החלטות ועדה'!E63)</f>
        <v/>
      </c>
      <c r="E63" s="297" t="str">
        <f t="shared" ca="1" si="6"/>
        <v/>
      </c>
      <c r="F63" s="294" t="str">
        <f ca="1">'קיזוזים- החלטות ועדה'!G63</f>
        <v/>
      </c>
      <c r="G63" s="503" t="str">
        <f t="shared" ca="1" si="7"/>
        <v/>
      </c>
      <c r="H63" s="297" t="str">
        <f t="shared" ca="1" si="8"/>
        <v/>
      </c>
      <c r="I63" s="297" t="str">
        <f t="shared" ca="1" si="0"/>
        <v/>
      </c>
      <c r="J63" s="298">
        <f t="shared" ca="1" si="9"/>
        <v>0</v>
      </c>
      <c r="K63" s="299" t="str">
        <f t="shared" ca="1" si="10"/>
        <v/>
      </c>
      <c r="L63" s="299" t="str">
        <f t="shared" ca="1" si="1"/>
        <v/>
      </c>
      <c r="M63" s="298">
        <f t="shared" ca="1" si="11"/>
        <v>0</v>
      </c>
      <c r="N63" s="299" t="str">
        <f t="shared" ca="1" si="12"/>
        <v/>
      </c>
      <c r="O63" s="299" t="str">
        <f t="shared" ca="1" si="2"/>
        <v/>
      </c>
      <c r="P63" s="298">
        <f t="shared" ca="1" si="13"/>
        <v>0</v>
      </c>
      <c r="Q63" s="299" t="str">
        <f t="shared" ca="1" si="14"/>
        <v/>
      </c>
      <c r="R63" s="299" t="str">
        <f t="shared" ca="1" si="3"/>
        <v/>
      </c>
      <c r="S63" s="298">
        <f t="shared" ca="1" si="15"/>
        <v>0</v>
      </c>
      <c r="T63" s="299" t="str">
        <f t="shared" ca="1" si="16"/>
        <v/>
      </c>
      <c r="U63" s="299" t="str">
        <f t="shared" ca="1" si="4"/>
        <v/>
      </c>
      <c r="V63" s="297" t="str">
        <f t="shared" ca="1" si="17"/>
        <v/>
      </c>
      <c r="W63" s="501" t="str">
        <f t="shared" ca="1" si="18"/>
        <v/>
      </c>
    </row>
    <row r="64" spans="1:23" s="292" customFormat="1" x14ac:dyDescent="0.25">
      <c r="A64" s="276">
        <f t="shared" ca="1" si="5"/>
        <v>34</v>
      </c>
      <c r="B64" s="277" t="str">
        <f ca="1">'קיזוזים- החלטות ועדה'!C64</f>
        <v>כתב עת ירושלמי</v>
      </c>
      <c r="C64" s="297">
        <f ca="1">IF($B64="","",'הגבלה לסכום מבוקש (1)'!D64)</f>
        <v>200000</v>
      </c>
      <c r="D64" s="294">
        <f ca="1">IF($B64="","",'קיזוזים בגין איחורים'!F64+'קיזוזים- החלטות ועדה'!E64)</f>
        <v>0</v>
      </c>
      <c r="E64" s="297">
        <f t="shared" ca="1" si="6"/>
        <v>200000</v>
      </c>
      <c r="F64" s="294">
        <f ca="1">'קיזוזים- החלטות ועדה'!G64</f>
        <v>59854.236223549698</v>
      </c>
      <c r="G64" s="503">
        <f t="shared" ca="1" si="7"/>
        <v>0</v>
      </c>
      <c r="H64" s="297">
        <f t="shared" ca="1" si="8"/>
        <v>59854.236223549698</v>
      </c>
      <c r="I64" s="297">
        <f t="shared" ca="1" si="0"/>
        <v>59854.236223549691</v>
      </c>
      <c r="J64" s="298">
        <f t="shared" ca="1" si="9"/>
        <v>0</v>
      </c>
      <c r="K64" s="299">
        <f t="shared" ca="1" si="10"/>
        <v>59854.236223549691</v>
      </c>
      <c r="L64" s="299">
        <f t="shared" ca="1" si="1"/>
        <v>59854.236223549691</v>
      </c>
      <c r="M64" s="298">
        <f t="shared" ca="1" si="11"/>
        <v>0</v>
      </c>
      <c r="N64" s="299">
        <f t="shared" ca="1" si="12"/>
        <v>59854.236223549691</v>
      </c>
      <c r="O64" s="299">
        <f t="shared" ca="1" si="2"/>
        <v>59854.236223549691</v>
      </c>
      <c r="P64" s="298">
        <f t="shared" ca="1" si="13"/>
        <v>0</v>
      </c>
      <c r="Q64" s="299">
        <f t="shared" ca="1" si="14"/>
        <v>59854.236223549691</v>
      </c>
      <c r="R64" s="299">
        <f t="shared" ca="1" si="3"/>
        <v>59854.236223549691</v>
      </c>
      <c r="S64" s="298">
        <f t="shared" ca="1" si="15"/>
        <v>0</v>
      </c>
      <c r="T64" s="299">
        <f t="shared" ca="1" si="16"/>
        <v>59854.236223549691</v>
      </c>
      <c r="U64" s="299">
        <f t="shared" ca="1" si="4"/>
        <v>59854.236223549691</v>
      </c>
      <c r="V64" s="297">
        <f t="shared" ca="1" si="17"/>
        <v>59854.236223549691</v>
      </c>
      <c r="W64" s="501">
        <f t="shared" ca="1" si="18"/>
        <v>3.1388010273955561E-2</v>
      </c>
    </row>
    <row r="65" spans="1:23" s="292" customFormat="1" x14ac:dyDescent="0.25">
      <c r="A65" s="276" t="str">
        <f t="shared" ca="1" si="5"/>
        <v/>
      </c>
      <c r="B65" s="277" t="str">
        <f ca="1">'קיזוזים- החלטות ועדה'!C65</f>
        <v/>
      </c>
      <c r="C65" s="297" t="str">
        <f ca="1">IF($B65="","",'הגבלה לסכום מבוקש (1)'!D65)</f>
        <v/>
      </c>
      <c r="D65" s="294" t="str">
        <f ca="1">IF($B65="","",'קיזוזים בגין איחורים'!F65+'קיזוזים- החלטות ועדה'!E65)</f>
        <v/>
      </c>
      <c r="E65" s="297" t="str">
        <f t="shared" ca="1" si="6"/>
        <v/>
      </c>
      <c r="F65" s="294" t="str">
        <f ca="1">'קיזוזים- החלטות ועדה'!G65</f>
        <v/>
      </c>
      <c r="G65" s="503" t="str">
        <f t="shared" ca="1" si="7"/>
        <v/>
      </c>
      <c r="H65" s="297" t="str">
        <f t="shared" ca="1" si="8"/>
        <v/>
      </c>
      <c r="I65" s="297" t="str">
        <f t="shared" ca="1" si="0"/>
        <v/>
      </c>
      <c r="J65" s="298">
        <f t="shared" ca="1" si="9"/>
        <v>0</v>
      </c>
      <c r="K65" s="299" t="str">
        <f t="shared" ca="1" si="10"/>
        <v/>
      </c>
      <c r="L65" s="299" t="str">
        <f t="shared" ca="1" si="1"/>
        <v/>
      </c>
      <c r="M65" s="298">
        <f t="shared" ca="1" si="11"/>
        <v>0</v>
      </c>
      <c r="N65" s="299" t="str">
        <f t="shared" ca="1" si="12"/>
        <v/>
      </c>
      <c r="O65" s="299" t="str">
        <f t="shared" ca="1" si="2"/>
        <v/>
      </c>
      <c r="P65" s="298">
        <f t="shared" ca="1" si="13"/>
        <v>0</v>
      </c>
      <c r="Q65" s="299" t="str">
        <f t="shared" ca="1" si="14"/>
        <v/>
      </c>
      <c r="R65" s="299" t="str">
        <f t="shared" ca="1" si="3"/>
        <v/>
      </c>
      <c r="S65" s="298">
        <f t="shared" ca="1" si="15"/>
        <v>0</v>
      </c>
      <c r="T65" s="299" t="str">
        <f t="shared" ca="1" si="16"/>
        <v/>
      </c>
      <c r="U65" s="299" t="str">
        <f t="shared" ca="1" si="4"/>
        <v/>
      </c>
      <c r="V65" s="297" t="str">
        <f t="shared" ca="1" si="17"/>
        <v/>
      </c>
      <c r="W65" s="501" t="str">
        <f t="shared" ca="1" si="18"/>
        <v/>
      </c>
    </row>
    <row r="66" spans="1:23" s="292" customFormat="1" x14ac:dyDescent="0.25">
      <c r="A66" s="276">
        <f t="shared" ca="1" si="5"/>
        <v>36</v>
      </c>
      <c r="B66" s="277" t="str">
        <f ca="1">'קיזוזים- החלטות ועדה'!C66</f>
        <v>העמותה ליצירה פנטסטית- אוטופיה</v>
      </c>
      <c r="C66" s="297">
        <f ca="1">IF($B66="","",'הגבלה לסכום מבוקש (1)'!D66)</f>
        <v>100000</v>
      </c>
      <c r="D66" s="294">
        <f ca="1">IF($B66="","",'קיזוזים בגין איחורים'!F66+'קיזוזים- החלטות ועדה'!E66)</f>
        <v>0</v>
      </c>
      <c r="E66" s="297">
        <f t="shared" ca="1" si="6"/>
        <v>100000</v>
      </c>
      <c r="F66" s="294">
        <f ca="1">'קיזוזים- החלטות ועדה'!G66</f>
        <v>75197.68799256481</v>
      </c>
      <c r="G66" s="503">
        <f t="shared" ca="1" si="7"/>
        <v>0</v>
      </c>
      <c r="H66" s="297">
        <f t="shared" ca="1" si="8"/>
        <v>75197.68799256481</v>
      </c>
      <c r="I66" s="297">
        <f t="shared" ca="1" si="0"/>
        <v>75197.68799256481</v>
      </c>
      <c r="J66" s="298">
        <f t="shared" ca="1" si="9"/>
        <v>0</v>
      </c>
      <c r="K66" s="299">
        <f t="shared" ca="1" si="10"/>
        <v>75197.68799256481</v>
      </c>
      <c r="L66" s="299">
        <f t="shared" ca="1" si="1"/>
        <v>75197.68799256481</v>
      </c>
      <c r="M66" s="298">
        <f t="shared" ca="1" si="11"/>
        <v>0</v>
      </c>
      <c r="N66" s="299">
        <f t="shared" ca="1" si="12"/>
        <v>75197.68799256481</v>
      </c>
      <c r="O66" s="299">
        <f t="shared" ca="1" si="2"/>
        <v>75197.68799256481</v>
      </c>
      <c r="P66" s="298">
        <f t="shared" ca="1" si="13"/>
        <v>0</v>
      </c>
      <c r="Q66" s="299">
        <f t="shared" ca="1" si="14"/>
        <v>75197.68799256481</v>
      </c>
      <c r="R66" s="299">
        <f t="shared" ca="1" si="3"/>
        <v>75197.68799256481</v>
      </c>
      <c r="S66" s="298">
        <f t="shared" ca="1" si="15"/>
        <v>0</v>
      </c>
      <c r="T66" s="299">
        <f t="shared" ca="1" si="16"/>
        <v>75197.68799256481</v>
      </c>
      <c r="U66" s="299">
        <f t="shared" ca="1" si="4"/>
        <v>75197.68799256481</v>
      </c>
      <c r="V66" s="297">
        <f t="shared" ca="1" si="17"/>
        <v>75197.68799256481</v>
      </c>
      <c r="W66" s="501">
        <f t="shared" ca="1" si="18"/>
        <v>3.9434231429715659E-2</v>
      </c>
    </row>
    <row r="67" spans="1:23" s="292" customFormat="1" x14ac:dyDescent="0.25">
      <c r="A67" s="276" t="str">
        <f t="shared" ca="1" si="5"/>
        <v/>
      </c>
      <c r="B67" s="277" t="str">
        <f ca="1">'קיזוזים- החלטות ועדה'!C67</f>
        <v/>
      </c>
      <c r="C67" s="297" t="str">
        <f ca="1">IF($B67="","",'הגבלה לסכום מבוקש (1)'!D67)</f>
        <v/>
      </c>
      <c r="D67" s="294" t="str">
        <f ca="1">IF($B67="","",'קיזוזים בגין איחורים'!F67+'קיזוזים- החלטות ועדה'!E67)</f>
        <v/>
      </c>
      <c r="E67" s="297" t="str">
        <f t="shared" ca="1" si="6"/>
        <v/>
      </c>
      <c r="F67" s="294" t="str">
        <f ca="1">'קיזוזים- החלטות ועדה'!G67</f>
        <v/>
      </c>
      <c r="G67" s="503" t="str">
        <f t="shared" ca="1" si="7"/>
        <v/>
      </c>
      <c r="H67" s="297" t="str">
        <f t="shared" ca="1" si="8"/>
        <v/>
      </c>
      <c r="I67" s="297" t="str">
        <f t="shared" ca="1" si="0"/>
        <v/>
      </c>
      <c r="J67" s="298">
        <f t="shared" ca="1" si="9"/>
        <v>0</v>
      </c>
      <c r="K67" s="299" t="str">
        <f t="shared" ca="1" si="10"/>
        <v/>
      </c>
      <c r="L67" s="299" t="str">
        <f t="shared" ca="1" si="1"/>
        <v/>
      </c>
      <c r="M67" s="298">
        <f t="shared" ca="1" si="11"/>
        <v>0</v>
      </c>
      <c r="N67" s="299" t="str">
        <f t="shared" ca="1" si="12"/>
        <v/>
      </c>
      <c r="O67" s="299" t="str">
        <f t="shared" ca="1" si="2"/>
        <v/>
      </c>
      <c r="P67" s="298">
        <f t="shared" ca="1" si="13"/>
        <v>0</v>
      </c>
      <c r="Q67" s="299" t="str">
        <f t="shared" ca="1" si="14"/>
        <v/>
      </c>
      <c r="R67" s="299" t="str">
        <f t="shared" ca="1" si="3"/>
        <v/>
      </c>
      <c r="S67" s="298">
        <f t="shared" ca="1" si="15"/>
        <v>0</v>
      </c>
      <c r="T67" s="299" t="str">
        <f t="shared" ca="1" si="16"/>
        <v/>
      </c>
      <c r="U67" s="299" t="str">
        <f t="shared" ca="1" si="4"/>
        <v/>
      </c>
      <c r="V67" s="297" t="str">
        <f t="shared" ca="1" si="17"/>
        <v/>
      </c>
      <c r="W67" s="501" t="str">
        <f t="shared" ca="1" si="18"/>
        <v/>
      </c>
    </row>
    <row r="68" spans="1:23" s="292" customFormat="1" x14ac:dyDescent="0.25">
      <c r="A68" s="276" t="str">
        <f t="shared" ca="1" si="5"/>
        <v/>
      </c>
      <c r="B68" s="277" t="str">
        <f ca="1">'קיזוזים- החלטות ועדה'!C68</f>
        <v/>
      </c>
      <c r="C68" s="297" t="str">
        <f ca="1">IF($B68="","",'הגבלה לסכום מבוקש (1)'!D68)</f>
        <v/>
      </c>
      <c r="D68" s="294" t="str">
        <f ca="1">IF($B68="","",'קיזוזים בגין איחורים'!F68+'קיזוזים- החלטות ועדה'!E68)</f>
        <v/>
      </c>
      <c r="E68" s="297" t="str">
        <f t="shared" ca="1" si="6"/>
        <v/>
      </c>
      <c r="F68" s="294" t="str">
        <f ca="1">'קיזוזים- החלטות ועדה'!G68</f>
        <v/>
      </c>
      <c r="G68" s="503" t="str">
        <f t="shared" ca="1" si="7"/>
        <v/>
      </c>
      <c r="H68" s="297" t="str">
        <f t="shared" ca="1" si="8"/>
        <v/>
      </c>
      <c r="I68" s="297" t="str">
        <f t="shared" ca="1" si="0"/>
        <v/>
      </c>
      <c r="J68" s="298">
        <f t="shared" ca="1" si="9"/>
        <v>0</v>
      </c>
      <c r="K68" s="299" t="str">
        <f t="shared" ca="1" si="10"/>
        <v/>
      </c>
      <c r="L68" s="299" t="str">
        <f t="shared" ca="1" si="1"/>
        <v/>
      </c>
      <c r="M68" s="298">
        <f t="shared" ca="1" si="11"/>
        <v>0</v>
      </c>
      <c r="N68" s="299" t="str">
        <f t="shared" ca="1" si="12"/>
        <v/>
      </c>
      <c r="O68" s="299" t="str">
        <f t="shared" ca="1" si="2"/>
        <v/>
      </c>
      <c r="P68" s="298">
        <f t="shared" ca="1" si="13"/>
        <v>0</v>
      </c>
      <c r="Q68" s="299" t="str">
        <f t="shared" ca="1" si="14"/>
        <v/>
      </c>
      <c r="R68" s="299" t="str">
        <f t="shared" ca="1" si="3"/>
        <v/>
      </c>
      <c r="S68" s="298">
        <f t="shared" ca="1" si="15"/>
        <v>0</v>
      </c>
      <c r="T68" s="299" t="str">
        <f t="shared" ca="1" si="16"/>
        <v/>
      </c>
      <c r="U68" s="299" t="str">
        <f t="shared" ca="1" si="4"/>
        <v/>
      </c>
      <c r="V68" s="297" t="str">
        <f t="shared" ca="1" si="17"/>
        <v/>
      </c>
      <c r="W68" s="501" t="str">
        <f t="shared" ca="1" si="18"/>
        <v/>
      </c>
    </row>
    <row r="69" spans="1:23" s="292" customFormat="1" x14ac:dyDescent="0.25">
      <c r="A69" s="276" t="str">
        <f t="shared" ca="1" si="5"/>
        <v/>
      </c>
      <c r="B69" s="277" t="str">
        <f ca="1">'קיזוזים- החלטות ועדה'!C69</f>
        <v/>
      </c>
      <c r="C69" s="297" t="str">
        <f ca="1">IF($B69="","",'הגבלה לסכום מבוקש (1)'!D69)</f>
        <v/>
      </c>
      <c r="D69" s="294" t="str">
        <f ca="1">IF($B69="","",'קיזוזים בגין איחורים'!F69+'קיזוזים- החלטות ועדה'!E69)</f>
        <v/>
      </c>
      <c r="E69" s="297" t="str">
        <f t="shared" ca="1" si="6"/>
        <v/>
      </c>
      <c r="F69" s="294" t="str">
        <f ca="1">'קיזוזים- החלטות ועדה'!G69</f>
        <v/>
      </c>
      <c r="G69" s="503" t="str">
        <f t="shared" ca="1" si="7"/>
        <v/>
      </c>
      <c r="H69" s="297" t="str">
        <f t="shared" ca="1" si="8"/>
        <v/>
      </c>
      <c r="I69" s="297" t="str">
        <f t="shared" ca="1" si="0"/>
        <v/>
      </c>
      <c r="J69" s="298">
        <f t="shared" ca="1" si="9"/>
        <v>0</v>
      </c>
      <c r="K69" s="299" t="str">
        <f t="shared" ca="1" si="10"/>
        <v/>
      </c>
      <c r="L69" s="299" t="str">
        <f t="shared" ca="1" si="1"/>
        <v/>
      </c>
      <c r="M69" s="298">
        <f t="shared" ca="1" si="11"/>
        <v>0</v>
      </c>
      <c r="N69" s="299" t="str">
        <f t="shared" ca="1" si="12"/>
        <v/>
      </c>
      <c r="O69" s="299" t="str">
        <f t="shared" ca="1" si="2"/>
        <v/>
      </c>
      <c r="P69" s="298">
        <f t="shared" ca="1" si="13"/>
        <v>0</v>
      </c>
      <c r="Q69" s="299" t="str">
        <f t="shared" ca="1" si="14"/>
        <v/>
      </c>
      <c r="R69" s="299" t="str">
        <f t="shared" ca="1" si="3"/>
        <v/>
      </c>
      <c r="S69" s="298">
        <f t="shared" ca="1" si="15"/>
        <v>0</v>
      </c>
      <c r="T69" s="299" t="str">
        <f t="shared" ca="1" si="16"/>
        <v/>
      </c>
      <c r="U69" s="299" t="str">
        <f t="shared" ca="1" si="4"/>
        <v/>
      </c>
      <c r="V69" s="297" t="str">
        <f t="shared" ca="1" si="17"/>
        <v/>
      </c>
      <c r="W69" s="501" t="str">
        <f t="shared" ca="1" si="18"/>
        <v/>
      </c>
    </row>
    <row r="70" spans="1:23" s="292" customFormat="1" ht="16.5" thickBot="1" x14ac:dyDescent="0.3">
      <c r="A70" s="276" t="str">
        <f t="shared" ca="1" si="5"/>
        <v/>
      </c>
      <c r="B70" s="277" t="str">
        <f ca="1">'קיזוזים- החלטות ועדה'!C70</f>
        <v/>
      </c>
      <c r="C70" s="297" t="str">
        <f ca="1">IF($B70="","",'הגבלה לסכום מבוקש (1)'!D70)</f>
        <v/>
      </c>
      <c r="D70" s="294" t="str">
        <f ca="1">IF($B70="","",'קיזוזים בגין איחורים'!F70+'קיזוזים- החלטות ועדה'!E70)</f>
        <v/>
      </c>
      <c r="E70" s="297" t="str">
        <f t="shared" ca="1" si="6"/>
        <v/>
      </c>
      <c r="F70" s="294" t="str">
        <f ca="1">'קיזוזים- החלטות ועדה'!G70</f>
        <v/>
      </c>
      <c r="G70" s="503" t="str">
        <f t="shared" ca="1" si="7"/>
        <v/>
      </c>
      <c r="H70" s="297" t="str">
        <f t="shared" ca="1" si="8"/>
        <v/>
      </c>
      <c r="I70" s="297" t="str">
        <f t="shared" ca="1" si="0"/>
        <v/>
      </c>
      <c r="J70" s="298">
        <f t="shared" ca="1" si="9"/>
        <v>0</v>
      </c>
      <c r="K70" s="299" t="str">
        <f t="shared" ca="1" si="10"/>
        <v/>
      </c>
      <c r="L70" s="299" t="str">
        <f t="shared" ca="1" si="1"/>
        <v/>
      </c>
      <c r="M70" s="298">
        <f t="shared" ca="1" si="11"/>
        <v>0</v>
      </c>
      <c r="N70" s="299" t="str">
        <f t="shared" ca="1" si="12"/>
        <v/>
      </c>
      <c r="O70" s="299" t="str">
        <f t="shared" ca="1" si="2"/>
        <v/>
      </c>
      <c r="P70" s="298">
        <f t="shared" ca="1" si="13"/>
        <v>0</v>
      </c>
      <c r="Q70" s="299" t="str">
        <f t="shared" ca="1" si="14"/>
        <v/>
      </c>
      <c r="R70" s="299" t="str">
        <f t="shared" ca="1" si="3"/>
        <v/>
      </c>
      <c r="S70" s="298">
        <f t="shared" ca="1" si="15"/>
        <v>0</v>
      </c>
      <c r="T70" s="299" t="str">
        <f t="shared" ca="1" si="16"/>
        <v/>
      </c>
      <c r="U70" s="299" t="str">
        <f t="shared" ca="1" si="4"/>
        <v/>
      </c>
      <c r="V70" s="297" t="str">
        <f t="shared" ca="1" si="17"/>
        <v/>
      </c>
      <c r="W70" s="501" t="str">
        <f t="shared" ca="1" si="18"/>
        <v/>
      </c>
    </row>
    <row r="71" spans="1:23" ht="19.5" thickBot="1" x14ac:dyDescent="0.35">
      <c r="A71" s="669" t="s">
        <v>54</v>
      </c>
      <c r="B71" s="669"/>
      <c r="C71" s="284">
        <f t="shared" ref="C71:W71" ca="1" si="19">SUM(C31:C70)</f>
        <v>3523000</v>
      </c>
      <c r="D71" s="284">
        <f t="shared" ca="1" si="19"/>
        <v>0</v>
      </c>
      <c r="E71" s="284">
        <f t="shared" ca="1" si="19"/>
        <v>3523000</v>
      </c>
      <c r="F71" s="284">
        <f t="shared" ca="1" si="19"/>
        <v>1906914</v>
      </c>
      <c r="G71" s="284">
        <f t="shared" ca="1" si="19"/>
        <v>0</v>
      </c>
      <c r="H71" s="284">
        <f t="shared" ca="1" si="19"/>
        <v>1906914</v>
      </c>
      <c r="I71" s="284">
        <f t="shared" ca="1" si="19"/>
        <v>1906914</v>
      </c>
      <c r="J71" s="284">
        <f t="shared" ca="1" si="19"/>
        <v>0</v>
      </c>
      <c r="K71" s="284">
        <f t="shared" ca="1" si="19"/>
        <v>1906914</v>
      </c>
      <c r="L71" s="284">
        <f t="shared" ca="1" si="19"/>
        <v>1906914</v>
      </c>
      <c r="M71" s="284">
        <f t="shared" ca="1" si="19"/>
        <v>0</v>
      </c>
      <c r="N71" s="284">
        <f t="shared" ca="1" si="19"/>
        <v>1906914</v>
      </c>
      <c r="O71" s="284">
        <f t="shared" ca="1" si="19"/>
        <v>1906914</v>
      </c>
      <c r="P71" s="284">
        <f t="shared" ca="1" si="19"/>
        <v>0</v>
      </c>
      <c r="Q71" s="284">
        <f t="shared" ca="1" si="19"/>
        <v>1906914</v>
      </c>
      <c r="R71" s="284">
        <f t="shared" ca="1" si="19"/>
        <v>1906914</v>
      </c>
      <c r="S71" s="284">
        <f t="shared" ca="1" si="19"/>
        <v>0</v>
      </c>
      <c r="T71" s="284">
        <f t="shared" ca="1" si="19"/>
        <v>1906914</v>
      </c>
      <c r="U71" s="284">
        <f t="shared" ca="1" si="19"/>
        <v>1906914</v>
      </c>
      <c r="V71" s="284">
        <f t="shared" ca="1" si="19"/>
        <v>1906914</v>
      </c>
      <c r="W71" s="300">
        <f t="shared" ca="1" si="19"/>
        <v>0.99999999999999989</v>
      </c>
    </row>
  </sheetData>
  <sheetProtection algorithmName="SHA-512" hashValue="QaA5uiPMoaU0SPM4uGQ0fQxH4112trAxNfPnBbQVMxqOFEO+BVvm6jwUt6DzgdTgOOPoZviqSTF04/MHIlIydw==" saltValue="Fc1OsOy8IdKcvxr2iNhtcQ==" spinCount="100000" sheet="1" scenarios="1" formatColumns="0" formatRows="0"/>
  <mergeCells count="13">
    <mergeCell ref="V29:V30"/>
    <mergeCell ref="W29:W30"/>
    <mergeCell ref="A71:B71"/>
    <mergeCell ref="A28:W28"/>
    <mergeCell ref="A29:A30"/>
    <mergeCell ref="B29:B30"/>
    <mergeCell ref="C29:C30"/>
    <mergeCell ref="D29:D30"/>
    <mergeCell ref="E29:E30"/>
    <mergeCell ref="F29:F30"/>
    <mergeCell ref="G29:G30"/>
    <mergeCell ref="H29:H30"/>
    <mergeCell ref="I29:I30"/>
  </mergeCells>
  <conditionalFormatting sqref="A3:B27">
    <cfRule type="containsBlanks" dxfId="982" priority="13">
      <formula>LEN(TRIM(A3))=0</formula>
    </cfRule>
  </conditionalFormatting>
  <conditionalFormatting sqref="A31:I70">
    <cfRule type="containsBlanks" dxfId="981" priority="5">
      <formula>LEN(TRIM(A31))=0</formula>
    </cfRule>
  </conditionalFormatting>
  <conditionalFormatting sqref="B1:B2">
    <cfRule type="containsBlanks" dxfId="980" priority="1">
      <formula>LEN(TRIM(B1))=0</formula>
    </cfRule>
  </conditionalFormatting>
  <conditionalFormatting sqref="C1:D27">
    <cfRule type="containsBlanks" dxfId="979" priority="16">
      <formula>LEN(TRIM(C1))=0</formula>
    </cfRule>
  </conditionalFormatting>
  <conditionalFormatting sqref="J31:U70">
    <cfRule type="containsText" dxfId="978" priority="17" operator="containsText" text="הזנה שגויה">
      <formula>NOT(ISERROR(SEARCH("הזנה שגויה",J31)))</formula>
    </cfRule>
  </conditionalFormatting>
  <conditionalFormatting sqref="V31:W70">
    <cfRule type="containsBlanks" dxfId="977" priority="3">
      <formula>LEN(TRIM(V31))=0</formula>
    </cfRule>
  </conditionalFormatting>
  <pageMargins left="0.70866141732283472" right="0.70866141732283472" top="0.74803149606299213" bottom="0.74803149606299213" header="0.31496062992125984" footer="0.31496062992125984"/>
  <pageSetup paperSize="9" scale="56" orientation="landscape" r:id="rId1"/>
  <headerFooter>
    <oddHeader>&amp;C&amp;"David,מודגש"&amp;14מודל בית ספר למוסיקה
הרצה ע"פ טיוטת מבחנים שגובשה 12.2014</oddHeader>
    <oddFooter>&amp;Lעמוד &amp;P מתוך &amp;N&amp;Cא. חפץ ושות'
יעוץ כלכלי&amp;R&amp;A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גיליון12">
    <tabColor rgb="FFFFFFCC"/>
  </sheetPr>
  <dimension ref="B1:V72"/>
  <sheetViews>
    <sheetView rightToLeft="1" view="pageBreakPreview" zoomScale="80" zoomScaleNormal="80" zoomScaleSheetLayoutView="80" workbookViewId="0">
      <pane xSplit="3" ySplit="30" topLeftCell="D31" activePane="bottomRight" state="frozen"/>
      <selection pane="topRight" activeCell="H39" sqref="H39"/>
      <selection pane="bottomLeft" activeCell="H39" sqref="H39"/>
      <selection pane="bottomRight" activeCell="D51" sqref="D51"/>
    </sheetView>
  </sheetViews>
  <sheetFormatPr defaultColWidth="9.140625" defaultRowHeight="15.75" x14ac:dyDescent="0.25"/>
  <cols>
    <col min="1" max="1" width="2.85546875" style="301" customWidth="1"/>
    <col min="2" max="2" width="11.42578125" style="301" customWidth="1"/>
    <col min="3" max="3" width="44.85546875" style="301" bestFit="1" customWidth="1"/>
    <col min="4" max="11" width="25.42578125" style="301" customWidth="1"/>
    <col min="12" max="12" width="39.5703125" style="301" bestFit="1" customWidth="1"/>
    <col min="13" max="13" width="42" style="301" bestFit="1" customWidth="1"/>
    <col min="14" max="17" width="25.42578125" style="301" customWidth="1"/>
    <col min="18" max="18" width="18" style="301" customWidth="1"/>
    <col min="19" max="19" width="16.7109375" style="301" customWidth="1"/>
    <col min="20" max="21" width="55.5703125" style="301" bestFit="1" customWidth="1"/>
    <col min="22" max="16384" width="9.140625" style="301"/>
  </cols>
  <sheetData>
    <row r="1" spans="2:17" ht="18.75" x14ac:dyDescent="0.25">
      <c r="B1" s="313"/>
      <c r="C1" s="312" t="str">
        <f>פרמטרים!$B$1</f>
        <v>שנת התקציב</v>
      </c>
      <c r="D1" s="270">
        <f>פרמטרים!$C$1</f>
        <v>2025</v>
      </c>
      <c r="E1" s="313"/>
      <c r="F1" s="313"/>
      <c r="G1" s="313"/>
      <c r="H1" s="313"/>
      <c r="I1" s="313"/>
      <c r="J1" s="313"/>
      <c r="K1" s="313"/>
      <c r="L1" s="313"/>
      <c r="M1" s="313"/>
      <c r="N1" s="313"/>
      <c r="O1" s="313"/>
      <c r="P1" s="313"/>
    </row>
    <row r="2" spans="2:17" ht="19.5" thickBot="1" x14ac:dyDescent="0.3">
      <c r="B2" s="290"/>
      <c r="C2" s="272" t="str">
        <f>פרמטרים!$B$2</f>
        <v>תקציב</v>
      </c>
      <c r="D2" s="273">
        <f>פרמטרים!$C$2</f>
        <v>1906914</v>
      </c>
      <c r="E2" s="290"/>
      <c r="F2" s="290"/>
      <c r="G2" s="290"/>
      <c r="H2" s="290"/>
      <c r="I2" s="290"/>
      <c r="J2" s="290"/>
      <c r="K2" s="290"/>
      <c r="L2" s="290"/>
      <c r="M2" s="290"/>
      <c r="N2" s="290"/>
      <c r="O2" s="290"/>
      <c r="P2" s="290"/>
    </row>
    <row r="3" spans="2:17" hidden="1" x14ac:dyDescent="0.25"/>
    <row r="4" spans="2:17" hidden="1" x14ac:dyDescent="0.25">
      <c r="D4" s="285"/>
      <c r="E4" s="285"/>
      <c r="F4" s="285"/>
      <c r="G4" s="285"/>
      <c r="H4" s="285"/>
      <c r="I4" s="285"/>
      <c r="J4" s="285"/>
      <c r="K4" s="285"/>
      <c r="L4" s="285"/>
      <c r="M4" s="285"/>
      <c r="N4" s="285"/>
      <c r="O4" s="285"/>
      <c r="P4" s="285"/>
      <c r="Q4" s="285"/>
    </row>
    <row r="5" spans="2:17" hidden="1" x14ac:dyDescent="0.25"/>
    <row r="6" spans="2:17" hidden="1" x14ac:dyDescent="0.25">
      <c r="D6" s="285"/>
      <c r="E6" s="285"/>
      <c r="F6" s="285"/>
      <c r="G6" s="285"/>
      <c r="H6" s="285"/>
      <c r="I6" s="285"/>
      <c r="J6" s="285"/>
      <c r="K6" s="285"/>
      <c r="L6" s="285"/>
      <c r="M6" s="285"/>
      <c r="N6" s="285"/>
      <c r="O6" s="285"/>
      <c r="P6" s="285"/>
    </row>
    <row r="7" spans="2:17" hidden="1" x14ac:dyDescent="0.25"/>
    <row r="8" spans="2:17" hidden="1" x14ac:dyDescent="0.25"/>
    <row r="9" spans="2:17" hidden="1" x14ac:dyDescent="0.25"/>
    <row r="10" spans="2:17" hidden="1" x14ac:dyDescent="0.25"/>
    <row r="11" spans="2:17" hidden="1" x14ac:dyDescent="0.25"/>
    <row r="12" spans="2:17" hidden="1" x14ac:dyDescent="0.25"/>
    <row r="13" spans="2:17" hidden="1" x14ac:dyDescent="0.25"/>
    <row r="14" spans="2:17" hidden="1" x14ac:dyDescent="0.25"/>
    <row r="15" spans="2:17" hidden="1" x14ac:dyDescent="0.25"/>
    <row r="16" spans="2:17" hidden="1" x14ac:dyDescent="0.25"/>
    <row r="17" spans="2:22" hidden="1" x14ac:dyDescent="0.25"/>
    <row r="18" spans="2:22" hidden="1" x14ac:dyDescent="0.25"/>
    <row r="19" spans="2:22" hidden="1" x14ac:dyDescent="0.25"/>
    <row r="20" spans="2:22" hidden="1" x14ac:dyDescent="0.25"/>
    <row r="21" spans="2:22" hidden="1" x14ac:dyDescent="0.25"/>
    <row r="22" spans="2:22" hidden="1" x14ac:dyDescent="0.25"/>
    <row r="23" spans="2:22" hidden="1" x14ac:dyDescent="0.25"/>
    <row r="24" spans="2:22" hidden="1" x14ac:dyDescent="0.25"/>
    <row r="25" spans="2:22" hidden="1" x14ac:dyDescent="0.25"/>
    <row r="26" spans="2:22" hidden="1" x14ac:dyDescent="0.25"/>
    <row r="27" spans="2:22" hidden="1" x14ac:dyDescent="0.25"/>
    <row r="29" spans="2:22" ht="14.25" customHeight="1" x14ac:dyDescent="0.25"/>
    <row r="30" spans="2:22" ht="47.25" x14ac:dyDescent="0.25">
      <c r="B30" s="535" t="s">
        <v>102</v>
      </c>
      <c r="C30" s="536" t="s">
        <v>103</v>
      </c>
      <c r="D30" s="537" t="s">
        <v>618</v>
      </c>
      <c r="E30" s="537" t="s">
        <v>619</v>
      </c>
      <c r="F30" s="537" t="s">
        <v>620</v>
      </c>
      <c r="G30" s="537" t="s">
        <v>621</v>
      </c>
      <c r="H30" s="537" t="s">
        <v>622</v>
      </c>
      <c r="I30" s="537" t="s">
        <v>413</v>
      </c>
      <c r="J30" s="537" t="s">
        <v>281</v>
      </c>
      <c r="K30" s="537" t="s">
        <v>282</v>
      </c>
      <c r="L30" s="537" t="s">
        <v>283</v>
      </c>
      <c r="M30" s="537" t="s">
        <v>284</v>
      </c>
      <c r="N30" s="537" t="s">
        <v>226</v>
      </c>
      <c r="O30" s="537" t="s">
        <v>237</v>
      </c>
      <c r="P30" s="537" t="s">
        <v>623</v>
      </c>
      <c r="Q30" s="537" t="s">
        <v>624</v>
      </c>
      <c r="R30" s="535" t="s">
        <v>285</v>
      </c>
      <c r="S30" s="535" t="s">
        <v>286</v>
      </c>
      <c r="T30" s="535" t="s">
        <v>287</v>
      </c>
      <c r="U30" s="535" t="s">
        <v>288</v>
      </c>
    </row>
    <row r="31" spans="2:22" s="302" customFormat="1" x14ac:dyDescent="0.25">
      <c r="B31" s="538">
        <f t="shared" ref="B31:B34" ca="1" si="0">IF(C31="","",ROW()-30)</f>
        <v>1</v>
      </c>
      <c r="C31" s="316" t="str">
        <f ca="1">IF('תנאי סף'!B11="","",'תנאי סף'!B11)</f>
        <v>1280 מעלות (אמנים יוצרים)</v>
      </c>
      <c r="D31" s="539">
        <v>1001825311</v>
      </c>
      <c r="E31" s="539">
        <v>1001721948</v>
      </c>
      <c r="F31" s="539">
        <v>2020</v>
      </c>
      <c r="G31" s="540">
        <f ca="1">IF(C31="","",IF($D$1&gt;(F31+3),1,0))</f>
        <v>1</v>
      </c>
      <c r="H31" s="316" t="str">
        <f>IF(IFERROR(VLOOKUP(E31,מרכבה!A:K,4,0),"")=K31,"","no")</f>
        <v/>
      </c>
      <c r="I31" s="540" t="str">
        <f>IFERROR(VLOOKUP(D31,מרכבה!A:K,7,0),"")</f>
        <v>2025</v>
      </c>
      <c r="J31" s="540">
        <f>IFERROR(VLOOKUP(D31,מרכבה!A:K,5,0),"")</f>
        <v>40000437</v>
      </c>
      <c r="K31" s="540">
        <f>IFERROR(VLOOKUP(D31,מרכבה!A:K,4,0),"")</f>
        <v>580076842</v>
      </c>
      <c r="L31" s="540" t="str">
        <f>IFERROR(VLOOKUP(D31,מרכבה!A:K,6,0),"")</f>
        <v>אמנים יוצרים בישראל (ע"ר)</v>
      </c>
      <c r="M31" s="540" t="str">
        <f>IFERROR(VLOOKUP(D31,מרכבה!A:K,2,0),"")</f>
        <v>אמנים יוצרים כתב עת לתרבות חמרית 2025</v>
      </c>
      <c r="N31" s="541">
        <f>IFERROR(VLOOKUP(D31,מרכבה!A:K,8,0),"")</f>
        <v>100000</v>
      </c>
      <c r="O31" s="541">
        <f>IFERROR(VLOOKUP(E31,מרכבה!A:K,9,0),0)</f>
        <v>71987</v>
      </c>
      <c r="P31" s="541">
        <f ca="1">'הגבלה לסכום מבוקש (2)'!V31</f>
        <v>66144.47652798082</v>
      </c>
      <c r="Q31" s="542">
        <f ca="1">IFERROR(P31/O31-1,"")</f>
        <v>-8.1160813369346996E-2</v>
      </c>
      <c r="R31" s="541">
        <f ca="1">'קיזוזים בגין איחורים'!F31</f>
        <v>0</v>
      </c>
      <c r="S31" s="543">
        <f ca="1">IF(B31="","",'קיזוזים- החלטות ועדה'!E31)</f>
        <v>0</v>
      </c>
      <c r="T31" s="544"/>
      <c r="U31" s="544" t="s">
        <v>402</v>
      </c>
      <c r="V31" s="301"/>
    </row>
    <row r="32" spans="2:22" x14ac:dyDescent="0.25">
      <c r="B32" s="538">
        <f t="shared" ca="1" si="0"/>
        <v>2</v>
      </c>
      <c r="C32" s="316" t="str">
        <f ca="1">IF('תנאי סף'!B12="","",'תנאי סף'!B12)</f>
        <v>יהי (אורי צבי גרינברג)</v>
      </c>
      <c r="D32" s="539">
        <v>1001854361</v>
      </c>
      <c r="E32" s="539">
        <v>1001734615</v>
      </c>
      <c r="F32" s="539">
        <v>2020</v>
      </c>
      <c r="G32" s="540">
        <f t="shared" ref="G32:G70" ca="1" si="1">IF(C32="","",IF($D$1&gt;(F32+3),1,0))</f>
        <v>1</v>
      </c>
      <c r="H32" s="316" t="str">
        <f>IF(IFERROR(VLOOKUP(E32,מרכבה!A:K,4,0),"")=K32,"","no")</f>
        <v/>
      </c>
      <c r="I32" s="540" t="str">
        <f>IFERROR(VLOOKUP(D32,מרכבה!A:K,7,0),"")</f>
        <v>2025</v>
      </c>
      <c r="J32" s="540">
        <f>IFERROR(VLOOKUP(D32,מרכבה!A:K,5,0),"")</f>
        <v>40000230</v>
      </c>
      <c r="K32" s="540">
        <f>IFERROR(VLOOKUP(D32,מרכבה!A:K,4,0),"")</f>
        <v>580310878</v>
      </c>
      <c r="L32" s="540" t="str">
        <f>IFERROR(VLOOKUP(D32,מרכבה!A:K,6,0),"")</f>
        <v>בית מורשת אורי צבי גרינברג (ע"ר)</v>
      </c>
      <c r="M32" s="540" t="str">
        <f>IFERROR(VLOOKUP(D32,מרכבה!A:K,2,0),"")</f>
        <v>כתב עת יהי 2025</v>
      </c>
      <c r="N32" s="541">
        <f>IFERROR(VLOOKUP(D32,מרכבה!A:K,8,0),"")</f>
        <v>150000</v>
      </c>
      <c r="O32" s="541">
        <f>IFERROR(VLOOKUP(E32,מרכבה!A:K,9,0),0)</f>
        <v>48732</v>
      </c>
      <c r="P32" s="541">
        <f ca="1">'הגבלה לסכום מבוקש (2)'!V32</f>
        <v>55389.564826780625</v>
      </c>
      <c r="Q32" s="542">
        <f t="shared" ref="Q32:Q70" ca="1" si="2">IFERROR(P32/O32-1,"")</f>
        <v>0.13661587512888085</v>
      </c>
      <c r="R32" s="541">
        <f ca="1">'קיזוזים בגין איחורים'!F32</f>
        <v>0</v>
      </c>
      <c r="S32" s="543">
        <f ca="1">IF(B32="","",'קיזוזים- החלטות ועדה'!E32)</f>
        <v>0</v>
      </c>
      <c r="T32" s="544"/>
      <c r="U32" s="544" t="s">
        <v>402</v>
      </c>
    </row>
    <row r="33" spans="2:21" x14ac:dyDescent="0.25">
      <c r="B33" s="538" t="str">
        <f t="shared" ca="1" si="0"/>
        <v/>
      </c>
      <c r="C33" s="316" t="str">
        <f ca="1">IF('תנאי סף'!B13="","",'תנאי סף'!B13)</f>
        <v/>
      </c>
      <c r="D33" s="539"/>
      <c r="E33" s="539"/>
      <c r="F33" s="539"/>
      <c r="G33" s="540" t="str">
        <f t="shared" ca="1" si="1"/>
        <v/>
      </c>
      <c r="H33" s="316" t="str">
        <f>IF(IFERROR(VLOOKUP(E33,מרכבה!A:K,4,0),"")=K33,"","no")</f>
        <v/>
      </c>
      <c r="I33" s="540" t="str">
        <f>IFERROR(VLOOKUP(D33,מרכבה!A:K,7,0),"")</f>
        <v/>
      </c>
      <c r="J33" s="540" t="str">
        <f>IFERROR(VLOOKUP(D33,מרכבה!A:K,5,0),"")</f>
        <v/>
      </c>
      <c r="K33" s="540" t="str">
        <f>IFERROR(VLOOKUP(D33,מרכבה!A:K,4,0),"")</f>
        <v/>
      </c>
      <c r="L33" s="540" t="str">
        <f>IFERROR(VLOOKUP(D33,מרכבה!A:K,6,0),"")</f>
        <v/>
      </c>
      <c r="M33" s="540" t="str">
        <f>IFERROR(VLOOKUP(D33,מרכבה!A:K,2,0),"")</f>
        <v/>
      </c>
      <c r="N33" s="541" t="str">
        <f>IFERROR(VLOOKUP(D33,מרכבה!A:K,8,0),"")</f>
        <v/>
      </c>
      <c r="O33" s="541">
        <f>IFERROR(VLOOKUP(E33,מרכבה!A:K,9,0),0)</f>
        <v>0</v>
      </c>
      <c r="P33" s="541" t="str">
        <f ca="1">'הגבלה לסכום מבוקש (2)'!V33</f>
        <v/>
      </c>
      <c r="Q33" s="542" t="str">
        <f t="shared" ca="1" si="2"/>
        <v/>
      </c>
      <c r="R33" s="541" t="str">
        <f ca="1">'קיזוזים בגין איחורים'!F33</f>
        <v/>
      </c>
      <c r="S33" s="543" t="str">
        <f ca="1">IF(B33="","",'קיזוזים- החלטות ועדה'!E33)</f>
        <v/>
      </c>
      <c r="T33" s="544"/>
      <c r="U33" s="544"/>
    </row>
    <row r="34" spans="2:21" x14ac:dyDescent="0.25">
      <c r="B34" s="538">
        <f t="shared" ca="1" si="0"/>
        <v>4</v>
      </c>
      <c r="C34" s="316" t="str">
        <f ca="1">IF('תנאי סף'!B14="","",'תנאי סף'!B14)</f>
        <v>דעות (ברית נאמני תורה ועבודה)</v>
      </c>
      <c r="D34" s="539">
        <v>1001826463</v>
      </c>
      <c r="E34" s="539">
        <v>1001735665</v>
      </c>
      <c r="F34" s="539">
        <v>2020</v>
      </c>
      <c r="G34" s="540">
        <f t="shared" ca="1" si="1"/>
        <v>1</v>
      </c>
      <c r="H34" s="316" t="str">
        <f>IF(IFERROR(VLOOKUP(E34,מרכבה!A:K,4,0),"")=K34,"","no")</f>
        <v/>
      </c>
      <c r="I34" s="540" t="str">
        <f>IFERROR(VLOOKUP(D34,מרכבה!A:K,7,0),"")</f>
        <v>2025</v>
      </c>
      <c r="J34" s="540">
        <f>IFERROR(VLOOKUP(D34,מרכבה!A:K,5,0),"")</f>
        <v>40000404</v>
      </c>
      <c r="K34" s="540">
        <f>IFERROR(VLOOKUP(D34,מרכבה!A:K,4,0),"")</f>
        <v>580052421</v>
      </c>
      <c r="L34" s="540" t="str">
        <f>IFERROR(VLOOKUP(D34,מרכבה!A:K,6,0),"")</f>
        <v>נאמני תורה ועבודה -קולך (ע"ר)</v>
      </c>
      <c r="M34" s="540" t="str">
        <f>IFERROR(VLOOKUP(D34,מרכבה!A:K,2,0),"")</f>
        <v>תמיכה בכתב העת 'דעות'</v>
      </c>
      <c r="N34" s="541">
        <f>IFERROR(VLOOKUP(D34,מרכבה!A:K,8,0),"")</f>
        <v>165000</v>
      </c>
      <c r="O34" s="541">
        <f>IFERROR(VLOOKUP(E34,מרכבה!A:K,9,0),0)</f>
        <v>114119</v>
      </c>
      <c r="P34" s="541">
        <f ca="1">'הגבלה לסכום מבוקש (2)'!V34</f>
        <v>93387.02784397635</v>
      </c>
      <c r="Q34" s="542">
        <f t="shared" ca="1" si="2"/>
        <v>-0.18166976713801952</v>
      </c>
      <c r="R34" s="541">
        <f ca="1">'קיזוזים בגין איחורים'!F34</f>
        <v>0</v>
      </c>
      <c r="S34" s="543">
        <f ca="1">IF(B34="","",'קיזוזים- החלטות ועדה'!E34)</f>
        <v>0</v>
      </c>
      <c r="T34" s="544" t="s">
        <v>638</v>
      </c>
      <c r="U34" s="544" t="s">
        <v>402</v>
      </c>
    </row>
    <row r="35" spans="2:21" x14ac:dyDescent="0.25">
      <c r="B35" s="538">
        <f t="shared" ref="B35:B70" ca="1" si="3">IF(C35="","",ROW()-30)</f>
        <v>5</v>
      </c>
      <c r="C35" s="316" t="str">
        <f ca="1">IF('תנאי סף'!B15="","",'תנאי סף'!B15)</f>
        <v>הליקון</v>
      </c>
      <c r="D35" s="539">
        <v>1001844843</v>
      </c>
      <c r="E35" s="539">
        <v>1001779796</v>
      </c>
      <c r="F35" s="539">
        <v>2022</v>
      </c>
      <c r="G35" s="540">
        <f t="shared" ca="1" si="1"/>
        <v>0</v>
      </c>
      <c r="H35" s="316" t="str">
        <f>IF(IFERROR(VLOOKUP(E35,מרכבה!A:K,4,0),"")=K35,"","no")</f>
        <v/>
      </c>
      <c r="I35" s="540" t="str">
        <f>IFERROR(VLOOKUP(D35,מרכבה!A:K,7,0),"")</f>
        <v>2025</v>
      </c>
      <c r="J35" s="540">
        <f>IFERROR(VLOOKUP(D35,מרכבה!A:K,5,0),"")</f>
        <v>40000164</v>
      </c>
      <c r="K35" s="540">
        <f>IFERROR(VLOOKUP(D35,מרכבה!A:K,4,0),"")</f>
        <v>580170801</v>
      </c>
      <c r="L35" s="540" t="str">
        <f>IFERROR(VLOOKUP(D35,מרכבה!A:K,6,0),"")</f>
        <v>הליקון (ע"ר)</v>
      </c>
      <c r="M35" s="540" t="str">
        <f>IFERROR(VLOOKUP(D35,מרכבה!A:K,2,0),"")</f>
        <v>כתב עת הליקון 2025</v>
      </c>
      <c r="N35" s="541">
        <f>IFERROR(VLOOKUP(D35,מרכבה!A:K,8,0),"")</f>
        <v>240000</v>
      </c>
      <c r="O35" s="541">
        <f>IFERROR(VLOOKUP(E35,מרכבה!A:K,9,0),0)</f>
        <v>142850</v>
      </c>
      <c r="P35" s="541">
        <f ca="1">'הגבלה לסכום מבוקש (2)'!V35</f>
        <v>115510.69950883459</v>
      </c>
      <c r="Q35" s="542">
        <f t="shared" ca="1" si="2"/>
        <v>-0.19138467267179149</v>
      </c>
      <c r="R35" s="541">
        <f ca="1">'קיזוזים בגין איחורים'!F35</f>
        <v>0</v>
      </c>
      <c r="S35" s="543">
        <f ca="1">IF(B35="","",'קיזוזים- החלטות ועדה'!E35)</f>
        <v>0</v>
      </c>
      <c r="T35" s="544" t="s">
        <v>638</v>
      </c>
      <c r="U35" s="544" t="s">
        <v>402</v>
      </c>
    </row>
    <row r="36" spans="2:21" x14ac:dyDescent="0.25">
      <c r="B36" s="538" t="str">
        <f t="shared" ca="1" si="3"/>
        <v/>
      </c>
      <c r="C36" s="316" t="str">
        <f ca="1">IF('תנאי סף'!B16="","",'תנאי סף'!B16)</f>
        <v/>
      </c>
      <c r="D36" s="539"/>
      <c r="E36" s="539"/>
      <c r="F36" s="539"/>
      <c r="G36" s="540" t="str">
        <f t="shared" ca="1" si="1"/>
        <v/>
      </c>
      <c r="H36" s="316" t="str">
        <f>IF(IFERROR(VLOOKUP(E36,מרכבה!A:K,4,0),"")=K36,"","no")</f>
        <v/>
      </c>
      <c r="I36" s="540" t="str">
        <f>IFERROR(VLOOKUP(D36,מרכבה!A:K,7,0),"")</f>
        <v/>
      </c>
      <c r="J36" s="540" t="str">
        <f>IFERROR(VLOOKUP(D36,מרכבה!A:K,5,0),"")</f>
        <v/>
      </c>
      <c r="K36" s="540" t="str">
        <f>IFERROR(VLOOKUP(D36,מרכבה!A:K,4,0),"")</f>
        <v/>
      </c>
      <c r="L36" s="540" t="str">
        <f>IFERROR(VLOOKUP(D36,מרכבה!A:K,6,0),"")</f>
        <v/>
      </c>
      <c r="M36" s="540" t="str">
        <f>IFERROR(VLOOKUP(D36,מרכבה!A:K,2,0),"")</f>
        <v/>
      </c>
      <c r="N36" s="541" t="str">
        <f>IFERROR(VLOOKUP(D36,מרכבה!A:K,8,0),"")</f>
        <v/>
      </c>
      <c r="O36" s="541">
        <f>IFERROR(VLOOKUP(E36,מרכבה!A:K,9,0),0)</f>
        <v>0</v>
      </c>
      <c r="P36" s="541" t="str">
        <f ca="1">'הגבלה לסכום מבוקש (2)'!V36</f>
        <v/>
      </c>
      <c r="Q36" s="542" t="str">
        <f t="shared" ca="1" si="2"/>
        <v/>
      </c>
      <c r="R36" s="541" t="str">
        <f ca="1">'קיזוזים בגין איחורים'!F36</f>
        <v/>
      </c>
      <c r="S36" s="543" t="str">
        <f ca="1">IF(B36="","",'קיזוזים- החלטות ועדה'!E36)</f>
        <v/>
      </c>
      <c r="T36" s="544"/>
      <c r="U36" s="544"/>
    </row>
    <row r="37" spans="2:21" x14ac:dyDescent="0.25">
      <c r="B37" s="538" t="str">
        <f t="shared" ca="1" si="3"/>
        <v/>
      </c>
      <c r="C37" s="316" t="str">
        <f ca="1">IF('תנאי סף'!B17="","",'תנאי סף'!B17)</f>
        <v/>
      </c>
      <c r="D37" s="539"/>
      <c r="E37" s="539"/>
      <c r="F37" s="539"/>
      <c r="G37" s="540" t="str">
        <f t="shared" ca="1" si="1"/>
        <v/>
      </c>
      <c r="H37" s="316" t="str">
        <f>IF(IFERROR(VLOOKUP(E37,מרכבה!A:K,4,0),"")=K37,"","no")</f>
        <v/>
      </c>
      <c r="I37" s="540" t="str">
        <f>IFERROR(VLOOKUP(D37,מרכבה!A:K,7,0),"")</f>
        <v/>
      </c>
      <c r="J37" s="540" t="str">
        <f>IFERROR(VLOOKUP(D37,מרכבה!A:K,5,0),"")</f>
        <v/>
      </c>
      <c r="K37" s="540" t="str">
        <f>IFERROR(VLOOKUP(D37,מרכבה!A:K,4,0),"")</f>
        <v/>
      </c>
      <c r="L37" s="540" t="str">
        <f>IFERROR(VLOOKUP(D37,מרכבה!A:K,6,0),"")</f>
        <v/>
      </c>
      <c r="M37" s="540" t="str">
        <f>IFERROR(VLOOKUP(D37,מרכבה!A:K,2,0),"")</f>
        <v/>
      </c>
      <c r="N37" s="541" t="str">
        <f>IFERROR(VLOOKUP(D37,מרכבה!A:K,8,0),"")</f>
        <v/>
      </c>
      <c r="O37" s="541">
        <f>IFERROR(VLOOKUP(E37,מרכבה!A:K,9,0),0)</f>
        <v>0</v>
      </c>
      <c r="P37" s="541" t="str">
        <f ca="1">'הגבלה לסכום מבוקש (2)'!V37</f>
        <v/>
      </c>
      <c r="Q37" s="542" t="str">
        <f t="shared" ca="1" si="2"/>
        <v/>
      </c>
      <c r="R37" s="541" t="str">
        <f ca="1">'קיזוזים בגין איחורים'!F37</f>
        <v/>
      </c>
      <c r="S37" s="543" t="str">
        <f ca="1">IF(B37="","",'קיזוזים- החלטות ועדה'!E37)</f>
        <v/>
      </c>
      <c r="T37" s="544"/>
      <c r="U37" s="544"/>
    </row>
    <row r="38" spans="2:21" x14ac:dyDescent="0.25">
      <c r="B38" s="538">
        <f t="shared" ca="1" si="3"/>
        <v>8</v>
      </c>
      <c r="C38" s="316" t="str">
        <f ca="1">IF('תנאי סף'!B18="","",'תנאי סף'!B18)</f>
        <v>ננפואטיקה (עמותת מקום לשירה)</v>
      </c>
      <c r="D38" s="539">
        <v>1001844021</v>
      </c>
      <c r="E38" s="539">
        <v>1001722720</v>
      </c>
      <c r="F38" s="539">
        <v>2020</v>
      </c>
      <c r="G38" s="540">
        <f t="shared" ca="1" si="1"/>
        <v>1</v>
      </c>
      <c r="H38" s="316" t="str">
        <f>IF(IFERROR(VLOOKUP(E38,מרכבה!A:K,4,0),"")=K38,"","no")</f>
        <v/>
      </c>
      <c r="I38" s="540" t="str">
        <f>IFERROR(VLOOKUP(D38,מרכבה!A:K,7,0),"")</f>
        <v>2025</v>
      </c>
      <c r="J38" s="540">
        <f>IFERROR(VLOOKUP(D38,מרכבה!A:K,5,0),"")</f>
        <v>40989613</v>
      </c>
      <c r="K38" s="540">
        <f>IFERROR(VLOOKUP(D38,מרכבה!A:K,4,0),"")</f>
        <v>580537041</v>
      </c>
      <c r="L38" s="540" t="str">
        <f>IFERROR(VLOOKUP(D38,מרכבה!A:K,6,0),"")</f>
        <v>מקום לשירה (ע"ר)</v>
      </c>
      <c r="M38" s="540" t="str">
        <f>IFERROR(VLOOKUP(D38,מרכבה!A:K,2,0),"")</f>
        <v>תמיכה בכתב העת "ננופואטיקה"</v>
      </c>
      <c r="N38" s="541">
        <f>IFERROR(VLOOKUP(D38,מרכבה!A:K,8,0),"")</f>
        <v>170000</v>
      </c>
      <c r="O38" s="541">
        <f>IFERROR(VLOOKUP(E38,מרכבה!A:K,9,0),0)</f>
        <v>124497</v>
      </c>
      <c r="P38" s="541">
        <f ca="1">'הגבלה לסכום מבוקש (2)'!V38</f>
        <v>141968.77580814355</v>
      </c>
      <c r="Q38" s="542">
        <f t="shared" ca="1" si="2"/>
        <v>0.14033893032075917</v>
      </c>
      <c r="R38" s="541">
        <f ca="1">'קיזוזים בגין איחורים'!F38</f>
        <v>0</v>
      </c>
      <c r="S38" s="543">
        <f ca="1">IF(B38="","",'קיזוזים- החלטות ועדה'!E38)</f>
        <v>0</v>
      </c>
      <c r="T38" s="544"/>
      <c r="U38" s="544" t="s">
        <v>402</v>
      </c>
    </row>
    <row r="39" spans="2:21" x14ac:dyDescent="0.25">
      <c r="B39" s="538">
        <f t="shared" ca="1" si="3"/>
        <v>9</v>
      </c>
      <c r="C39" s="316" t="str">
        <f ca="1">IF('תנאי סף'!B19="","",'תנאי סף'!B19)</f>
        <v>מאזניים (אגודת הסופרים העבריים)</v>
      </c>
      <c r="D39" s="539">
        <v>1001854373</v>
      </c>
      <c r="E39" s="539">
        <v>1001779330</v>
      </c>
      <c r="F39" s="539">
        <v>2022</v>
      </c>
      <c r="G39" s="540">
        <f t="shared" ca="1" si="1"/>
        <v>0</v>
      </c>
      <c r="H39" s="316" t="str">
        <f>IF(IFERROR(VLOOKUP(E39,מרכבה!A:K,4,0),"")=K39,"","no")</f>
        <v/>
      </c>
      <c r="I39" s="540" t="str">
        <f>IFERROR(VLOOKUP(D39,מרכבה!A:K,7,0),"")</f>
        <v>2025</v>
      </c>
      <c r="J39" s="540">
        <f>IFERROR(VLOOKUP(D39,מרכבה!A:K,5,0),"")</f>
        <v>40000335</v>
      </c>
      <c r="K39" s="540">
        <f>IFERROR(VLOOKUP(D39,מרכבה!A:K,4,0),"")</f>
        <v>580013860</v>
      </c>
      <c r="L39" s="540" t="str">
        <f>IFERROR(VLOOKUP(D39,מרכבה!A:K,6,0),"")</f>
        <v>אגודת הסופרים העבריים במדינת ישראל</v>
      </c>
      <c r="M39" s="540" t="str">
        <f>IFERROR(VLOOKUP(D39,מרכבה!A:K,2,0),"")</f>
        <v>מאזניים</v>
      </c>
      <c r="N39" s="541">
        <f>IFERROR(VLOOKUP(D39,מרכבה!A:K,8,0),"")</f>
        <v>220000</v>
      </c>
      <c r="O39" s="541">
        <f>IFERROR(VLOOKUP(E39,מרכבה!A:K,9,0),0)</f>
        <v>164453</v>
      </c>
      <c r="P39" s="541">
        <f ca="1">'הגבלה לסכום מבוקש (2)'!V39</f>
        <v>158935.99640128316</v>
      </c>
      <c r="Q39" s="542">
        <f t="shared" ca="1" si="2"/>
        <v>-3.3547600826478341E-2</v>
      </c>
      <c r="R39" s="541">
        <f ca="1">'קיזוזים בגין איחורים'!F39</f>
        <v>0</v>
      </c>
      <c r="S39" s="543">
        <f ca="1">IF(B39="","",'קיזוזים- החלטות ועדה'!E39)</f>
        <v>0</v>
      </c>
      <c r="T39" s="544"/>
      <c r="U39" s="544" t="s">
        <v>402</v>
      </c>
    </row>
    <row r="40" spans="2:21" x14ac:dyDescent="0.25">
      <c r="B40" s="538">
        <f t="shared" ca="1" si="3"/>
        <v>10</v>
      </c>
      <c r="C40" s="316" t="str">
        <f ca="1">IF('תנאי סף'!B20="","",'תנאי סף'!B20)</f>
        <v>משיב הרוח</v>
      </c>
      <c r="D40" s="539">
        <v>1001844003</v>
      </c>
      <c r="E40" s="539">
        <v>1001735734</v>
      </c>
      <c r="F40" s="539">
        <v>2020</v>
      </c>
      <c r="G40" s="540">
        <f t="shared" ca="1" si="1"/>
        <v>1</v>
      </c>
      <c r="H40" s="316" t="str">
        <f>IF(IFERROR(VLOOKUP(E40,מרכבה!A:K,4,0),"")=K40,"","no")</f>
        <v/>
      </c>
      <c r="I40" s="540" t="str">
        <f>IFERROR(VLOOKUP(D40,מרכבה!A:K,7,0),"")</f>
        <v>2025</v>
      </c>
      <c r="J40" s="540">
        <f>IFERROR(VLOOKUP(D40,מרכבה!A:K,5,0),"")</f>
        <v>40216071</v>
      </c>
      <c r="K40" s="540">
        <f>IFERROR(VLOOKUP(D40,מרכבה!A:K,4,0),"")</f>
        <v>580353597</v>
      </c>
      <c r="L40" s="540" t="str">
        <f>IFERROR(VLOOKUP(D40,מרכבה!A:K,6,0),"")</f>
        <v>משיב הרוח- לתרבות יהודית ישראלית (ע</v>
      </c>
      <c r="M40" s="540" t="str">
        <f>IFERROR(VLOOKUP(D40,מרכבה!A:K,2,0),"")</f>
        <v>הפקת חמישה גיליונות של כתב העת משיב הרוח</v>
      </c>
      <c r="N40" s="541">
        <f>IFERROR(VLOOKUP(D40,מרכבה!A:K,8,0),"")</f>
        <v>300000</v>
      </c>
      <c r="O40" s="541">
        <f>IFERROR(VLOOKUP(E40,מרכבה!A:K,9,0),0)</f>
        <v>160958</v>
      </c>
      <c r="P40" s="541">
        <f ca="1">'הגבלה לסכום מבוקש (2)'!V40</f>
        <v>148737.47387407691</v>
      </c>
      <c r="Q40" s="542">
        <f t="shared" ca="1" si="2"/>
        <v>-7.5923695162235405E-2</v>
      </c>
      <c r="R40" s="541">
        <f ca="1">'קיזוזים בגין איחורים'!F40</f>
        <v>0</v>
      </c>
      <c r="S40" s="543">
        <f ca="1">IF(B40="","",'קיזוזים- החלטות ועדה'!E40)</f>
        <v>0</v>
      </c>
      <c r="T40" s="544"/>
      <c r="U40" s="544" t="s">
        <v>402</v>
      </c>
    </row>
    <row r="41" spans="2:21" x14ac:dyDescent="0.25">
      <c r="B41" s="538">
        <f t="shared" ca="1" si="3"/>
        <v>11</v>
      </c>
      <c r="C41" s="316" t="str">
        <f ca="1">IF('תנאי סף'!B21="","",'תנאי סף'!B21)</f>
        <v>עמדה (עמותת מונטן)</v>
      </c>
      <c r="D41" s="539">
        <v>1001854398</v>
      </c>
      <c r="E41" s="539">
        <v>1001778716</v>
      </c>
      <c r="F41" s="539">
        <v>2020</v>
      </c>
      <c r="G41" s="540">
        <f t="shared" ca="1" si="1"/>
        <v>1</v>
      </c>
      <c r="H41" s="316" t="str">
        <f>IF(IFERROR(VLOOKUP(E41,מרכבה!A:K,4,0),"")=K41,"","no")</f>
        <v/>
      </c>
      <c r="I41" s="540" t="str">
        <f>IFERROR(VLOOKUP(D41,מרכבה!A:K,7,0),"")</f>
        <v>2025</v>
      </c>
      <c r="J41" s="540">
        <f>IFERROR(VLOOKUP(D41,מרכבה!A:K,5,0),"")</f>
        <v>40000635</v>
      </c>
      <c r="K41" s="540">
        <f>IFERROR(VLOOKUP(D41,מרכבה!A:K,4,0),"")</f>
        <v>580265304</v>
      </c>
      <c r="L41" s="540" t="str">
        <f>IFERROR(VLOOKUP(D41,מרכבה!A:K,6,0),"")</f>
        <v>מונטן (ע"ר)</v>
      </c>
      <c r="M41" s="540" t="str">
        <f>IFERROR(VLOOKUP(D41,מרכבה!A:K,2,0),"")</f>
        <v>הפקת שתי חוברות "עמדה"</v>
      </c>
      <c r="N41" s="541">
        <f>IFERROR(VLOOKUP(D41,מרכבה!A:K,8,0),"")</f>
        <v>34000</v>
      </c>
      <c r="O41" s="541">
        <f>IFERROR(VLOOKUP(E41,מרכבה!A:K,9,0),0)</f>
        <v>31000</v>
      </c>
      <c r="P41" s="541">
        <f ca="1">'הגבלה לסכום מבוקש (2)'!V41</f>
        <v>34000</v>
      </c>
      <c r="Q41" s="542">
        <f t="shared" ca="1" si="2"/>
        <v>9.6774193548387011E-2</v>
      </c>
      <c r="R41" s="541">
        <f ca="1">'קיזוזים בגין איחורים'!F41</f>
        <v>0</v>
      </c>
      <c r="S41" s="543">
        <f ca="1">IF(B41="","",'קיזוזים- החלטות ועדה'!E41)</f>
        <v>0</v>
      </c>
      <c r="T41" s="544"/>
      <c r="U41" s="544" t="s">
        <v>402</v>
      </c>
    </row>
    <row r="42" spans="2:21" x14ac:dyDescent="0.25">
      <c r="B42" s="538">
        <f t="shared" ca="1" si="3"/>
        <v>12</v>
      </c>
      <c r="C42" s="316" t="str">
        <f ca="1">IF('תנאי סף'!B22="","",'תנאי סף'!B22)</f>
        <v>עתון 77 (אגודת סופרים ואמנים)</v>
      </c>
      <c r="D42" s="539">
        <v>1001831771</v>
      </c>
      <c r="E42" s="539">
        <v>1001722553</v>
      </c>
      <c r="F42" s="539">
        <v>2020</v>
      </c>
      <c r="G42" s="540">
        <f t="shared" ca="1" si="1"/>
        <v>1</v>
      </c>
      <c r="H42" s="316" t="str">
        <f>IF(IFERROR(VLOOKUP(E42,מרכבה!A:K,4,0),"")=K42,"","no")</f>
        <v/>
      </c>
      <c r="I42" s="540" t="str">
        <f>IFERROR(VLOOKUP(D42,מרכבה!A:K,7,0),"")</f>
        <v>2025</v>
      </c>
      <c r="J42" s="540">
        <f>IFERROR(VLOOKUP(D42,מרכבה!A:K,5,0),"")</f>
        <v>40000429</v>
      </c>
      <c r="K42" s="540">
        <f>IFERROR(VLOOKUP(D42,מרכבה!A:K,4,0),"")</f>
        <v>580073575</v>
      </c>
      <c r="L42" s="540" t="str">
        <f>IFERROR(VLOOKUP(D42,מרכבה!A:K,6,0),"")</f>
        <v>אגודת סופרים ואמנים לקידום הספרות ו</v>
      </c>
      <c r="M42" s="540" t="str">
        <f>IFERROR(VLOOKUP(D42,מרכבה!A:K,2,0),"")</f>
        <v>תמיכה שוטפת בהוצאה לאור של "עיתון 77"</v>
      </c>
      <c r="N42" s="541">
        <f>IFERROR(VLOOKUP(D42,מרכבה!A:K,8,0),"")</f>
        <v>300000</v>
      </c>
      <c r="O42" s="541">
        <f>IFERROR(VLOOKUP(E42,מרכבה!A:K,9,0),0)</f>
        <v>146532</v>
      </c>
      <c r="P42" s="541">
        <f ca="1">'הגבלה לסכום מבוקש (2)'!V42</f>
        <v>134269.11526979934</v>
      </c>
      <c r="Q42" s="542">
        <f t="shared" ca="1" si="2"/>
        <v>-8.3687417971505584E-2</v>
      </c>
      <c r="R42" s="541">
        <f ca="1">'קיזוזים בגין איחורים'!F42</f>
        <v>0</v>
      </c>
      <c r="S42" s="543">
        <f ca="1">IF(B42="","",'קיזוזים- החלטות ועדה'!E42)</f>
        <v>0</v>
      </c>
      <c r="T42" s="544"/>
      <c r="U42" s="544" t="s">
        <v>402</v>
      </c>
    </row>
    <row r="43" spans="2:21" x14ac:dyDescent="0.25">
      <c r="B43" s="538" t="str">
        <f t="shared" ca="1" si="3"/>
        <v/>
      </c>
      <c r="C43" s="316" t="str">
        <f ca="1">IF('תנאי סף'!B23="","",'תנאי סף'!B23)</f>
        <v/>
      </c>
      <c r="D43" s="539"/>
      <c r="E43" s="539"/>
      <c r="F43" s="539"/>
      <c r="G43" s="540" t="str">
        <f t="shared" ca="1" si="1"/>
        <v/>
      </c>
      <c r="H43" s="316" t="str">
        <f>IF(IFERROR(VLOOKUP(E43,מרכבה!A:K,4,0),"")=K43,"","no")</f>
        <v/>
      </c>
      <c r="I43" s="540" t="str">
        <f>IFERROR(VLOOKUP(D43,מרכבה!A:K,7,0),"")</f>
        <v/>
      </c>
      <c r="J43" s="540" t="str">
        <f>IFERROR(VLOOKUP(D43,מרכבה!A:K,5,0),"")</f>
        <v/>
      </c>
      <c r="K43" s="540" t="str">
        <f>IFERROR(VLOOKUP(D43,מרכבה!A:K,4,0),"")</f>
        <v/>
      </c>
      <c r="L43" s="540" t="str">
        <f>IFERROR(VLOOKUP(D43,מרכבה!A:K,6,0),"")</f>
        <v/>
      </c>
      <c r="M43" s="540" t="str">
        <f>IFERROR(VLOOKUP(D43,מרכבה!A:K,2,0),"")</f>
        <v/>
      </c>
      <c r="N43" s="541" t="str">
        <f>IFERROR(VLOOKUP(D43,מרכבה!A:K,8,0),"")</f>
        <v/>
      </c>
      <c r="O43" s="541">
        <f>IFERROR(VLOOKUP(E43,מרכבה!A:K,9,0),0)</f>
        <v>0</v>
      </c>
      <c r="P43" s="541" t="str">
        <f ca="1">'הגבלה לסכום מבוקש (2)'!V43</f>
        <v/>
      </c>
      <c r="Q43" s="542" t="str">
        <f t="shared" ca="1" si="2"/>
        <v/>
      </c>
      <c r="R43" s="541" t="str">
        <f ca="1">'קיזוזים בגין איחורים'!F43</f>
        <v/>
      </c>
      <c r="S43" s="543" t="str">
        <f ca="1">IF(B43="","",'קיזוזים- החלטות ועדה'!E43)</f>
        <v/>
      </c>
      <c r="T43" s="544"/>
      <c r="U43" s="544"/>
    </row>
    <row r="44" spans="2:21" x14ac:dyDescent="0.25">
      <c r="B44" s="538">
        <f t="shared" ca="1" si="3"/>
        <v>14</v>
      </c>
      <c r="C44" s="316" t="str">
        <f ca="1">IF('תנאי סף'!B24="","",'תנאי סף'!B24)</f>
        <v>פסיפס</v>
      </c>
      <c r="D44" s="539">
        <v>1001837427</v>
      </c>
      <c r="E44" s="539">
        <v>1001745237</v>
      </c>
      <c r="F44" s="539">
        <v>2020</v>
      </c>
      <c r="G44" s="540">
        <f t="shared" ca="1" si="1"/>
        <v>1</v>
      </c>
      <c r="H44" s="316" t="str">
        <f>IF(IFERROR(VLOOKUP(E44,מרכבה!A:K,4,0),"")=K44,"","no")</f>
        <v/>
      </c>
      <c r="I44" s="540" t="str">
        <f>IFERROR(VLOOKUP(D44,מרכבה!A:K,7,0),"")</f>
        <v>2025</v>
      </c>
      <c r="J44" s="540">
        <f>IFERROR(VLOOKUP(D44,מרכבה!A:K,5,0),"")</f>
        <v>40000516</v>
      </c>
      <c r="K44" s="540">
        <f>IFERROR(VLOOKUP(D44,מרכבה!A:K,4,0),"")</f>
        <v>580158830</v>
      </c>
      <c r="L44" s="540" t="str">
        <f>IFERROR(VLOOKUP(D44,מרכבה!A:K,6,0),"")</f>
        <v>פסיפס - עיתון למידע על שירה - ספרי</v>
      </c>
      <c r="M44" s="540" t="str">
        <f>IFERROR(VLOOKUP(D44,מרכבה!A:K,2,0),"")</f>
        <v>בקשה לתמיכה לשנת 2025</v>
      </c>
      <c r="N44" s="541">
        <f>IFERROR(VLOOKUP(D44,מרכבה!A:K,8,0),"")</f>
        <v>90000</v>
      </c>
      <c r="O44" s="541">
        <f>IFERROR(VLOOKUP(E44,מרכבה!A:K,9,0),0)</f>
        <v>43081</v>
      </c>
      <c r="P44" s="541">
        <f ca="1">'הגבלה לסכום מבוקש (2)'!V44</f>
        <v>38555.909673218623</v>
      </c>
      <c r="Q44" s="542">
        <f t="shared" ca="1" si="2"/>
        <v>-0.10503679874611493</v>
      </c>
      <c r="R44" s="541">
        <f ca="1">'קיזוזים בגין איחורים'!F44</f>
        <v>0</v>
      </c>
      <c r="S44" s="543">
        <f ca="1">IF(B44="","",'קיזוזים- החלטות ועדה'!E44)</f>
        <v>0</v>
      </c>
      <c r="T44" s="544"/>
      <c r="U44" s="544" t="s">
        <v>402</v>
      </c>
    </row>
    <row r="45" spans="2:21" x14ac:dyDescent="0.25">
      <c r="B45" s="538">
        <f t="shared" ca="1" si="3"/>
        <v>15</v>
      </c>
      <c r="C45" s="316" t="str">
        <f ca="1">IF('תנאי סף'!B25="","",'תנאי סף'!B25)</f>
        <v>קתרזיס ( עמותת מצרף)</v>
      </c>
      <c r="D45" s="539">
        <v>1001823621</v>
      </c>
      <c r="E45" s="539">
        <v>1001719842</v>
      </c>
      <c r="F45" s="539">
        <v>2020</v>
      </c>
      <c r="G45" s="540">
        <f t="shared" ca="1" si="1"/>
        <v>1</v>
      </c>
      <c r="H45" s="316" t="str">
        <f>IF(IFERROR(VLOOKUP(E45,מרכבה!A:K,4,0),"")=K45,"","no")</f>
        <v/>
      </c>
      <c r="I45" s="540" t="str">
        <f>IFERROR(VLOOKUP(D45,מרכבה!A:K,7,0),"")</f>
        <v>2025</v>
      </c>
      <c r="J45" s="540">
        <f>IFERROR(VLOOKUP(D45,מרכבה!A:K,5,0),"")</f>
        <v>40216111</v>
      </c>
      <c r="K45" s="540">
        <f>IFERROR(VLOOKUP(D45,מרכבה!A:K,4,0),"")</f>
        <v>580411924</v>
      </c>
      <c r="L45" s="540" t="str">
        <f>IFERROR(VLOOKUP(D45,מרכבה!A:K,6,0),"")</f>
        <v>מצרף (ע"ר)</v>
      </c>
      <c r="M45" s="540" t="str">
        <f>IFERROR(VLOOKUP(D45,מרכבה!A:K,2,0),"")</f>
        <v>תמיכה בהפקת חוברת קתרסיס</v>
      </c>
      <c r="N45" s="541">
        <f>IFERROR(VLOOKUP(D45,מרכבה!A:K,8,0),"")</f>
        <v>29000</v>
      </c>
      <c r="O45" s="541">
        <f>IFERROR(VLOOKUP(E45,מרכבה!A:K,9,0),0)</f>
        <v>29000</v>
      </c>
      <c r="P45" s="541">
        <f ca="1">'הגבלה לסכום מבוקש (2)'!V45</f>
        <v>29000</v>
      </c>
      <c r="Q45" s="542">
        <f t="shared" ca="1" si="2"/>
        <v>0</v>
      </c>
      <c r="R45" s="541">
        <f ca="1">'קיזוזים בגין איחורים'!F45</f>
        <v>0</v>
      </c>
      <c r="S45" s="543">
        <f ca="1">IF(B45="","",'קיזוזים- החלטות ועדה'!E45)</f>
        <v>0</v>
      </c>
      <c r="T45" s="544"/>
      <c r="U45" s="544" t="s">
        <v>402</v>
      </c>
    </row>
    <row r="46" spans="2:21" x14ac:dyDescent="0.25">
      <c r="B46" s="538" t="str">
        <f t="shared" ca="1" si="3"/>
        <v/>
      </c>
      <c r="C46" s="316" t="str">
        <f ca="1">IF('תנאי סף'!B26="","",'תנאי סף'!B26)</f>
        <v/>
      </c>
      <c r="D46" s="539"/>
      <c r="E46" s="539"/>
      <c r="F46" s="539"/>
      <c r="G46" s="540" t="str">
        <f t="shared" ca="1" si="1"/>
        <v/>
      </c>
      <c r="H46" s="316" t="str">
        <f>IF(IFERROR(VLOOKUP(E46,מרכבה!A:K,4,0),"")=K46,"","no")</f>
        <v/>
      </c>
      <c r="I46" s="540" t="str">
        <f>IFERROR(VLOOKUP(D46,מרכבה!A:K,7,0),"")</f>
        <v/>
      </c>
      <c r="J46" s="540" t="str">
        <f>IFERROR(VLOOKUP(D46,מרכבה!A:K,5,0),"")</f>
        <v/>
      </c>
      <c r="K46" s="540" t="str">
        <f>IFERROR(VLOOKUP(D46,מרכבה!A:K,4,0),"")</f>
        <v/>
      </c>
      <c r="L46" s="540" t="str">
        <f>IFERROR(VLOOKUP(D46,מרכבה!A:K,6,0),"")</f>
        <v/>
      </c>
      <c r="M46" s="540" t="str">
        <f>IFERROR(VLOOKUP(D46,מרכבה!A:K,2,0),"")</f>
        <v/>
      </c>
      <c r="N46" s="541" t="str">
        <f>IFERROR(VLOOKUP(D46,מרכבה!A:K,8,0),"")</f>
        <v/>
      </c>
      <c r="O46" s="541">
        <f>IFERROR(VLOOKUP(E46,מרכבה!A:K,9,0),0)</f>
        <v>0</v>
      </c>
      <c r="P46" s="541" t="str">
        <f ca="1">'הגבלה לסכום מבוקש (2)'!V46</f>
        <v/>
      </c>
      <c r="Q46" s="542" t="str">
        <f t="shared" ca="1" si="2"/>
        <v/>
      </c>
      <c r="R46" s="541" t="str">
        <f ca="1">'קיזוזים בגין איחורים'!F46</f>
        <v/>
      </c>
      <c r="S46" s="543" t="str">
        <f ca="1">IF(B46="","",'קיזוזים- החלטות ועדה'!E46)</f>
        <v/>
      </c>
      <c r="T46" s="544"/>
      <c r="U46" s="544"/>
    </row>
    <row r="47" spans="2:21" x14ac:dyDescent="0.25">
      <c r="B47" s="538">
        <f t="shared" ca="1" si="3"/>
        <v>17</v>
      </c>
      <c r="C47" s="316" t="str">
        <f ca="1">IF('תנאי סף'!B27="","",'תנאי סף'!B27)</f>
        <v>הכיוון מזרח (עמותת אחותי)</v>
      </c>
      <c r="D47" s="539">
        <v>1001844094</v>
      </c>
      <c r="E47" s="539">
        <v>1001779940</v>
      </c>
      <c r="F47" s="539">
        <v>2024</v>
      </c>
      <c r="G47" s="540">
        <f t="shared" ca="1" si="1"/>
        <v>0</v>
      </c>
      <c r="H47" s="316" t="str">
        <f>IF(IFERROR(VLOOKUP(E47,מרכבה!A:K,4,0),"")=K47,"","no")</f>
        <v/>
      </c>
      <c r="I47" s="540" t="str">
        <f>IFERROR(VLOOKUP(D47,מרכבה!A:K,7,0),"")</f>
        <v>2025</v>
      </c>
      <c r="J47" s="540">
        <f>IFERROR(VLOOKUP(D47,מרכבה!A:K,5,0),"")</f>
        <v>40522482</v>
      </c>
      <c r="K47" s="540">
        <f>IFERROR(VLOOKUP(D47,מרכבה!A:K,4,0),"")</f>
        <v>580362747</v>
      </c>
      <c r="L47" s="540" t="str">
        <f>IFERROR(VLOOKUP(D47,מרכבה!A:K,6,0),"")</f>
        <v>אחותי - למען נשים בישראל (ע"ר)</v>
      </c>
      <c r="M47" s="540" t="str">
        <f>IFERROR(VLOOKUP(D47,מרכבה!A:K,2,0),"")</f>
        <v>כתב העת הכיוון מזרח</v>
      </c>
      <c r="N47" s="541">
        <f>IFERROR(VLOOKUP(D47,מרכבה!A:K,8,0),"")</f>
        <v>180000</v>
      </c>
      <c r="O47" s="541">
        <f>IFERROR(VLOOKUP(E47,מרכבה!A:K,9,0),0)</f>
        <v>134434</v>
      </c>
      <c r="P47" s="541">
        <f ca="1">'הגבלה לסכום מבוקש (2)'!V47</f>
        <v>98262.948341541589</v>
      </c>
      <c r="Q47" s="542">
        <f t="shared" ca="1" si="2"/>
        <v>-0.26906178242452361</v>
      </c>
      <c r="R47" s="541">
        <f ca="1">'קיזוזים בגין איחורים'!F47</f>
        <v>0</v>
      </c>
      <c r="S47" s="543">
        <f ca="1">IF(B47="","",'קיזוזים- החלטות ועדה'!E47)</f>
        <v>0</v>
      </c>
      <c r="T47" s="544" t="s">
        <v>635</v>
      </c>
      <c r="U47" s="544" t="s">
        <v>402</v>
      </c>
    </row>
    <row r="48" spans="2:21" x14ac:dyDescent="0.25">
      <c r="B48" s="538" t="str">
        <f t="shared" ca="1" si="3"/>
        <v/>
      </c>
      <c r="C48" s="316" t="str">
        <f ca="1">IF('תנאי סף'!B28="","",'תנאי סף'!B28)</f>
        <v/>
      </c>
      <c r="D48" s="539"/>
      <c r="E48" s="539"/>
      <c r="F48" s="539"/>
      <c r="G48" s="540" t="str">
        <f t="shared" ca="1" si="1"/>
        <v/>
      </c>
      <c r="H48" s="316" t="str">
        <f>IF(IFERROR(VLOOKUP(E48,מרכבה!A:K,4,0),"")=K48,"","no")</f>
        <v/>
      </c>
      <c r="I48" s="540" t="str">
        <f>IFERROR(VLOOKUP(D48,מרכבה!A:K,7,0),"")</f>
        <v/>
      </c>
      <c r="J48" s="540" t="str">
        <f>IFERROR(VLOOKUP(D48,מרכבה!A:K,5,0),"")</f>
        <v/>
      </c>
      <c r="K48" s="540" t="str">
        <f>IFERROR(VLOOKUP(D48,מרכבה!A:K,4,0),"")</f>
        <v/>
      </c>
      <c r="L48" s="540" t="str">
        <f>IFERROR(VLOOKUP(D48,מרכבה!A:K,6,0),"")</f>
        <v/>
      </c>
      <c r="M48" s="540" t="str">
        <f>IFERROR(VLOOKUP(D48,מרכבה!A:K,2,0),"")</f>
        <v/>
      </c>
      <c r="N48" s="541" t="str">
        <f>IFERROR(VLOOKUP(D48,מרכבה!A:K,8,0),"")</f>
        <v/>
      </c>
      <c r="O48" s="541">
        <f>IFERROR(VLOOKUP(E48,מרכבה!A:K,9,0),0)</f>
        <v>0</v>
      </c>
      <c r="P48" s="541" t="str">
        <f ca="1">'הגבלה לסכום מבוקש (2)'!V48</f>
        <v/>
      </c>
      <c r="Q48" s="542" t="str">
        <f t="shared" ca="1" si="2"/>
        <v/>
      </c>
      <c r="R48" s="541" t="str">
        <f ca="1">'קיזוזים בגין איחורים'!F48</f>
        <v/>
      </c>
      <c r="S48" s="543" t="str">
        <f ca="1">IF(B48="","",'קיזוזים- החלטות ועדה'!E48)</f>
        <v/>
      </c>
      <c r="T48" s="544"/>
      <c r="U48" s="544"/>
    </row>
    <row r="49" spans="2:21" x14ac:dyDescent="0.25">
      <c r="B49" s="538">
        <f t="shared" ca="1" si="3"/>
        <v>19</v>
      </c>
      <c r="C49" s="316" t="str">
        <f ca="1">IF('תנאי סף'!B29="","",'תנאי סף'!B29)</f>
        <v>הו</v>
      </c>
      <c r="D49" s="539">
        <v>1001825303</v>
      </c>
      <c r="E49" s="539">
        <v>1001722210</v>
      </c>
      <c r="F49" s="539">
        <v>2024</v>
      </c>
      <c r="G49" s="540">
        <f t="shared" ca="1" si="1"/>
        <v>0</v>
      </c>
      <c r="H49" s="316" t="str">
        <f>IF(IFERROR(VLOOKUP(E49,מרכבה!A:K,4,0),"")=K49,"","no")</f>
        <v/>
      </c>
      <c r="I49" s="540" t="str">
        <f>IFERROR(VLOOKUP(D49,מרכבה!A:K,7,0),"")</f>
        <v>2025</v>
      </c>
      <c r="J49" s="540">
        <f>IFERROR(VLOOKUP(D49,מרכבה!A:K,5,0),"")</f>
        <v>40365425</v>
      </c>
      <c r="K49" s="540">
        <f>IFERROR(VLOOKUP(D49,מרכבה!A:K,4,0),"")</f>
        <v>580476968</v>
      </c>
      <c r="L49" s="540" t="str">
        <f>IFERROR(VLOOKUP(D49,מרכבה!A:K,6,0),"")</f>
        <v>הו! עמותה לספרות עברית (ע"ר)</v>
      </c>
      <c r="M49" s="540" t="str">
        <f>IFERROR(VLOOKUP(D49,מרכבה!A:K,2,0),"")</f>
        <v>תמיכה בכתב העת הו! 2025</v>
      </c>
      <c r="N49" s="541">
        <f>IFERROR(VLOOKUP(D49,מרכבה!A:K,8,0),"")</f>
        <v>180000</v>
      </c>
      <c r="O49" s="541">
        <f>IFERROR(VLOOKUP(E49,מרכבה!A:K,9,0),0)</f>
        <v>118619</v>
      </c>
      <c r="P49" s="541">
        <f ca="1">'הגבלה לסכום מבוקש (2)'!V49</f>
        <v>100140.64481908687</v>
      </c>
      <c r="Q49" s="542">
        <f t="shared" ca="1" si="2"/>
        <v>-0.15577905041277651</v>
      </c>
      <c r="R49" s="541">
        <f ca="1">'קיזוזים בגין איחורים'!F49</f>
        <v>0</v>
      </c>
      <c r="S49" s="543">
        <f ca="1">IF(B49="","",'קיזוזים- החלטות ועדה'!E49)</f>
        <v>0</v>
      </c>
      <c r="T49" s="544" t="s">
        <v>637</v>
      </c>
      <c r="U49" s="544" t="s">
        <v>402</v>
      </c>
    </row>
    <row r="50" spans="2:21" x14ac:dyDescent="0.25">
      <c r="B50" s="538">
        <f t="shared" ca="1" si="3"/>
        <v>20</v>
      </c>
      <c r="C50" s="316" t="str">
        <f ca="1">IF('תנאי סף'!B30="","",'תנאי סף'!B30)</f>
        <v>הבא להבא (עמותת מקום לשירה)</v>
      </c>
      <c r="D50" s="539">
        <v>1001844024</v>
      </c>
      <c r="E50" s="539">
        <v>1001754489</v>
      </c>
      <c r="F50" s="539">
        <v>2020</v>
      </c>
      <c r="G50" s="540">
        <f t="shared" ca="1" si="1"/>
        <v>1</v>
      </c>
      <c r="H50" s="316" t="str">
        <f>IF(IFERROR(VLOOKUP(E50,מרכבה!A:K,4,0),"")=K50,"","no")</f>
        <v/>
      </c>
      <c r="I50" s="540" t="str">
        <f>IFERROR(VLOOKUP(D50,מרכבה!A:K,7,0),"")</f>
        <v>2025</v>
      </c>
      <c r="J50" s="540">
        <f>IFERROR(VLOOKUP(D50,מרכבה!A:K,5,0),"")</f>
        <v>40989613</v>
      </c>
      <c r="K50" s="540">
        <f>IFERROR(VLOOKUP(D50,מרכבה!A:K,4,0),"")</f>
        <v>580537041</v>
      </c>
      <c r="L50" s="540" t="str">
        <f>IFERROR(VLOOKUP(D50,מרכבה!A:K,6,0),"")</f>
        <v>מקום לשירה (ע"ר)</v>
      </c>
      <c r="M50" s="540" t="str">
        <f>IFERROR(VLOOKUP(D50,מרכבה!A:K,2,0),"")</f>
        <v>תמיכה בכתב עת "הבה להבא"</v>
      </c>
      <c r="N50" s="541">
        <f>IFERROR(VLOOKUP(D50,מרכבה!A:K,8,0),"")</f>
        <v>80000</v>
      </c>
      <c r="O50" s="541">
        <f>IFERROR(VLOOKUP(E50,מרכבה!A:K,9,0),0)</f>
        <v>59960</v>
      </c>
      <c r="P50" s="541">
        <f ca="1">'הגבלה לסכום מבוקש (2)'!V50</f>
        <v>75902.39829871527</v>
      </c>
      <c r="Q50" s="542">
        <f t="shared" ca="1" si="2"/>
        <v>0.26588389424141545</v>
      </c>
      <c r="R50" s="541">
        <f ca="1">'קיזוזים בגין איחורים'!F50</f>
        <v>0</v>
      </c>
      <c r="S50" s="543">
        <f ca="1">IF(B50="","",'קיזוזים- החלטות ועדה'!E50)</f>
        <v>0</v>
      </c>
      <c r="T50" s="544" t="s">
        <v>636</v>
      </c>
      <c r="U50" s="544" t="s">
        <v>402</v>
      </c>
    </row>
    <row r="51" spans="2:21" x14ac:dyDescent="0.25">
      <c r="B51" s="538">
        <f t="shared" ca="1" si="3"/>
        <v>21</v>
      </c>
      <c r="C51" s="316" t="str">
        <f ca="1">IF('תנאי סף'!B31="","",'תנאי סף'!B31)</f>
        <v>היסטוריה (החברה ההיסטורית הישרא</v>
      </c>
      <c r="D51" s="539">
        <v>1001834115</v>
      </c>
      <c r="E51" s="539">
        <v>1001776590</v>
      </c>
      <c r="F51" s="539">
        <v>2020</v>
      </c>
      <c r="G51" s="540">
        <f t="shared" ca="1" si="1"/>
        <v>1</v>
      </c>
      <c r="H51" s="316" t="str">
        <f>IF(IFERROR(VLOOKUP(E51,מרכבה!A:K,4,0),"")=K51,"","no")</f>
        <v/>
      </c>
      <c r="I51" s="540" t="str">
        <f>IFERROR(VLOOKUP(D51,מרכבה!A:K,7,0),"")</f>
        <v>2025</v>
      </c>
      <c r="J51" s="540">
        <f>IFERROR(VLOOKUP(D51,מרכבה!A:K,5,0),"")</f>
        <v>40000319</v>
      </c>
      <c r="K51" s="540">
        <f>IFERROR(VLOOKUP(D51,מרכבה!A:K,4,0),"")</f>
        <v>580004729</v>
      </c>
      <c r="L51" s="540" t="str">
        <f>IFERROR(VLOOKUP(D51,מרכבה!A:K,6,0),"")</f>
        <v>החברה ההיסטורית הישראלית (ע"ר)</v>
      </c>
      <c r="M51" s="540" t="str">
        <f>IFERROR(VLOOKUP(D51,מרכבה!A:K,2,0),"")</f>
        <v>בקשת תמיכה 2025 כתב העת היסטוריה</v>
      </c>
      <c r="N51" s="541">
        <f>IFERROR(VLOOKUP(D51,מרכבה!A:K,8,0),"")</f>
        <v>120000</v>
      </c>
      <c r="O51" s="541">
        <f>IFERROR(VLOOKUP(E51,מרכבה!A:K,9,0),0)</f>
        <v>49832</v>
      </c>
      <c r="P51" s="541">
        <f ca="1">'הגבלה לסכום מבוקש (2)'!V51</f>
        <v>51310.941279157974</v>
      </c>
      <c r="Q51" s="542">
        <f t="shared" ca="1" si="2"/>
        <v>2.9678545496026221E-2</v>
      </c>
      <c r="R51" s="541">
        <f ca="1">'קיזוזים בגין איחורים'!F51</f>
        <v>0</v>
      </c>
      <c r="S51" s="543">
        <f ca="1">IF(B51="","",'קיזוזים- החלטות ועדה'!E51)</f>
        <v>0</v>
      </c>
      <c r="T51" s="544"/>
      <c r="U51" s="544" t="s">
        <v>402</v>
      </c>
    </row>
    <row r="52" spans="2:21" x14ac:dyDescent="0.25">
      <c r="B52" s="538">
        <f t="shared" ca="1" si="3"/>
        <v>22</v>
      </c>
      <c r="C52" s="316" t="str">
        <f ca="1">IF('תנאי סף'!B32="","",'תנאי סף'!B32)</f>
        <v>מחול עכשיו (תמונע)</v>
      </c>
      <c r="D52" s="539">
        <v>1001835908</v>
      </c>
      <c r="E52" s="539">
        <v>1001721531</v>
      </c>
      <c r="F52" s="539">
        <v>2020</v>
      </c>
      <c r="G52" s="540">
        <f t="shared" ca="1" si="1"/>
        <v>1</v>
      </c>
      <c r="H52" s="316" t="str">
        <f>IF(IFERROR(VLOOKUP(E52,מרכבה!A:K,4,0),"")=K52,"","no")</f>
        <v/>
      </c>
      <c r="I52" s="540" t="str">
        <f>IFERROR(VLOOKUP(D52,מרכבה!A:K,7,0),"")</f>
        <v>2025</v>
      </c>
      <c r="J52" s="540">
        <f>IFERROR(VLOOKUP(D52,מרכבה!A:K,5,0),"")</f>
        <v>40000134</v>
      </c>
      <c r="K52" s="540">
        <f>IFERROR(VLOOKUP(D52,מרכבה!A:K,4,0),"")</f>
        <v>580103026</v>
      </c>
      <c r="L52" s="540" t="str">
        <f>IFERROR(VLOOKUP(D52,מרכבה!A:K,6,0),"")</f>
        <v>תיאטרון תנועה "תמו-נע"</v>
      </c>
      <c r="M52" s="540" t="str">
        <f>IFERROR(VLOOKUP(D52,מרכבה!A:K,2,0),"")</f>
        <v>מגזין מחול</v>
      </c>
      <c r="N52" s="541">
        <f>IFERROR(VLOOKUP(D52,מרכבה!A:K,8,0),"")</f>
        <v>60000</v>
      </c>
      <c r="O52" s="541">
        <f>IFERROR(VLOOKUP(E52,מרכבה!A:K,9,0),0)</f>
        <v>52302</v>
      </c>
      <c r="P52" s="541">
        <f ca="1">'הגבלה לסכום מבוקש (2)'!V52</f>
        <v>60000</v>
      </c>
      <c r="Q52" s="542">
        <f t="shared" ca="1" si="2"/>
        <v>0.14718366410462314</v>
      </c>
      <c r="R52" s="541">
        <f ca="1">'קיזוזים בגין איחורים'!F52</f>
        <v>0</v>
      </c>
      <c r="S52" s="543">
        <f ca="1">IF(B52="","",'קיזוזים- החלטות ועדה'!E52)</f>
        <v>0</v>
      </c>
      <c r="T52" s="544" t="s">
        <v>640</v>
      </c>
      <c r="U52" s="544" t="s">
        <v>402</v>
      </c>
    </row>
    <row r="53" spans="2:21" x14ac:dyDescent="0.25">
      <c r="B53" s="538">
        <f t="shared" ca="1" si="3"/>
        <v>23</v>
      </c>
      <c r="C53" s="316" t="str">
        <f ca="1">IF('תנאי סף'!B33="","",'תנאי סף'!B33)</f>
        <v>קול אישה שירה (תואר)</v>
      </c>
      <c r="D53" s="539">
        <v>1001850185</v>
      </c>
      <c r="E53" s="539">
        <v>1001779203</v>
      </c>
      <c r="F53" s="539">
        <v>2020</v>
      </c>
      <c r="G53" s="540">
        <f t="shared" ca="1" si="1"/>
        <v>1</v>
      </c>
      <c r="H53" s="316" t="str">
        <f>IF(IFERROR(VLOOKUP(E53,מרכבה!A:K,4,0),"")=K53,"","no")</f>
        <v/>
      </c>
      <c r="I53" s="540" t="str">
        <f>IFERROR(VLOOKUP(D53,מרכבה!A:K,7,0),"")</f>
        <v>2025</v>
      </c>
      <c r="J53" s="540">
        <f>IFERROR(VLOOKUP(D53,מרכבה!A:K,5,0),"")</f>
        <v>40216112</v>
      </c>
      <c r="K53" s="540">
        <f>IFERROR(VLOOKUP(D53,מרכבה!A:K,4,0),"")</f>
        <v>580416485</v>
      </c>
      <c r="L53" s="540" t="str">
        <f>IFERROR(VLOOKUP(D53,מרכבה!A:K,6,0),"")</f>
        <v>תואר (ע"ר)</v>
      </c>
      <c r="M53" s="540" t="str">
        <f>IFERROR(VLOOKUP(D53,מרכבה!A:K,2,0),"")</f>
        <v>כתב עת 2025</v>
      </c>
      <c r="N53" s="541">
        <f>IFERROR(VLOOKUP(D53,מרכבה!A:K,8,0),"")</f>
        <v>75000</v>
      </c>
      <c r="O53" s="541">
        <f>IFERROR(VLOOKUP(E53,מרכבה!A:K,9,0),0)</f>
        <v>60000</v>
      </c>
      <c r="P53" s="541">
        <f ca="1">'הגבלה לסכום מבוקש (2)'!V53</f>
        <v>75000</v>
      </c>
      <c r="Q53" s="542">
        <f t="shared" ca="1" si="2"/>
        <v>0.25</v>
      </c>
      <c r="R53" s="541">
        <f ca="1">'קיזוזים בגין איחורים'!F53</f>
        <v>0</v>
      </c>
      <c r="S53" s="543">
        <f ca="1">IF(B53="","",'קיזוזים- החלטות ועדה'!E53)</f>
        <v>0</v>
      </c>
      <c r="T53" s="544" t="s">
        <v>639</v>
      </c>
      <c r="U53" s="544" t="s">
        <v>402</v>
      </c>
    </row>
    <row r="54" spans="2:21" x14ac:dyDescent="0.25">
      <c r="B54" s="538">
        <f t="shared" ca="1" si="3"/>
        <v>24</v>
      </c>
      <c r="C54" s="316" t="str">
        <f ca="1">IF('תנאי סף'!B34="","",'תנאי סף'!B34)</f>
        <v>האיגוד העולמי למדעי היהדות</v>
      </c>
      <c r="D54" s="539">
        <v>1001854379</v>
      </c>
      <c r="E54" s="539">
        <v>1001745403</v>
      </c>
      <c r="F54" s="539">
        <v>2020</v>
      </c>
      <c r="G54" s="540">
        <f t="shared" ca="1" si="1"/>
        <v>1</v>
      </c>
      <c r="H54" s="316" t="str">
        <f>IF(IFERROR(VLOOKUP(E54,מרכבה!A:K,4,0),"")=K54,"","no")</f>
        <v/>
      </c>
      <c r="I54" s="540" t="str">
        <f>IFERROR(VLOOKUP(D54,מרכבה!A:K,7,0),"")</f>
        <v>2025</v>
      </c>
      <c r="J54" s="540">
        <f>IFERROR(VLOOKUP(D54,מרכבה!A:K,5,0),"")</f>
        <v>40000397</v>
      </c>
      <c r="K54" s="540">
        <f>IFERROR(VLOOKUP(D54,מרכבה!A:K,4,0),"")</f>
        <v>580046860</v>
      </c>
      <c r="L54" s="540" t="str">
        <f>IFERROR(VLOOKUP(D54,מרכבה!A:K,6,0),"")</f>
        <v>האיגוד העולמי למדעי היהדות (ע"ר)</v>
      </c>
      <c r="M54" s="540" t="str">
        <f>IFERROR(VLOOKUP(D54,מרכבה!A:K,2,0),"")</f>
        <v>תמיכה בכתב העת מדעי היהדות</v>
      </c>
      <c r="N54" s="541">
        <f>IFERROR(VLOOKUP(D54,מרכבה!A:K,8,0),"")</f>
        <v>180000</v>
      </c>
      <c r="O54" s="541">
        <f>IFERROR(VLOOKUP(E54,מרכבה!A:K,9,0),0)</f>
        <v>62879</v>
      </c>
      <c r="P54" s="541">
        <f ca="1">'הגבלה לסכום מבוקש (2)'!V54</f>
        <v>64574.256854550913</v>
      </c>
      <c r="Q54" s="542">
        <f t="shared" ca="1" si="2"/>
        <v>2.6960620470282803E-2</v>
      </c>
      <c r="R54" s="541">
        <f ca="1">'קיזוזים בגין איחורים'!F54</f>
        <v>0</v>
      </c>
      <c r="S54" s="543">
        <f ca="1">IF(B54="","",'קיזוזים- החלטות ועדה'!E54)</f>
        <v>0</v>
      </c>
      <c r="T54" s="544"/>
      <c r="U54" s="544" t="s">
        <v>402</v>
      </c>
    </row>
    <row r="55" spans="2:21" x14ac:dyDescent="0.25">
      <c r="B55" s="538" t="str">
        <f t="shared" ca="1" si="3"/>
        <v/>
      </c>
      <c r="C55" s="316" t="str">
        <f ca="1">IF('תנאי סף'!B35="","",'תנאי סף'!B35)</f>
        <v/>
      </c>
      <c r="D55" s="539"/>
      <c r="E55" s="539"/>
      <c r="F55" s="539"/>
      <c r="G55" s="540" t="str">
        <f t="shared" ca="1" si="1"/>
        <v/>
      </c>
      <c r="H55" s="316" t="str">
        <f>IF(IFERROR(VLOOKUP(E55,מרכבה!A:K,4,0),"")=K55,"","no")</f>
        <v/>
      </c>
      <c r="I55" s="540" t="str">
        <f>IFERROR(VLOOKUP(D55,מרכבה!A:K,7,0),"")</f>
        <v/>
      </c>
      <c r="J55" s="540" t="str">
        <f>IFERROR(VLOOKUP(D55,מרכבה!A:K,5,0),"")</f>
        <v/>
      </c>
      <c r="K55" s="540" t="str">
        <f>IFERROR(VLOOKUP(D55,מרכבה!A:K,4,0),"")</f>
        <v/>
      </c>
      <c r="L55" s="540" t="str">
        <f>IFERROR(VLOOKUP(D55,מרכבה!A:K,6,0),"")</f>
        <v/>
      </c>
      <c r="M55" s="540" t="str">
        <f>IFERROR(VLOOKUP(D55,מרכבה!A:K,2,0),"")</f>
        <v/>
      </c>
      <c r="N55" s="541" t="str">
        <f>IFERROR(VLOOKUP(D55,מרכבה!A:K,8,0),"")</f>
        <v/>
      </c>
      <c r="O55" s="541">
        <f>IFERROR(VLOOKUP(E55,מרכבה!A:K,9,0),0)</f>
        <v>0</v>
      </c>
      <c r="P55" s="541" t="str">
        <f ca="1">'הגבלה לסכום מבוקש (2)'!V55</f>
        <v/>
      </c>
      <c r="Q55" s="542" t="str">
        <f t="shared" ca="1" si="2"/>
        <v/>
      </c>
      <c r="R55" s="541" t="str">
        <f ca="1">'קיזוזים בגין איחורים'!F55</f>
        <v/>
      </c>
      <c r="S55" s="543" t="str">
        <f ca="1">IF(B55="","",'קיזוזים- החלטות ועדה'!E55)</f>
        <v/>
      </c>
      <c r="T55" s="544"/>
      <c r="U55" s="544"/>
    </row>
    <row r="56" spans="2:21" x14ac:dyDescent="0.25">
      <c r="B56" s="538" t="str">
        <f t="shared" ca="1" si="3"/>
        <v/>
      </c>
      <c r="C56" s="316" t="str">
        <f ca="1">IF('תנאי סף'!B36="","",'תנאי סף'!B36)</f>
        <v/>
      </c>
      <c r="D56" s="539"/>
      <c r="E56" s="539"/>
      <c r="F56" s="539"/>
      <c r="G56" s="540" t="str">
        <f t="shared" ca="1" si="1"/>
        <v/>
      </c>
      <c r="H56" s="316" t="str">
        <f>IF(IFERROR(VLOOKUP(E56,מרכבה!A:K,4,0),"")=K56,"","no")</f>
        <v/>
      </c>
      <c r="I56" s="540" t="str">
        <f>IFERROR(VLOOKUP(D56,מרכבה!A:K,7,0),"")</f>
        <v/>
      </c>
      <c r="J56" s="540" t="str">
        <f>IFERROR(VLOOKUP(D56,מרכבה!A:K,5,0),"")</f>
        <v/>
      </c>
      <c r="K56" s="540" t="str">
        <f>IFERROR(VLOOKUP(D56,מרכבה!A:K,4,0),"")</f>
        <v/>
      </c>
      <c r="L56" s="540" t="str">
        <f>IFERROR(VLOOKUP(D56,מרכבה!A:K,6,0),"")</f>
        <v/>
      </c>
      <c r="M56" s="540" t="str">
        <f>IFERROR(VLOOKUP(D56,מרכבה!A:K,2,0),"")</f>
        <v/>
      </c>
      <c r="N56" s="541" t="str">
        <f>IFERROR(VLOOKUP(D56,מרכבה!A:K,8,0),"")</f>
        <v/>
      </c>
      <c r="O56" s="541">
        <f>IFERROR(VLOOKUP(E56,מרכבה!A:K,9,0),0)</f>
        <v>0</v>
      </c>
      <c r="P56" s="541" t="str">
        <f ca="1">'הגבלה לסכום מבוקש (2)'!V56</f>
        <v/>
      </c>
      <c r="Q56" s="542" t="str">
        <f t="shared" ca="1" si="2"/>
        <v/>
      </c>
      <c r="R56" s="541" t="str">
        <f ca="1">'קיזוזים בגין איחורים'!F56</f>
        <v/>
      </c>
      <c r="S56" s="543" t="str">
        <f ca="1">IF(B56="","",'קיזוזים- החלטות ועדה'!E56)</f>
        <v/>
      </c>
      <c r="T56" s="544"/>
      <c r="U56" s="544"/>
    </row>
    <row r="57" spans="2:21" x14ac:dyDescent="0.25">
      <c r="B57" s="538" t="str">
        <f t="shared" ca="1" si="3"/>
        <v/>
      </c>
      <c r="C57" s="316" t="str">
        <f ca="1">IF('תנאי סף'!B37="","",'תנאי סף'!B37)</f>
        <v/>
      </c>
      <c r="D57" s="539"/>
      <c r="E57" s="539"/>
      <c r="F57" s="539"/>
      <c r="G57" s="540" t="str">
        <f t="shared" ca="1" si="1"/>
        <v/>
      </c>
      <c r="H57" s="316" t="str">
        <f>IF(IFERROR(VLOOKUP(E57,מרכבה!A:K,4,0),"")=K57,"","no")</f>
        <v/>
      </c>
      <c r="I57" s="540" t="str">
        <f>IFERROR(VLOOKUP(D57,מרכבה!A:K,7,0),"")</f>
        <v/>
      </c>
      <c r="J57" s="540" t="str">
        <f>IFERROR(VLOOKUP(D57,מרכבה!A:K,5,0),"")</f>
        <v/>
      </c>
      <c r="K57" s="540" t="str">
        <f>IFERROR(VLOOKUP(D57,מרכבה!A:K,4,0),"")</f>
        <v/>
      </c>
      <c r="L57" s="540" t="str">
        <f>IFERROR(VLOOKUP(D57,מרכבה!A:K,6,0),"")</f>
        <v/>
      </c>
      <c r="M57" s="540" t="str">
        <f>IFERROR(VLOOKUP(D57,מרכבה!A:K,2,0),"")</f>
        <v/>
      </c>
      <c r="N57" s="541" t="str">
        <f>IFERROR(VLOOKUP(D57,מרכבה!A:K,8,0),"")</f>
        <v/>
      </c>
      <c r="O57" s="541">
        <f>IFERROR(VLOOKUP(E57,מרכבה!A:K,9,0),0)</f>
        <v>0</v>
      </c>
      <c r="P57" s="541" t="str">
        <f ca="1">'הגבלה לסכום מבוקש (2)'!V57</f>
        <v/>
      </c>
      <c r="Q57" s="542" t="str">
        <f t="shared" ca="1" si="2"/>
        <v/>
      </c>
      <c r="R57" s="541" t="str">
        <f ca="1">'קיזוזים בגין איחורים'!F57</f>
        <v/>
      </c>
      <c r="S57" s="543" t="str">
        <f ca="1">IF(B57="","",'קיזוזים- החלטות ועדה'!E57)</f>
        <v/>
      </c>
      <c r="T57" s="544"/>
      <c r="U57" s="544"/>
    </row>
    <row r="58" spans="2:21" x14ac:dyDescent="0.25">
      <c r="B58" s="538" t="str">
        <f t="shared" ca="1" si="3"/>
        <v/>
      </c>
      <c r="C58" s="316" t="str">
        <f ca="1">IF('תנאי סף'!B38="","",'תנאי סף'!B38)</f>
        <v/>
      </c>
      <c r="D58" s="539"/>
      <c r="E58" s="539"/>
      <c r="F58" s="539"/>
      <c r="G58" s="540" t="str">
        <f t="shared" ca="1" si="1"/>
        <v/>
      </c>
      <c r="H58" s="316" t="str">
        <f>IF(IFERROR(VLOOKUP(E58,מרכבה!A:K,4,0),"")=K58,"","no")</f>
        <v/>
      </c>
      <c r="I58" s="540" t="str">
        <f>IFERROR(VLOOKUP(D58,מרכבה!A:K,7,0),"")</f>
        <v/>
      </c>
      <c r="J58" s="540" t="str">
        <f>IFERROR(VLOOKUP(D58,מרכבה!A:K,5,0),"")</f>
        <v/>
      </c>
      <c r="K58" s="540" t="str">
        <f>IFERROR(VLOOKUP(D58,מרכבה!A:K,4,0),"")</f>
        <v/>
      </c>
      <c r="L58" s="540" t="str">
        <f>IFERROR(VLOOKUP(D58,מרכבה!A:K,6,0),"")</f>
        <v/>
      </c>
      <c r="M58" s="540" t="str">
        <f>IFERROR(VLOOKUP(D58,מרכבה!A:K,2,0),"")</f>
        <v/>
      </c>
      <c r="N58" s="541" t="str">
        <f>IFERROR(VLOOKUP(D58,מרכבה!A:K,8,0),"")</f>
        <v/>
      </c>
      <c r="O58" s="541">
        <f>IFERROR(VLOOKUP(E58,מרכבה!A:K,9,0),0)</f>
        <v>0</v>
      </c>
      <c r="P58" s="541" t="str">
        <f ca="1">'הגבלה לסכום מבוקש (2)'!V58</f>
        <v/>
      </c>
      <c r="Q58" s="542" t="str">
        <f t="shared" ca="1" si="2"/>
        <v/>
      </c>
      <c r="R58" s="541" t="str">
        <f ca="1">'קיזוזים בגין איחורים'!F58</f>
        <v/>
      </c>
      <c r="S58" s="543" t="str">
        <f ca="1">IF(B58="","",'קיזוזים- החלטות ועדה'!E58)</f>
        <v/>
      </c>
      <c r="T58" s="544"/>
      <c r="U58" s="544"/>
    </row>
    <row r="59" spans="2:21" x14ac:dyDescent="0.25">
      <c r="B59" s="538">
        <f t="shared" ca="1" si="3"/>
        <v>29</v>
      </c>
      <c r="C59" s="316" t="str">
        <f ca="1">IF('תנאי סף'!B39="","",'תנאי סף'!B39)</f>
        <v>גופא (נתיב האומן )</v>
      </c>
      <c r="D59" s="539">
        <v>1001835845</v>
      </c>
      <c r="E59" s="539">
        <v>1001774183</v>
      </c>
      <c r="F59" s="539">
        <v>2020</v>
      </c>
      <c r="G59" s="540">
        <f t="shared" ca="1" si="1"/>
        <v>1</v>
      </c>
      <c r="H59" s="316" t="str">
        <f>IF(IFERROR(VLOOKUP(E59,מרכבה!A:K,4,0),"")=K59,"","no")</f>
        <v/>
      </c>
      <c r="I59" s="540" t="str">
        <f>IFERROR(VLOOKUP(D59,מרכבה!A:K,7,0),"")</f>
        <v>2025</v>
      </c>
      <c r="J59" s="540">
        <f>IFERROR(VLOOKUP(D59,מרכבה!A:K,5,0),"")</f>
        <v>41484317</v>
      </c>
      <c r="K59" s="540">
        <f>IFERROR(VLOOKUP(D59,מרכבה!A:K,4,0),"")</f>
        <v>580107977</v>
      </c>
      <c r="L59" s="540" t="str">
        <f>IFERROR(VLOOKUP(D59,מרכבה!A:K,6,0),"")</f>
        <v>קידום נתיב האמן (ע"ר)</v>
      </c>
      <c r="M59" s="540" t="str">
        <f>IFERROR(VLOOKUP(D59,מרכבה!A:K,2,0),"")</f>
        <v>גופא - כתב עת</v>
      </c>
      <c r="N59" s="541">
        <f>IFERROR(VLOOKUP(D59,מרכבה!A:K,8,0),"")</f>
        <v>250000</v>
      </c>
      <c r="O59" s="541">
        <f>IFERROR(VLOOKUP(E59,מרכבה!A:K,9,0),0)</f>
        <v>39915</v>
      </c>
      <c r="P59" s="541">
        <f ca="1">'הגבלה לסכום מבוקש (2)'!V59</f>
        <v>44776.872485815889</v>
      </c>
      <c r="Q59" s="542">
        <f t="shared" ca="1" si="2"/>
        <v>0.12180564914984071</v>
      </c>
      <c r="R59" s="541">
        <f ca="1">'קיזוזים בגין איחורים'!F59</f>
        <v>0</v>
      </c>
      <c r="S59" s="543">
        <f ca="1">IF(B59="","",'קיזוזים- החלטות ועדה'!E59)</f>
        <v>0</v>
      </c>
      <c r="T59" s="544" t="s">
        <v>641</v>
      </c>
      <c r="U59" s="544" t="s">
        <v>402</v>
      </c>
    </row>
    <row r="60" spans="2:21" x14ac:dyDescent="0.25">
      <c r="B60" s="538">
        <f t="shared" ca="1" si="3"/>
        <v>30</v>
      </c>
      <c r="C60" s="316" t="str">
        <f ca="1">IF('תנאי סף'!B40="","",'תנאי סף'!B40)</f>
        <v>ערב רב (בר קיימא)</v>
      </c>
      <c r="D60" s="539">
        <v>1001843817</v>
      </c>
      <c r="E60" s="539">
        <v>1001734702</v>
      </c>
      <c r="F60" s="539">
        <v>2020</v>
      </c>
      <c r="G60" s="540">
        <f t="shared" ca="1" si="1"/>
        <v>1</v>
      </c>
      <c r="H60" s="316" t="str">
        <f>IF(IFERROR(VLOOKUP(E60,מרכבה!A:K,4,0),"")=K60,"","no")</f>
        <v/>
      </c>
      <c r="I60" s="540" t="str">
        <f>IFERROR(VLOOKUP(D60,מרכבה!A:K,7,0),"")</f>
        <v>2025</v>
      </c>
      <c r="J60" s="540">
        <f>IFERROR(VLOOKUP(D60,מרכבה!A:K,5,0),"")</f>
        <v>41099000</v>
      </c>
      <c r="K60" s="540">
        <f>IFERROR(VLOOKUP(D60,מרכבה!A:K,4,0),"")</f>
        <v>580450898</v>
      </c>
      <c r="L60" s="540" t="str">
        <f>IFERROR(VLOOKUP(D60,מרכבה!A:K,6,0),"")</f>
        <v>בר-קיימא לתרבות, אמנות, מוסיקה ושלו</v>
      </c>
      <c r="M60" s="540" t="str">
        <f>IFERROR(VLOOKUP(D60,מרכבה!A:K,2,0),"")</f>
        <v>ערב-רב: כתב עת לאמנות 2025</v>
      </c>
      <c r="N60" s="541">
        <f>IFERROR(VLOOKUP(D60,מרכבה!A:K,8,0),"")</f>
        <v>150000</v>
      </c>
      <c r="O60" s="541">
        <f>IFERROR(VLOOKUP(E60,מרכבה!A:K,9,0),0)</f>
        <v>66237</v>
      </c>
      <c r="P60" s="541">
        <f ca="1">'הגבלה לסכום מבוקש (2)'!V60</f>
        <v>65881.953579386216</v>
      </c>
      <c r="Q60" s="542">
        <f t="shared" ca="1" si="2"/>
        <v>-5.3602430758304953E-3</v>
      </c>
      <c r="R60" s="541">
        <f ca="1">'קיזוזים בגין איחורים'!F60</f>
        <v>0</v>
      </c>
      <c r="S60" s="543">
        <f ca="1">IF(B60="","",'קיזוזים- החלטות ועדה'!E60)</f>
        <v>0</v>
      </c>
      <c r="T60" s="544"/>
      <c r="U60" s="544" t="s">
        <v>402</v>
      </c>
    </row>
    <row r="61" spans="2:21" x14ac:dyDescent="0.25">
      <c r="B61" s="538" t="str">
        <f t="shared" ca="1" si="3"/>
        <v/>
      </c>
      <c r="C61" s="316" t="str">
        <f ca="1">IF('תנאי סף'!B41="","",'תנאי סף'!B41)</f>
        <v/>
      </c>
      <c r="D61" s="539"/>
      <c r="E61" s="539"/>
      <c r="F61" s="539"/>
      <c r="G61" s="540" t="str">
        <f t="shared" ca="1" si="1"/>
        <v/>
      </c>
      <c r="H61" s="316" t="str">
        <f>IF(IFERROR(VLOOKUP(E61,מרכבה!A:K,4,0),"")=K61,"","no")</f>
        <v/>
      </c>
      <c r="I61" s="540" t="str">
        <f>IFERROR(VLOOKUP(D61,מרכבה!A:K,7,0),"")</f>
        <v/>
      </c>
      <c r="J61" s="540" t="str">
        <f>IFERROR(VLOOKUP(D61,מרכבה!A:K,5,0),"")</f>
        <v/>
      </c>
      <c r="K61" s="540" t="str">
        <f>IFERROR(VLOOKUP(D61,מרכבה!A:K,4,0),"")</f>
        <v/>
      </c>
      <c r="L61" s="540" t="str">
        <f>IFERROR(VLOOKUP(D61,מרכבה!A:K,6,0),"")</f>
        <v/>
      </c>
      <c r="M61" s="540" t="str">
        <f>IFERROR(VLOOKUP(D61,מרכבה!A:K,2,0),"")</f>
        <v/>
      </c>
      <c r="N61" s="541" t="str">
        <f>IFERROR(VLOOKUP(D61,מרכבה!A:K,8,0),"")</f>
        <v/>
      </c>
      <c r="O61" s="541">
        <f>IFERROR(VLOOKUP(E61,מרכבה!A:K,9,0),0)</f>
        <v>0</v>
      </c>
      <c r="P61" s="541" t="str">
        <f ca="1">'הגבלה לסכום מבוקש (2)'!V61</f>
        <v/>
      </c>
      <c r="Q61" s="542" t="str">
        <f t="shared" ca="1" si="2"/>
        <v/>
      </c>
      <c r="R61" s="541" t="str">
        <f ca="1">'קיזוזים בגין איחורים'!F61</f>
        <v/>
      </c>
      <c r="S61" s="543" t="str">
        <f ca="1">IF(B61="","",'קיזוזים- החלטות ועדה'!E61)</f>
        <v/>
      </c>
      <c r="T61" s="544"/>
      <c r="U61" s="544"/>
    </row>
    <row r="62" spans="2:21" x14ac:dyDescent="0.25">
      <c r="B62" s="538">
        <f t="shared" ca="1" si="3"/>
        <v>32</v>
      </c>
      <c r="C62" s="316" t="str">
        <f ca="1">IF('תנאי סף'!B42="","",'תנאי סף'!B42)</f>
        <v>מעלה</v>
      </c>
      <c r="D62" s="539">
        <v>1001843999</v>
      </c>
      <c r="E62" s="539">
        <v>1001722721</v>
      </c>
      <c r="F62" s="539">
        <v>2020</v>
      </c>
      <c r="G62" s="540">
        <f t="shared" ca="1" si="1"/>
        <v>1</v>
      </c>
      <c r="H62" s="316" t="str">
        <f>IF(IFERROR(VLOOKUP(E62,מרכבה!A:K,4,0),"")=K62,"","no")</f>
        <v/>
      </c>
      <c r="I62" s="540" t="str">
        <f>IFERROR(VLOOKUP(D62,מרכבה!A:K,7,0),"")</f>
        <v>2025</v>
      </c>
      <c r="J62" s="540">
        <f>IFERROR(VLOOKUP(D62,מרכבה!A:K,5,0),"")</f>
        <v>40989613</v>
      </c>
      <c r="K62" s="540">
        <f>IFERROR(VLOOKUP(D62,מרכבה!A:K,4,0),"")</f>
        <v>580537041</v>
      </c>
      <c r="L62" s="540" t="str">
        <f>IFERROR(VLOOKUP(D62,מרכבה!A:K,6,0),"")</f>
        <v>מקום לשירה (ע"ר)</v>
      </c>
      <c r="M62" s="540" t="str">
        <f>IFERROR(VLOOKUP(D62,מרכבה!A:K,2,0),"")</f>
        <v>תמיכה בכתב העת "מעלה"</v>
      </c>
      <c r="N62" s="541">
        <f>IFERROR(VLOOKUP(D62,מרכבה!A:K,8,0),"")</f>
        <v>150000</v>
      </c>
      <c r="O62" s="541">
        <f>IFERROR(VLOOKUP(E62,מרכבה!A:K,9,0),0)</f>
        <v>80000</v>
      </c>
      <c r="P62" s="541">
        <f ca="1">'הגבלה לסכום מבוקש (2)'!V62</f>
        <v>120113.02039153692</v>
      </c>
      <c r="Q62" s="542">
        <f t="shared" ca="1" si="2"/>
        <v>0.50141275489421155</v>
      </c>
      <c r="R62" s="541">
        <f ca="1">'קיזוזים בגין איחורים'!F62</f>
        <v>0</v>
      </c>
      <c r="S62" s="543">
        <f ca="1">IF(B62="","",'קיזוזים- החלטות ועדה'!E62)</f>
        <v>0</v>
      </c>
      <c r="T62" s="544" t="s">
        <v>643</v>
      </c>
      <c r="U62" s="544" t="s">
        <v>402</v>
      </c>
    </row>
    <row r="63" spans="2:21" x14ac:dyDescent="0.25">
      <c r="B63" s="538" t="str">
        <f t="shared" ca="1" si="3"/>
        <v/>
      </c>
      <c r="C63" s="316" t="str">
        <f ca="1">IF('תנאי סף'!B43="","",'תנאי סף'!B43)</f>
        <v/>
      </c>
      <c r="D63" s="539"/>
      <c r="E63" s="539"/>
      <c r="F63" s="539"/>
      <c r="G63" s="540" t="str">
        <f t="shared" ca="1" si="1"/>
        <v/>
      </c>
      <c r="H63" s="316" t="str">
        <f>IF(IFERROR(VLOOKUP(E63,מרכבה!A:K,4,0),"")=K63,"","no")</f>
        <v/>
      </c>
      <c r="I63" s="540" t="str">
        <f>IFERROR(VLOOKUP(D63,מרכבה!A:K,7,0),"")</f>
        <v/>
      </c>
      <c r="J63" s="540" t="str">
        <f>IFERROR(VLOOKUP(D63,מרכבה!A:K,5,0),"")</f>
        <v/>
      </c>
      <c r="K63" s="540" t="str">
        <f>IFERROR(VLOOKUP(D63,מרכבה!A:K,4,0),"")</f>
        <v/>
      </c>
      <c r="L63" s="540" t="str">
        <f>IFERROR(VLOOKUP(D63,מרכבה!A:K,6,0),"")</f>
        <v/>
      </c>
      <c r="M63" s="540" t="str">
        <f>IFERROR(VLOOKUP(D63,מרכבה!A:K,2,0),"")</f>
        <v/>
      </c>
      <c r="N63" s="541" t="str">
        <f>IFERROR(VLOOKUP(D63,מרכבה!A:K,8,0),"")</f>
        <v/>
      </c>
      <c r="O63" s="541">
        <f>IFERROR(VLOOKUP(E63,מרכבה!A:K,9,0),0)</f>
        <v>0</v>
      </c>
      <c r="P63" s="541" t="str">
        <f ca="1">'הגבלה לסכום מבוקש (2)'!V63</f>
        <v/>
      </c>
      <c r="Q63" s="542" t="str">
        <f t="shared" ca="1" si="2"/>
        <v/>
      </c>
      <c r="R63" s="541" t="str">
        <f ca="1">'קיזוזים בגין איחורים'!F63</f>
        <v/>
      </c>
      <c r="S63" s="543" t="str">
        <f ca="1">IF(B63="","",'קיזוזים- החלטות ועדה'!E63)</f>
        <v/>
      </c>
      <c r="T63" s="544"/>
      <c r="U63" s="544"/>
    </row>
    <row r="64" spans="2:21" x14ac:dyDescent="0.25">
      <c r="B64" s="538">
        <f t="shared" ca="1" si="3"/>
        <v>34</v>
      </c>
      <c r="C64" s="316" t="str">
        <f ca="1">IF('תנאי סף'!B44="","",'תנאי סף'!B44)</f>
        <v>כתב עת ירושלמי</v>
      </c>
      <c r="D64" s="539">
        <v>1001854363</v>
      </c>
      <c r="E64" s="539">
        <v>1001778148</v>
      </c>
      <c r="F64" s="539">
        <v>2020</v>
      </c>
      <c r="G64" s="540">
        <f t="shared" ca="1" si="1"/>
        <v>1</v>
      </c>
      <c r="H64" s="316" t="str">
        <f>IF(IFERROR(VLOOKUP(E64,מרכבה!A:K,4,0),"")=K64,"","no")</f>
        <v/>
      </c>
      <c r="I64" s="540" t="str">
        <f>IFERROR(VLOOKUP(D64,מרכבה!A:K,7,0),"")</f>
        <v>2025</v>
      </c>
      <c r="J64" s="540">
        <f>IFERROR(VLOOKUP(D64,מרכבה!A:K,5,0),"")</f>
        <v>40000230</v>
      </c>
      <c r="K64" s="540">
        <f>IFERROR(VLOOKUP(D64,מרכבה!A:K,4,0),"")</f>
        <v>580310878</v>
      </c>
      <c r="L64" s="540" t="str">
        <f>IFERROR(VLOOKUP(D64,מרכבה!A:K,6,0),"")</f>
        <v>בית מורשת אורי צבי גרינברג (ע"ר)</v>
      </c>
      <c r="M64" s="540" t="str">
        <f>IFERROR(VLOOKUP(D64,מרכבה!A:K,2,0),"")</f>
        <v>כתב עת ירושלמי 2025</v>
      </c>
      <c r="N64" s="541">
        <f>IFERROR(VLOOKUP(D64,מרכבה!A:K,8,0),"")</f>
        <v>200000</v>
      </c>
      <c r="O64" s="541">
        <f>IFERROR(VLOOKUP(E64,מרכבה!A:K,9,0),0)</f>
        <v>65526</v>
      </c>
      <c r="P64" s="541">
        <f ca="1">'הגבלה לסכום מבוקש (2)'!V64</f>
        <v>59854.236223549691</v>
      </c>
      <c r="Q64" s="542">
        <f t="shared" ca="1" si="2"/>
        <v>-8.6557454696613689E-2</v>
      </c>
      <c r="R64" s="541">
        <f ca="1">'קיזוזים בגין איחורים'!F64</f>
        <v>0</v>
      </c>
      <c r="S64" s="543">
        <f ca="1">IF(B64="","",'קיזוזים- החלטות ועדה'!E64)</f>
        <v>0</v>
      </c>
      <c r="T64" s="544"/>
      <c r="U64" s="544" t="s">
        <v>402</v>
      </c>
    </row>
    <row r="65" spans="2:21" x14ac:dyDescent="0.25">
      <c r="B65" s="538" t="str">
        <f t="shared" ca="1" si="3"/>
        <v/>
      </c>
      <c r="C65" s="316" t="str">
        <f ca="1">IF('תנאי סף'!B45="","",'תנאי סף'!B45)</f>
        <v/>
      </c>
      <c r="D65" s="539"/>
      <c r="E65" s="539"/>
      <c r="F65" s="539"/>
      <c r="G65" s="540" t="str">
        <f t="shared" ca="1" si="1"/>
        <v/>
      </c>
      <c r="H65" s="316" t="str">
        <f>IF(IFERROR(VLOOKUP(E65,מרכבה!A:K,4,0),"")=K65,"","no")</f>
        <v/>
      </c>
      <c r="I65" s="540" t="str">
        <f>IFERROR(VLOOKUP(D65,מרכבה!A:K,7,0),"")</f>
        <v/>
      </c>
      <c r="J65" s="540" t="str">
        <f>IFERROR(VLOOKUP(D65,מרכבה!A:K,5,0),"")</f>
        <v/>
      </c>
      <c r="K65" s="540" t="str">
        <f>IFERROR(VLOOKUP(D65,מרכבה!A:K,4,0),"")</f>
        <v/>
      </c>
      <c r="L65" s="540" t="str">
        <f>IFERROR(VLOOKUP(D65,מרכבה!A:K,6,0),"")</f>
        <v/>
      </c>
      <c r="M65" s="540" t="str">
        <f>IFERROR(VLOOKUP(D65,מרכבה!A:K,2,0),"")</f>
        <v/>
      </c>
      <c r="N65" s="541" t="str">
        <f>IFERROR(VLOOKUP(D65,מרכבה!A:K,8,0),"")</f>
        <v/>
      </c>
      <c r="O65" s="541">
        <f>IFERROR(VLOOKUP(E65,מרכבה!A:K,9,0),0)</f>
        <v>0</v>
      </c>
      <c r="P65" s="541" t="str">
        <f ca="1">'הגבלה לסכום מבוקש (2)'!V65</f>
        <v/>
      </c>
      <c r="Q65" s="542" t="str">
        <f t="shared" ca="1" si="2"/>
        <v/>
      </c>
      <c r="R65" s="541" t="str">
        <f ca="1">'קיזוזים בגין איחורים'!F65</f>
        <v/>
      </c>
      <c r="S65" s="543" t="str">
        <f ca="1">IF(B65="","",'קיזוזים- החלטות ועדה'!E65)</f>
        <v/>
      </c>
      <c r="T65" s="544"/>
      <c r="U65" s="544"/>
    </row>
    <row r="66" spans="2:21" x14ac:dyDescent="0.25">
      <c r="B66" s="538">
        <f t="shared" ca="1" si="3"/>
        <v>36</v>
      </c>
      <c r="C66" s="316" t="str">
        <f ca="1">IF('תנאי סף'!B46="","",'תנאי סף'!B46)</f>
        <v>העמותה ליצירה פנטסטית- אוטופיה</v>
      </c>
      <c r="D66" s="539">
        <v>1001843916</v>
      </c>
      <c r="E66" s="539"/>
      <c r="F66" s="539"/>
      <c r="G66" s="540">
        <f t="shared" ca="1" si="1"/>
        <v>1</v>
      </c>
      <c r="H66" s="316" t="str">
        <f>IF(IFERROR(VLOOKUP(E66,מרכבה!A:K,4,0),"")=K66,"","no")</f>
        <v>no</v>
      </c>
      <c r="I66" s="540" t="str">
        <f>IFERROR(VLOOKUP(D66,מרכבה!A:K,7,0),"")</f>
        <v>2025</v>
      </c>
      <c r="J66" s="540">
        <f>IFERROR(VLOOKUP(D66,מרכבה!A:K,5,0),"")</f>
        <v>41375690</v>
      </c>
      <c r="K66" s="540">
        <f>IFERROR(VLOOKUP(D66,מרכבה!A:K,4,0),"")</f>
        <v>580520864</v>
      </c>
      <c r="L66" s="540" t="str">
        <f>IFERROR(VLOOKUP(D66,מרכבה!A:K,6,0),"")</f>
        <v>העמותה ליצירה פנטסטית וספקולטיבית ב</v>
      </c>
      <c r="M66" s="540" t="str">
        <f>IFERROR(VLOOKUP(D66,מרכבה!A:K,2,0),"")</f>
        <v>אוטופיה כתבי עת</v>
      </c>
      <c r="N66" s="541">
        <f>IFERROR(VLOOKUP(D66,מרכבה!A:K,8,0),"")</f>
        <v>100000</v>
      </c>
      <c r="O66" s="541">
        <f>IFERROR(VLOOKUP(E66,מרכבה!A:K,9,0),0)</f>
        <v>0</v>
      </c>
      <c r="P66" s="541">
        <f ca="1">'הגבלה לסכום מבוקש (2)'!V66</f>
        <v>75197.68799256481</v>
      </c>
      <c r="Q66" s="542" t="str">
        <f t="shared" ca="1" si="2"/>
        <v/>
      </c>
      <c r="R66" s="541">
        <f ca="1">'קיזוזים בגין איחורים'!F66</f>
        <v>0</v>
      </c>
      <c r="S66" s="543">
        <f ca="1">IF(B66="","",'קיזוזים- החלטות ועדה'!E66)</f>
        <v>0</v>
      </c>
      <c r="T66" s="544"/>
      <c r="U66" s="544" t="s">
        <v>642</v>
      </c>
    </row>
    <row r="67" spans="2:21" x14ac:dyDescent="0.25">
      <c r="B67" s="538" t="str">
        <f t="shared" ca="1" si="3"/>
        <v/>
      </c>
      <c r="C67" s="316" t="str">
        <f ca="1">IF('תנאי סף'!B47="","",'תנאי סף'!B47)</f>
        <v/>
      </c>
      <c r="D67" s="539"/>
      <c r="E67" s="539"/>
      <c r="F67" s="539"/>
      <c r="G67" s="540" t="str">
        <f t="shared" ca="1" si="1"/>
        <v/>
      </c>
      <c r="H67" s="316" t="str">
        <f>IF(IFERROR(VLOOKUP(E67,מרכבה!A:K,4,0),"")=K67,"","no")</f>
        <v/>
      </c>
      <c r="I67" s="540" t="str">
        <f>IFERROR(VLOOKUP(D67,מרכבה!A:K,7,0),"")</f>
        <v/>
      </c>
      <c r="J67" s="540" t="str">
        <f>IFERROR(VLOOKUP(D67,מרכבה!A:K,5,0),"")</f>
        <v/>
      </c>
      <c r="K67" s="540" t="str">
        <f>IFERROR(VLOOKUP(D67,מרכבה!A:K,4,0),"")</f>
        <v/>
      </c>
      <c r="L67" s="540" t="str">
        <f>IFERROR(VLOOKUP(D67,מרכבה!A:K,6,0),"")</f>
        <v/>
      </c>
      <c r="M67" s="540" t="str">
        <f>IFERROR(VLOOKUP(D67,מרכבה!A:K,2,0),"")</f>
        <v/>
      </c>
      <c r="N67" s="541" t="str">
        <f>IFERROR(VLOOKUP(D67,מרכבה!A:K,8,0),"")</f>
        <v/>
      </c>
      <c r="O67" s="541">
        <f>IFERROR(VLOOKUP(E67,מרכבה!A:K,9,0),0)</f>
        <v>0</v>
      </c>
      <c r="P67" s="541" t="str">
        <f ca="1">'הגבלה לסכום מבוקש (2)'!V67</f>
        <v/>
      </c>
      <c r="Q67" s="542" t="str">
        <f t="shared" ca="1" si="2"/>
        <v/>
      </c>
      <c r="R67" s="541" t="str">
        <f ca="1">'קיזוזים בגין איחורים'!F67</f>
        <v/>
      </c>
      <c r="S67" s="543" t="str">
        <f ca="1">IF(B67="","",'קיזוזים- החלטות ועדה'!E67)</f>
        <v/>
      </c>
      <c r="T67" s="544"/>
      <c r="U67" s="544"/>
    </row>
    <row r="68" spans="2:21" x14ac:dyDescent="0.25">
      <c r="B68" s="538" t="str">
        <f t="shared" ca="1" si="3"/>
        <v/>
      </c>
      <c r="C68" s="316" t="str">
        <f ca="1">IF('תנאי סף'!B48="","",'תנאי סף'!B48)</f>
        <v/>
      </c>
      <c r="D68" s="539"/>
      <c r="E68" s="539"/>
      <c r="F68" s="539"/>
      <c r="G68" s="540" t="str">
        <f t="shared" ca="1" si="1"/>
        <v/>
      </c>
      <c r="H68" s="316" t="str">
        <f>IF(IFERROR(VLOOKUP(E68,מרכבה!A:K,4,0),"")=K68,"","no")</f>
        <v/>
      </c>
      <c r="I68" s="540" t="str">
        <f>IFERROR(VLOOKUP(D68,מרכבה!A:K,7,0),"")</f>
        <v/>
      </c>
      <c r="J68" s="540" t="str">
        <f>IFERROR(VLOOKUP(D68,מרכבה!A:K,5,0),"")</f>
        <v/>
      </c>
      <c r="K68" s="540" t="str">
        <f>IFERROR(VLOOKUP(D68,מרכבה!A:K,4,0),"")</f>
        <v/>
      </c>
      <c r="L68" s="540" t="str">
        <f>IFERROR(VLOOKUP(D68,מרכבה!A:K,6,0),"")</f>
        <v/>
      </c>
      <c r="M68" s="540" t="str">
        <f>IFERROR(VLOOKUP(D68,מרכבה!A:K,2,0),"")</f>
        <v/>
      </c>
      <c r="N68" s="541" t="str">
        <f>IFERROR(VLOOKUP(D68,מרכבה!A:K,8,0),"")</f>
        <v/>
      </c>
      <c r="O68" s="541">
        <f>IFERROR(VLOOKUP(E68,מרכבה!A:K,9,0),0)</f>
        <v>0</v>
      </c>
      <c r="P68" s="541" t="str">
        <f ca="1">'הגבלה לסכום מבוקש (2)'!V68</f>
        <v/>
      </c>
      <c r="Q68" s="542" t="str">
        <f t="shared" ca="1" si="2"/>
        <v/>
      </c>
      <c r="R68" s="541" t="str">
        <f ca="1">'קיזוזים בגין איחורים'!F68</f>
        <v/>
      </c>
      <c r="S68" s="543" t="str">
        <f ca="1">IF(B68="","",'קיזוזים- החלטות ועדה'!E68)</f>
        <v/>
      </c>
      <c r="T68" s="544"/>
      <c r="U68" s="544"/>
    </row>
    <row r="69" spans="2:21" x14ac:dyDescent="0.25">
      <c r="B69" s="538" t="str">
        <f t="shared" ca="1" si="3"/>
        <v/>
      </c>
      <c r="C69" s="316" t="str">
        <f ca="1">IF('תנאי סף'!B49="","",'תנאי סף'!B49)</f>
        <v/>
      </c>
      <c r="D69" s="539"/>
      <c r="E69" s="539"/>
      <c r="F69" s="539"/>
      <c r="G69" s="540" t="str">
        <f t="shared" ca="1" si="1"/>
        <v/>
      </c>
      <c r="H69" s="316" t="str">
        <f>IF(IFERROR(VLOOKUP(E69,מרכבה!A:K,4,0),"")=K69,"","no")</f>
        <v/>
      </c>
      <c r="I69" s="540" t="str">
        <f>IFERROR(VLOOKUP(D69,מרכבה!A:K,7,0),"")</f>
        <v/>
      </c>
      <c r="J69" s="540" t="str">
        <f>IFERROR(VLOOKUP(D69,מרכבה!A:K,5,0),"")</f>
        <v/>
      </c>
      <c r="K69" s="540" t="str">
        <f>IFERROR(VLOOKUP(D69,מרכבה!A:K,4,0),"")</f>
        <v/>
      </c>
      <c r="L69" s="540" t="str">
        <f>IFERROR(VLOOKUP(D69,מרכבה!A:K,6,0),"")</f>
        <v/>
      </c>
      <c r="M69" s="540" t="str">
        <f>IFERROR(VLOOKUP(D69,מרכבה!A:K,2,0),"")</f>
        <v/>
      </c>
      <c r="N69" s="541" t="str">
        <f>IFERROR(VLOOKUP(D69,מרכבה!A:K,8,0),"")</f>
        <v/>
      </c>
      <c r="O69" s="541">
        <f>IFERROR(VLOOKUP(E69,מרכבה!A:K,9,0),0)</f>
        <v>0</v>
      </c>
      <c r="P69" s="541" t="str">
        <f ca="1">'הגבלה לסכום מבוקש (2)'!V69</f>
        <v/>
      </c>
      <c r="Q69" s="542" t="str">
        <f t="shared" ca="1" si="2"/>
        <v/>
      </c>
      <c r="R69" s="541" t="str">
        <f ca="1">'קיזוזים בגין איחורים'!F69</f>
        <v/>
      </c>
      <c r="S69" s="543" t="str">
        <f ca="1">IF(B69="","",'קיזוזים- החלטות ועדה'!E69)</f>
        <v/>
      </c>
      <c r="T69" s="544"/>
      <c r="U69" s="544"/>
    </row>
    <row r="70" spans="2:21" x14ac:dyDescent="0.25">
      <c r="B70" s="538" t="str">
        <f t="shared" ca="1" si="3"/>
        <v/>
      </c>
      <c r="C70" s="316" t="str">
        <f ca="1">IF('תנאי סף'!B50="","",'תנאי סף'!B50)</f>
        <v/>
      </c>
      <c r="D70" s="539"/>
      <c r="E70" s="539"/>
      <c r="F70" s="539"/>
      <c r="G70" s="540" t="str">
        <f t="shared" ca="1" si="1"/>
        <v/>
      </c>
      <c r="H70" s="316" t="str">
        <f>IF(IFERROR(VLOOKUP(E70,מרכבה!A:K,4,0),"")=K70,"","no")</f>
        <v/>
      </c>
      <c r="I70" s="540" t="str">
        <f>IFERROR(VLOOKUP(D70,מרכבה!A:K,7,0),"")</f>
        <v/>
      </c>
      <c r="J70" s="540" t="str">
        <f>IFERROR(VLOOKUP(D70,מרכבה!A:K,5,0),"")</f>
        <v/>
      </c>
      <c r="K70" s="540" t="str">
        <f>IFERROR(VLOOKUP(D70,מרכבה!A:K,4,0),"")</f>
        <v/>
      </c>
      <c r="L70" s="540" t="str">
        <f>IFERROR(VLOOKUP(D70,מרכבה!A:K,6,0),"")</f>
        <v/>
      </c>
      <c r="M70" s="540" t="str">
        <f>IFERROR(VLOOKUP(D70,מרכבה!A:K,2,0),"")</f>
        <v/>
      </c>
      <c r="N70" s="541" t="str">
        <f>IFERROR(VLOOKUP(D70,מרכבה!A:K,8,0),"")</f>
        <v/>
      </c>
      <c r="O70" s="541">
        <f>IFERROR(VLOOKUP(E70,מרכבה!A:K,9,0),0)</f>
        <v>0</v>
      </c>
      <c r="P70" s="541" t="str">
        <f ca="1">'הגבלה לסכום מבוקש (2)'!V70</f>
        <v/>
      </c>
      <c r="Q70" s="542" t="str">
        <f t="shared" ca="1" si="2"/>
        <v/>
      </c>
      <c r="R70" s="541" t="str">
        <f ca="1">'קיזוזים בגין איחורים'!F70</f>
        <v/>
      </c>
      <c r="S70" s="543" t="str">
        <f ca="1">IF(B70="","",'קיזוזים- החלטות ועדה'!E70)</f>
        <v/>
      </c>
      <c r="T70" s="544"/>
      <c r="U70" s="544"/>
    </row>
    <row r="71" spans="2:21" ht="19.5" thickBot="1" x14ac:dyDescent="0.3">
      <c r="B71" s="701" t="s">
        <v>54</v>
      </c>
      <c r="C71" s="701"/>
      <c r="D71" s="533"/>
      <c r="E71" s="533"/>
      <c r="F71" s="533"/>
      <c r="G71" s="533"/>
      <c r="H71" s="533"/>
      <c r="I71" s="533"/>
      <c r="J71" s="533"/>
      <c r="K71" s="533"/>
      <c r="L71" s="533"/>
      <c r="M71" s="533"/>
      <c r="N71" s="534">
        <f>SUM(N31:N70)</f>
        <v>3523000</v>
      </c>
      <c r="O71" s="534">
        <f t="shared" ref="O71:S71" si="4">SUM(O31:O70)</f>
        <v>1866913</v>
      </c>
      <c r="P71" s="534">
        <f t="shared" ca="1" si="4"/>
        <v>1906914</v>
      </c>
      <c r="Q71" s="534"/>
      <c r="R71" s="534">
        <f t="shared" ca="1" si="4"/>
        <v>0</v>
      </c>
      <c r="S71" s="534">
        <f t="shared" ca="1" si="4"/>
        <v>0</v>
      </c>
    </row>
    <row r="72" spans="2:21" ht="16.5" thickTop="1" x14ac:dyDescent="0.25"/>
  </sheetData>
  <sheetProtection algorithmName="SHA-512" hashValue="AFJ7iAZ++OoNCXFPW+pHJ4rtKGXBKbvppcQfaxbIsM/KhGqJOcWWyH/44zXQDsuGnUWKRQL80RpRwRlnAF6oZA==" saltValue="EjDILVOSLl9T//YtzedBlw==" spinCount="100000" sheet="1" objects="1" scenarios="1" autoFilter="0"/>
  <autoFilter ref="A30:V30" xr:uid="{00000000-0001-0000-1700-000000000000}"/>
  <mergeCells count="1">
    <mergeCell ref="B71:C71"/>
  </mergeCells>
  <conditionalFormatting sqref="B1:B2">
    <cfRule type="containsBlanks" dxfId="976" priority="13">
      <formula>LEN(TRIM(B1))=0</formula>
    </cfRule>
  </conditionalFormatting>
  <conditionalFormatting sqref="B31:C70">
    <cfRule type="containsBlanks" dxfId="975" priority="18">
      <formula>LEN(TRIM(B31))=0</formula>
    </cfRule>
  </conditionalFormatting>
  <conditionalFormatting sqref="D31:F70">
    <cfRule type="expression" dxfId="974" priority="6">
      <formula>IF($C31="",0,1)</formula>
    </cfRule>
  </conditionalFormatting>
  <conditionalFormatting sqref="D1:P2">
    <cfRule type="containsBlanks" dxfId="973" priority="11">
      <formula>LEN(TRIM(D1))=0</formula>
    </cfRule>
  </conditionalFormatting>
  <conditionalFormatting sqref="I31:S70 G31:G70">
    <cfRule type="containsBlanks" dxfId="972" priority="2">
      <formula>LEN(TRIM(G31))=0</formula>
    </cfRule>
  </conditionalFormatting>
  <conditionalFormatting sqref="T31:U70">
    <cfRule type="expression" dxfId="971" priority="4">
      <formula>IF($C31="",0,1)</formula>
    </cfRule>
  </conditionalFormatting>
  <printOptions horizontalCentered="1"/>
  <pageMargins left="0.51181102362204722" right="0.51181102362204722" top="0.74803149606299213" bottom="0.74803149606299213" header="0.31496062992125984" footer="0.31496062992125984"/>
  <pageSetup paperSize="9" scale="28" orientation="portrait" horizontalDpi="1200" verticalDpi="1200" r:id="rId1"/>
  <headerFooter>
    <oddHeader>&amp;C&amp;"-,מודגש"&amp;Uמבחנים לתמיכה של משרד התרבות והספורט</oddHeader>
    <oddFooter>&amp;Lא. חפץ ושות'
יעוץ כלכלי&amp;C&amp;P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גיליון13">
    <tabColor theme="5" tint="-0.249977111117893"/>
    <pageSetUpPr fitToPage="1"/>
  </sheetPr>
  <dimension ref="A1:V72"/>
  <sheetViews>
    <sheetView rightToLeft="1" tabSelected="1" view="pageBreakPreview" zoomScale="70" zoomScaleNormal="70" zoomScaleSheetLayoutView="70" workbookViewId="0">
      <pane xSplit="3" ySplit="30" topLeftCell="D36" activePane="bottomRight" state="frozen"/>
      <selection pane="topRight" activeCell="H39" sqref="H39"/>
      <selection pane="bottomLeft" activeCell="H39" sqref="H39"/>
      <selection pane="bottomRight" activeCell="E2" sqref="E2"/>
    </sheetView>
  </sheetViews>
  <sheetFormatPr defaultColWidth="9.140625" defaultRowHeight="15.75" x14ac:dyDescent="0.25"/>
  <cols>
    <col min="1" max="1" width="2.5703125" style="301" hidden="1" customWidth="1"/>
    <col min="2" max="2" width="7.42578125" style="301" customWidth="1"/>
    <col min="3" max="3" width="41" style="301" bestFit="1" customWidth="1"/>
    <col min="4" max="4" width="19.85546875" style="301" customWidth="1"/>
    <col min="5" max="5" width="17.5703125" style="301" customWidth="1"/>
    <col min="6" max="6" width="18.85546875" style="301" hidden="1" customWidth="1"/>
    <col min="7" max="7" width="18.140625" style="301" hidden="1" customWidth="1"/>
    <col min="8" max="8" width="15" style="301" hidden="1" customWidth="1"/>
    <col min="9" max="9" width="20.5703125" style="301" customWidth="1"/>
    <col min="10" max="11" width="15.140625" style="301" customWidth="1"/>
    <col min="12" max="12" width="38.140625" style="301" bestFit="1" customWidth="1"/>
    <col min="13" max="13" width="40.42578125" style="301" bestFit="1" customWidth="1"/>
    <col min="14" max="14" width="15" style="301" customWidth="1"/>
    <col min="15" max="15" width="15.140625" style="301" customWidth="1"/>
    <col min="16" max="16" width="17.85546875" style="301" customWidth="1"/>
    <col min="17" max="17" width="22.7109375" style="301" customWidth="1"/>
    <col min="18" max="18" width="16.5703125" style="301" hidden="1" customWidth="1"/>
    <col min="19" max="19" width="14.5703125" style="301" hidden="1" customWidth="1"/>
    <col min="20" max="21" width="27.5703125" style="547" customWidth="1"/>
    <col min="22" max="16384" width="9.140625" style="301"/>
  </cols>
  <sheetData>
    <row r="1" spans="3:4" ht="18.75" x14ac:dyDescent="0.25">
      <c r="C1" s="312" t="str">
        <f>פרמטרים!$B$1</f>
        <v>שנת התקציב</v>
      </c>
      <c r="D1" s="270">
        <f>פרמטרים!$C$1</f>
        <v>2025</v>
      </c>
    </row>
    <row r="2" spans="3:4" ht="19.5" thickBot="1" x14ac:dyDescent="0.3">
      <c r="C2" s="272" t="str">
        <f>פרמטרים!$B$2</f>
        <v>תקציב</v>
      </c>
      <c r="D2" s="273">
        <f>פרמטרים!$C$2</f>
        <v>1906914</v>
      </c>
    </row>
    <row r="4" spans="3:4" hidden="1" x14ac:dyDescent="0.25"/>
    <row r="5" spans="3:4" hidden="1" x14ac:dyDescent="0.25"/>
    <row r="6" spans="3:4" hidden="1" x14ac:dyDescent="0.25"/>
    <row r="7" spans="3:4" hidden="1" x14ac:dyDescent="0.25"/>
    <row r="8" spans="3:4" hidden="1" x14ac:dyDescent="0.25"/>
    <row r="9" spans="3:4" hidden="1" x14ac:dyDescent="0.25"/>
    <row r="10" spans="3:4" hidden="1" x14ac:dyDescent="0.25"/>
    <row r="11" spans="3:4" hidden="1" x14ac:dyDescent="0.25"/>
    <row r="12" spans="3:4" hidden="1" x14ac:dyDescent="0.25"/>
    <row r="13" spans="3:4" hidden="1" x14ac:dyDescent="0.25"/>
    <row r="14" spans="3:4" hidden="1" x14ac:dyDescent="0.25"/>
    <row r="15" spans="3:4" hidden="1" x14ac:dyDescent="0.25"/>
    <row r="16" spans="3:4" hidden="1" x14ac:dyDescent="0.25"/>
    <row r="17" spans="2:22" hidden="1" x14ac:dyDescent="0.25"/>
    <row r="18" spans="2:22" hidden="1" x14ac:dyDescent="0.25"/>
    <row r="19" spans="2:22" hidden="1" x14ac:dyDescent="0.25"/>
    <row r="20" spans="2:22" hidden="1" x14ac:dyDescent="0.25"/>
    <row r="21" spans="2:22" hidden="1" x14ac:dyDescent="0.25"/>
    <row r="22" spans="2:22" hidden="1" x14ac:dyDescent="0.25"/>
    <row r="23" spans="2:22" hidden="1" x14ac:dyDescent="0.25"/>
    <row r="24" spans="2:22" hidden="1" x14ac:dyDescent="0.25"/>
    <row r="25" spans="2:22" hidden="1" x14ac:dyDescent="0.25"/>
    <row r="26" spans="2:22" hidden="1" x14ac:dyDescent="0.25"/>
    <row r="27" spans="2:22" hidden="1" x14ac:dyDescent="0.25"/>
    <row r="28" spans="2:22" hidden="1" x14ac:dyDescent="0.25">
      <c r="D28" s="290"/>
      <c r="E28" s="290"/>
    </row>
    <row r="29" spans="2:22" ht="16.5" customHeight="1" thickBot="1" x14ac:dyDescent="0.3"/>
    <row r="30" spans="2:22" ht="46.5" customHeight="1" x14ac:dyDescent="0.25">
      <c r="B30" s="306" t="s">
        <v>102</v>
      </c>
      <c r="C30" s="307" t="str">
        <f>'סיכום לועדה- הזנת נתונים'!C30</f>
        <v>שם כתב העת</v>
      </c>
      <c r="D30" s="308" t="str">
        <f>'סיכום לועדה- הזנת נתונים'!D30</f>
        <v>מס' בקשה שנת תמיכה</v>
      </c>
      <c r="E30" s="308" t="str">
        <f>'סיכום לועדה- הזנת נתונים'!E30</f>
        <v>מס' בקשה שנה קודמת</v>
      </c>
      <c r="F30" s="308" t="str">
        <f>'סיכום לועדה- הזנת נתונים'!F30</f>
        <v>השנה האחרונה בה ניתנה הגנה לצורך 80% (מנגנון הגנה ביחס לשנה קודמת)</v>
      </c>
      <c r="G30" s="308" t="str">
        <f>'סיכום לועדה- הזנת נתונים'!G30</f>
        <v>זכאות להגנה של 80% (מנגנון הגנה ביחס לשנה קודמת)</v>
      </c>
      <c r="H30" s="308" t="str">
        <f>'סיכום לועדה- הזנת נתונים'!H30</f>
        <v>זיהוי מספר הבקשה לאותו גוף</v>
      </c>
      <c r="I30" s="308" t="str">
        <f>'סיכום לועדה- הזנת נתונים'!I30</f>
        <v>שנת בקשה</v>
      </c>
      <c r="J30" s="308" t="str">
        <f>'סיכום לועדה- הזנת נתונים'!J30</f>
        <v>מגיש בקשה</v>
      </c>
      <c r="K30" s="308" t="str">
        <f>'סיכום לועדה- הזנת נתונים'!K30</f>
        <v>מספר העמותה</v>
      </c>
      <c r="L30" s="308" t="str">
        <f>'סיכום לועדה- הזנת נתונים'!L30</f>
        <v>שם הגוף</v>
      </c>
      <c r="M30" s="308" t="str">
        <f>'סיכום לועדה- הזנת נתונים'!M30</f>
        <v>מהות הבקשה</v>
      </c>
      <c r="N30" s="308" t="str">
        <f>'סיכום לועדה- הזנת נתונים'!N30</f>
        <v>סכום מבוקש</v>
      </c>
      <c r="O30" s="308" t="str">
        <f>'סיכום לועדה- הזנת נתונים'!O30</f>
        <v>סכום תמיכה בשנה קודמת</v>
      </c>
      <c r="P30" s="308" t="str">
        <f>'סיכום לועדה- הזנת נתונים'!P30</f>
        <v>סכום תמיכה מומלץ</v>
      </c>
      <c r="Q30" s="308" t="str">
        <f>'סיכום לועדה- הזנת נתונים'!Q30</f>
        <v>שיעור שינוי ביחס לשנה קודמת</v>
      </c>
      <c r="R30" s="308" t="str">
        <f>'סיכום לועדה- הזנת נתונים'!R30</f>
        <v>קיזוזים בגין ימי איחור</v>
      </c>
      <c r="S30" s="308" t="str">
        <f>'סיכום לועדה- הזנת נתונים'!S30</f>
        <v>קיזוזים בגין החלטות ועדה</v>
      </c>
      <c r="T30" s="308" t="str">
        <f>'סיכום לועדה- הזנת נתונים'!T30</f>
        <v>סיבות לשינויים ביחס לשנה קודמת</v>
      </c>
      <c r="U30" s="308" t="str">
        <f>'סיכום לועדה- הזנת נתונים'!U30</f>
        <v>נימוקים</v>
      </c>
    </row>
    <row r="31" spans="2:22" s="302" customFormat="1" x14ac:dyDescent="0.25">
      <c r="B31" s="315">
        <f t="shared" ref="B31:B33" ca="1" si="0">IF(C31="","",ROW()-30)</f>
        <v>1</v>
      </c>
      <c r="C31" s="426" t="str">
        <f ca="1">'סיכום לועדה- הזנת נתונים'!C31</f>
        <v>1280 מעלות (אמנים יוצרים)</v>
      </c>
      <c r="D31" s="316">
        <f>'סיכום לועדה- הזנת נתונים'!D31</f>
        <v>1001825311</v>
      </c>
      <c r="E31" s="316">
        <f>'סיכום לועדה- הזנת נתונים'!E31</f>
        <v>1001721948</v>
      </c>
      <c r="F31" s="316">
        <f>'סיכום לועדה- הזנת נתונים'!F31</f>
        <v>2020</v>
      </c>
      <c r="G31" s="316">
        <f ca="1">'סיכום לועדה- הזנת נתונים'!G31</f>
        <v>1</v>
      </c>
      <c r="H31" s="316" t="str">
        <f>'סיכום לועדה- הזנת נתונים'!H31</f>
        <v/>
      </c>
      <c r="I31" s="545" t="str">
        <f>'סיכום לועדה- הזנת נתונים'!I31</f>
        <v>2025</v>
      </c>
      <c r="J31" s="545">
        <f>'סיכום לועדה- הזנת נתונים'!J31</f>
        <v>40000437</v>
      </c>
      <c r="K31" s="545">
        <f>'סיכום לועדה- הזנת נתונים'!K31</f>
        <v>580076842</v>
      </c>
      <c r="L31" s="317" t="str">
        <f>'סיכום לועדה- הזנת נתונים'!L31</f>
        <v>אמנים יוצרים בישראל (ע"ר)</v>
      </c>
      <c r="M31" s="318" t="str">
        <f>'סיכום לועדה- הזנת נתונים'!M31</f>
        <v>אמנים יוצרים כתב עת לתרבות חמרית 2025</v>
      </c>
      <c r="N31" s="319">
        <f>'סיכום לועדה- הזנת נתונים'!N31</f>
        <v>100000</v>
      </c>
      <c r="O31" s="319">
        <f>'סיכום לועדה- הזנת נתונים'!O31</f>
        <v>71987</v>
      </c>
      <c r="P31" s="319">
        <f ca="1">'סיכום לועדה- הזנת נתונים'!P31</f>
        <v>66144.47652798082</v>
      </c>
      <c r="Q31" s="549">
        <f ca="1">'סיכום לועדה- הזנת נתונים'!Q31</f>
        <v>-8.1160813369346996E-2</v>
      </c>
      <c r="R31" s="316">
        <f ca="1">'סיכום לועדה- הזנת נתונים'!R31</f>
        <v>0</v>
      </c>
      <c r="S31" s="316">
        <f ca="1">'סיכום לועדה- הזנת נתונים'!S31</f>
        <v>0</v>
      </c>
      <c r="T31" s="548">
        <f>'סיכום לועדה- הזנת נתונים'!T31</f>
        <v>0</v>
      </c>
      <c r="U31" s="548" t="str">
        <f>'סיכום לועדה- הזנת נתונים'!U31</f>
        <v>מומלץ לתמיכה</v>
      </c>
      <c r="V31" s="301"/>
    </row>
    <row r="32" spans="2:22" x14ac:dyDescent="0.25">
      <c r="B32" s="315">
        <f t="shared" ca="1" si="0"/>
        <v>2</v>
      </c>
      <c r="C32" s="426" t="str">
        <f ca="1">'סיכום לועדה- הזנת נתונים'!C32</f>
        <v>יהי (אורי צבי גרינברג)</v>
      </c>
      <c r="D32" s="316">
        <f>'סיכום לועדה- הזנת נתונים'!D32</f>
        <v>1001854361</v>
      </c>
      <c r="E32" s="316">
        <f>'סיכום לועדה- הזנת נתונים'!E32</f>
        <v>1001734615</v>
      </c>
      <c r="F32" s="316">
        <f>'סיכום לועדה- הזנת נתונים'!F32</f>
        <v>2020</v>
      </c>
      <c r="G32" s="316">
        <f ca="1">'סיכום לועדה- הזנת נתונים'!G32</f>
        <v>1</v>
      </c>
      <c r="H32" s="316" t="str">
        <f>'סיכום לועדה- הזנת נתונים'!H32</f>
        <v/>
      </c>
      <c r="I32" s="545" t="str">
        <f>'סיכום לועדה- הזנת נתונים'!I32</f>
        <v>2025</v>
      </c>
      <c r="J32" s="545">
        <f>'סיכום לועדה- הזנת נתונים'!J32</f>
        <v>40000230</v>
      </c>
      <c r="K32" s="545">
        <f>'סיכום לועדה- הזנת נתונים'!K32</f>
        <v>580310878</v>
      </c>
      <c r="L32" s="317" t="str">
        <f>'סיכום לועדה- הזנת נתונים'!L32</f>
        <v>בית מורשת אורי צבי גרינברג (ע"ר)</v>
      </c>
      <c r="M32" s="318" t="str">
        <f>'סיכום לועדה- הזנת נתונים'!M32</f>
        <v>כתב עת יהי 2025</v>
      </c>
      <c r="N32" s="319">
        <f>'סיכום לועדה- הזנת נתונים'!N32</f>
        <v>150000</v>
      </c>
      <c r="O32" s="319">
        <f>'סיכום לועדה- הזנת נתונים'!O32</f>
        <v>48732</v>
      </c>
      <c r="P32" s="319">
        <f ca="1">'סיכום לועדה- הזנת נתונים'!P32</f>
        <v>55389.564826780625</v>
      </c>
      <c r="Q32" s="549">
        <f ca="1">'סיכום לועדה- הזנת נתונים'!Q32</f>
        <v>0.13661587512888085</v>
      </c>
      <c r="R32" s="316">
        <f ca="1">'סיכום לועדה- הזנת נתונים'!R32</f>
        <v>0</v>
      </c>
      <c r="S32" s="316">
        <f ca="1">'סיכום לועדה- הזנת נתונים'!S32</f>
        <v>0</v>
      </c>
      <c r="T32" s="548">
        <f>'סיכום לועדה- הזנת נתונים'!T32</f>
        <v>0</v>
      </c>
      <c r="U32" s="548" t="str">
        <f>'סיכום לועדה- הזנת נתונים'!U32</f>
        <v>מומלץ לתמיכה</v>
      </c>
    </row>
    <row r="33" spans="2:21" x14ac:dyDescent="0.25">
      <c r="B33" s="315" t="str">
        <f t="shared" ca="1" si="0"/>
        <v/>
      </c>
      <c r="C33" s="426" t="str">
        <f ca="1">'סיכום לועדה- הזנת נתונים'!C33</f>
        <v/>
      </c>
      <c r="D33" s="316">
        <f>'סיכום לועדה- הזנת נתונים'!D33</f>
        <v>0</v>
      </c>
      <c r="E33" s="316">
        <f>'סיכום לועדה- הזנת נתונים'!E33</f>
        <v>0</v>
      </c>
      <c r="F33" s="316">
        <f>'סיכום לועדה- הזנת נתונים'!F33</f>
        <v>0</v>
      </c>
      <c r="G33" s="316" t="str">
        <f ca="1">'סיכום לועדה- הזנת נתונים'!G33</f>
        <v/>
      </c>
      <c r="H33" s="316" t="str">
        <f>'סיכום לועדה- הזנת נתונים'!H33</f>
        <v/>
      </c>
      <c r="I33" s="545" t="str">
        <f>'סיכום לועדה- הזנת נתונים'!I33</f>
        <v/>
      </c>
      <c r="J33" s="545" t="str">
        <f>'סיכום לועדה- הזנת נתונים'!J33</f>
        <v/>
      </c>
      <c r="K33" s="545" t="str">
        <f>'סיכום לועדה- הזנת נתונים'!K33</f>
        <v/>
      </c>
      <c r="L33" s="317" t="str">
        <f>'סיכום לועדה- הזנת נתונים'!L33</f>
        <v/>
      </c>
      <c r="M33" s="318" t="str">
        <f>'סיכום לועדה- הזנת נתונים'!M33</f>
        <v/>
      </c>
      <c r="N33" s="319" t="str">
        <f>'סיכום לועדה- הזנת נתונים'!N33</f>
        <v/>
      </c>
      <c r="O33" s="319">
        <f>'סיכום לועדה- הזנת נתונים'!O33</f>
        <v>0</v>
      </c>
      <c r="P33" s="319" t="str">
        <f ca="1">'סיכום לועדה- הזנת נתונים'!P33</f>
        <v/>
      </c>
      <c r="Q33" s="549" t="str">
        <f ca="1">'סיכום לועדה- הזנת נתונים'!Q33</f>
        <v/>
      </c>
      <c r="R33" s="316" t="str">
        <f ca="1">'סיכום לועדה- הזנת נתונים'!R33</f>
        <v/>
      </c>
      <c r="S33" s="316" t="str">
        <f ca="1">'סיכום לועדה- הזנת נתונים'!S33</f>
        <v/>
      </c>
      <c r="T33" s="548">
        <f>'סיכום לועדה- הזנת נתונים'!T33</f>
        <v>0</v>
      </c>
      <c r="U33" s="548">
        <f>'סיכום לועדה- הזנת נתונים'!U33</f>
        <v>0</v>
      </c>
    </row>
    <row r="34" spans="2:21" ht="31.5" x14ac:dyDescent="0.25">
      <c r="B34" s="315">
        <f t="shared" ref="B34:B36" ca="1" si="1">IF(C34="","",ROW()-30)</f>
        <v>4</v>
      </c>
      <c r="C34" s="426" t="str">
        <f ca="1">'סיכום לועדה- הזנת נתונים'!C34</f>
        <v>דעות (ברית נאמני תורה ועבודה)</v>
      </c>
      <c r="D34" s="316">
        <f>'סיכום לועדה- הזנת נתונים'!D34</f>
        <v>1001826463</v>
      </c>
      <c r="E34" s="316">
        <f>'סיכום לועדה- הזנת נתונים'!E34</f>
        <v>1001735665</v>
      </c>
      <c r="F34" s="316">
        <f>'סיכום לועדה- הזנת נתונים'!F34</f>
        <v>2020</v>
      </c>
      <c r="G34" s="316">
        <f ca="1">'סיכום לועדה- הזנת נתונים'!G34</f>
        <v>1</v>
      </c>
      <c r="H34" s="316" t="str">
        <f>'סיכום לועדה- הזנת נתונים'!H34</f>
        <v/>
      </c>
      <c r="I34" s="545" t="str">
        <f>'סיכום לועדה- הזנת נתונים'!I34</f>
        <v>2025</v>
      </c>
      <c r="J34" s="545">
        <f>'סיכום לועדה- הזנת נתונים'!J34</f>
        <v>40000404</v>
      </c>
      <c r="K34" s="545">
        <f>'סיכום לועדה- הזנת נתונים'!K34</f>
        <v>580052421</v>
      </c>
      <c r="L34" s="317" t="str">
        <f>'סיכום לועדה- הזנת נתונים'!L34</f>
        <v>נאמני תורה ועבודה -קולך (ע"ר)</v>
      </c>
      <c r="M34" s="318" t="str">
        <f>'סיכום לועדה- הזנת נתונים'!M34</f>
        <v>תמיכה בכתב העת 'דעות'</v>
      </c>
      <c r="N34" s="319">
        <f>'סיכום לועדה- הזנת נתונים'!N34</f>
        <v>165000</v>
      </c>
      <c r="O34" s="319">
        <f>'סיכום לועדה- הזנת נתונים'!O34</f>
        <v>114119</v>
      </c>
      <c r="P34" s="319">
        <f ca="1">'סיכום לועדה- הזנת נתונים'!P34</f>
        <v>93387.02784397635</v>
      </c>
      <c r="Q34" s="549">
        <f ca="1">'סיכום לועדה- הזנת נתונים'!Q34</f>
        <v>-0.18166976713801952</v>
      </c>
      <c r="R34" s="316">
        <f ca="1">'סיכום לועדה- הזנת נתונים'!R34</f>
        <v>0</v>
      </c>
      <c r="S34" s="316">
        <f ca="1">'סיכום לועדה- הזנת נתונים'!S34</f>
        <v>0</v>
      </c>
      <c r="T34" s="548" t="str">
        <f>'סיכום לועדה- הזנת נתונים'!T34</f>
        <v>ירידה במשתנה הפצת כתב העת ובהיקף הגליונות</v>
      </c>
      <c r="U34" s="548" t="str">
        <f>'סיכום לועדה- הזנת נתונים'!U34</f>
        <v>מומלץ לתמיכה</v>
      </c>
    </row>
    <row r="35" spans="2:21" ht="31.5" x14ac:dyDescent="0.25">
      <c r="B35" s="315">
        <f t="shared" ca="1" si="1"/>
        <v>5</v>
      </c>
      <c r="C35" s="426" t="str">
        <f ca="1">'סיכום לועדה- הזנת נתונים'!C35</f>
        <v>הליקון</v>
      </c>
      <c r="D35" s="316">
        <f>'סיכום לועדה- הזנת נתונים'!D35</f>
        <v>1001844843</v>
      </c>
      <c r="E35" s="316">
        <f>'סיכום לועדה- הזנת נתונים'!E35</f>
        <v>1001779796</v>
      </c>
      <c r="F35" s="316">
        <f>'סיכום לועדה- הזנת נתונים'!F35</f>
        <v>2022</v>
      </c>
      <c r="G35" s="316">
        <f ca="1">'סיכום לועדה- הזנת נתונים'!G35</f>
        <v>0</v>
      </c>
      <c r="H35" s="316" t="str">
        <f>'סיכום לועדה- הזנת נתונים'!H35</f>
        <v/>
      </c>
      <c r="I35" s="545" t="str">
        <f>'סיכום לועדה- הזנת נתונים'!I35</f>
        <v>2025</v>
      </c>
      <c r="J35" s="545">
        <f>'סיכום לועדה- הזנת נתונים'!J35</f>
        <v>40000164</v>
      </c>
      <c r="K35" s="545">
        <f>'סיכום לועדה- הזנת נתונים'!K35</f>
        <v>580170801</v>
      </c>
      <c r="L35" s="317" t="str">
        <f>'סיכום לועדה- הזנת נתונים'!L35</f>
        <v>הליקון (ע"ר)</v>
      </c>
      <c r="M35" s="318" t="str">
        <f>'סיכום לועדה- הזנת נתונים'!M35</f>
        <v>כתב עת הליקון 2025</v>
      </c>
      <c r="N35" s="319">
        <f>'סיכום לועדה- הזנת נתונים'!N35</f>
        <v>240000</v>
      </c>
      <c r="O35" s="319">
        <f>'סיכום לועדה- הזנת נתונים'!O35</f>
        <v>142850</v>
      </c>
      <c r="P35" s="319">
        <f ca="1">'סיכום לועדה- הזנת נתונים'!P35</f>
        <v>115510.69950883459</v>
      </c>
      <c r="Q35" s="549">
        <f ca="1">'סיכום לועדה- הזנת נתונים'!Q35</f>
        <v>-0.19138467267179149</v>
      </c>
      <c r="R35" s="316">
        <f ca="1">'סיכום לועדה- הזנת נתונים'!R35</f>
        <v>0</v>
      </c>
      <c r="S35" s="316">
        <f ca="1">'סיכום לועדה- הזנת נתונים'!S35</f>
        <v>0</v>
      </c>
      <c r="T35" s="548" t="str">
        <f>'סיכום לועדה- הזנת נתונים'!T35</f>
        <v>ירידה במשתנה הפצת כתב העת ובהיקף הגליונות</v>
      </c>
      <c r="U35" s="548" t="str">
        <f>'סיכום לועדה- הזנת נתונים'!U35</f>
        <v>מומלץ לתמיכה</v>
      </c>
    </row>
    <row r="36" spans="2:21" x14ac:dyDescent="0.25">
      <c r="B36" s="315" t="str">
        <f t="shared" ca="1" si="1"/>
        <v/>
      </c>
      <c r="C36" s="426" t="str">
        <f ca="1">'סיכום לועדה- הזנת נתונים'!C36</f>
        <v/>
      </c>
      <c r="D36" s="316">
        <f>'סיכום לועדה- הזנת נתונים'!D36</f>
        <v>0</v>
      </c>
      <c r="E36" s="316">
        <f>'סיכום לועדה- הזנת נתונים'!E36</f>
        <v>0</v>
      </c>
      <c r="F36" s="316">
        <f>'סיכום לועדה- הזנת נתונים'!F36</f>
        <v>0</v>
      </c>
      <c r="G36" s="316" t="str">
        <f ca="1">'סיכום לועדה- הזנת נתונים'!G36</f>
        <v/>
      </c>
      <c r="H36" s="316" t="str">
        <f>'סיכום לועדה- הזנת נתונים'!H36</f>
        <v/>
      </c>
      <c r="I36" s="545" t="str">
        <f>'סיכום לועדה- הזנת נתונים'!I36</f>
        <v/>
      </c>
      <c r="J36" s="545" t="str">
        <f>'סיכום לועדה- הזנת נתונים'!J36</f>
        <v/>
      </c>
      <c r="K36" s="545" t="str">
        <f>'סיכום לועדה- הזנת נתונים'!K36</f>
        <v/>
      </c>
      <c r="L36" s="317" t="str">
        <f>'סיכום לועדה- הזנת נתונים'!L36</f>
        <v/>
      </c>
      <c r="M36" s="318" t="str">
        <f>'סיכום לועדה- הזנת נתונים'!M36</f>
        <v/>
      </c>
      <c r="N36" s="319" t="str">
        <f>'סיכום לועדה- הזנת נתונים'!N36</f>
        <v/>
      </c>
      <c r="O36" s="319">
        <f>'סיכום לועדה- הזנת נתונים'!O36</f>
        <v>0</v>
      </c>
      <c r="P36" s="319" t="str">
        <f ca="1">'סיכום לועדה- הזנת נתונים'!P36</f>
        <v/>
      </c>
      <c r="Q36" s="549" t="str">
        <f ca="1">'סיכום לועדה- הזנת נתונים'!Q36</f>
        <v/>
      </c>
      <c r="R36" s="316" t="str">
        <f ca="1">'סיכום לועדה- הזנת נתונים'!R36</f>
        <v/>
      </c>
      <c r="S36" s="316" t="str">
        <f ca="1">'סיכום לועדה- הזנת נתונים'!S36</f>
        <v/>
      </c>
      <c r="T36" s="548">
        <f>'סיכום לועדה- הזנת נתונים'!T36</f>
        <v>0</v>
      </c>
      <c r="U36" s="548">
        <f>'סיכום לועדה- הזנת נתונים'!U36</f>
        <v>0</v>
      </c>
    </row>
    <row r="37" spans="2:21" x14ac:dyDescent="0.25">
      <c r="B37" s="315" t="str">
        <f t="shared" ref="B37:B70" ca="1" si="2">IF(C37="","",ROW()-30)</f>
        <v/>
      </c>
      <c r="C37" s="426" t="str">
        <f ca="1">'סיכום לועדה- הזנת נתונים'!C37</f>
        <v/>
      </c>
      <c r="D37" s="316">
        <f>'סיכום לועדה- הזנת נתונים'!D37</f>
        <v>0</v>
      </c>
      <c r="E37" s="316">
        <f>'סיכום לועדה- הזנת נתונים'!E37</f>
        <v>0</v>
      </c>
      <c r="F37" s="316">
        <f>'סיכום לועדה- הזנת נתונים'!F37</f>
        <v>0</v>
      </c>
      <c r="G37" s="316" t="str">
        <f ca="1">'סיכום לועדה- הזנת נתונים'!G37</f>
        <v/>
      </c>
      <c r="H37" s="316" t="str">
        <f>'סיכום לועדה- הזנת נתונים'!H37</f>
        <v/>
      </c>
      <c r="I37" s="545" t="str">
        <f>'סיכום לועדה- הזנת נתונים'!I37</f>
        <v/>
      </c>
      <c r="J37" s="545" t="str">
        <f>'סיכום לועדה- הזנת נתונים'!J37</f>
        <v/>
      </c>
      <c r="K37" s="545" t="str">
        <f>'סיכום לועדה- הזנת נתונים'!K37</f>
        <v/>
      </c>
      <c r="L37" s="317" t="str">
        <f>'סיכום לועדה- הזנת נתונים'!L37</f>
        <v/>
      </c>
      <c r="M37" s="318" t="str">
        <f>'סיכום לועדה- הזנת נתונים'!M37</f>
        <v/>
      </c>
      <c r="N37" s="319" t="str">
        <f>'סיכום לועדה- הזנת נתונים'!N37</f>
        <v/>
      </c>
      <c r="O37" s="319">
        <f>'סיכום לועדה- הזנת נתונים'!O37</f>
        <v>0</v>
      </c>
      <c r="P37" s="319" t="str">
        <f ca="1">'סיכום לועדה- הזנת נתונים'!P37</f>
        <v/>
      </c>
      <c r="Q37" s="549" t="str">
        <f ca="1">'סיכום לועדה- הזנת נתונים'!Q37</f>
        <v/>
      </c>
      <c r="R37" s="316" t="str">
        <f ca="1">'סיכום לועדה- הזנת נתונים'!R37</f>
        <v/>
      </c>
      <c r="S37" s="316" t="str">
        <f ca="1">'סיכום לועדה- הזנת נתונים'!S37</f>
        <v/>
      </c>
      <c r="T37" s="548">
        <f>'סיכום לועדה- הזנת נתונים'!T37</f>
        <v>0</v>
      </c>
      <c r="U37" s="548">
        <f>'סיכום לועדה- הזנת נתונים'!U37</f>
        <v>0</v>
      </c>
    </row>
    <row r="38" spans="2:21" x14ac:dyDescent="0.25">
      <c r="B38" s="315">
        <f t="shared" ca="1" si="2"/>
        <v>8</v>
      </c>
      <c r="C38" s="426" t="str">
        <f ca="1">'סיכום לועדה- הזנת נתונים'!C38</f>
        <v>ננפואטיקה (עמותת מקום לשירה)</v>
      </c>
      <c r="D38" s="316">
        <f>'סיכום לועדה- הזנת נתונים'!D38</f>
        <v>1001844021</v>
      </c>
      <c r="E38" s="316">
        <f>'סיכום לועדה- הזנת נתונים'!E38</f>
        <v>1001722720</v>
      </c>
      <c r="F38" s="316">
        <f>'סיכום לועדה- הזנת נתונים'!F38</f>
        <v>2020</v>
      </c>
      <c r="G38" s="316">
        <f ca="1">'סיכום לועדה- הזנת נתונים'!G38</f>
        <v>1</v>
      </c>
      <c r="H38" s="316" t="str">
        <f>'סיכום לועדה- הזנת נתונים'!H38</f>
        <v/>
      </c>
      <c r="I38" s="545" t="str">
        <f>'סיכום לועדה- הזנת נתונים'!I38</f>
        <v>2025</v>
      </c>
      <c r="J38" s="545">
        <f>'סיכום לועדה- הזנת נתונים'!J38</f>
        <v>40989613</v>
      </c>
      <c r="K38" s="545">
        <f>'סיכום לועדה- הזנת נתונים'!K38</f>
        <v>580537041</v>
      </c>
      <c r="L38" s="317" t="str">
        <f>'סיכום לועדה- הזנת נתונים'!L38</f>
        <v>מקום לשירה (ע"ר)</v>
      </c>
      <c r="M38" s="318" t="str">
        <f>'סיכום לועדה- הזנת נתונים'!M38</f>
        <v>תמיכה בכתב העת "ננופואטיקה"</v>
      </c>
      <c r="N38" s="319">
        <f>'סיכום לועדה- הזנת נתונים'!N38</f>
        <v>170000</v>
      </c>
      <c r="O38" s="319">
        <f>'סיכום לועדה- הזנת נתונים'!O38</f>
        <v>124497</v>
      </c>
      <c r="P38" s="319">
        <f ca="1">'סיכום לועדה- הזנת נתונים'!P38</f>
        <v>141968.77580814355</v>
      </c>
      <c r="Q38" s="549">
        <f ca="1">'סיכום לועדה- הזנת נתונים'!Q38</f>
        <v>0.14033893032075917</v>
      </c>
      <c r="R38" s="316">
        <f ca="1">'סיכום לועדה- הזנת נתונים'!R38</f>
        <v>0</v>
      </c>
      <c r="S38" s="316">
        <f ca="1">'סיכום לועדה- הזנת נתונים'!S38</f>
        <v>0</v>
      </c>
      <c r="T38" s="548">
        <f>'סיכום לועדה- הזנת נתונים'!T38</f>
        <v>0</v>
      </c>
      <c r="U38" s="548" t="str">
        <f>'סיכום לועדה- הזנת נתונים'!U38</f>
        <v>מומלץ לתמיכה</v>
      </c>
    </row>
    <row r="39" spans="2:21" x14ac:dyDescent="0.25">
      <c r="B39" s="315">
        <f t="shared" ca="1" si="2"/>
        <v>9</v>
      </c>
      <c r="C39" s="426" t="str">
        <f ca="1">'סיכום לועדה- הזנת נתונים'!C39</f>
        <v>מאזניים (אגודת הסופרים העבריים)</v>
      </c>
      <c r="D39" s="316">
        <f>'סיכום לועדה- הזנת נתונים'!D39</f>
        <v>1001854373</v>
      </c>
      <c r="E39" s="316">
        <f>'סיכום לועדה- הזנת נתונים'!E39</f>
        <v>1001779330</v>
      </c>
      <c r="F39" s="316">
        <f>'סיכום לועדה- הזנת נתונים'!F39</f>
        <v>2022</v>
      </c>
      <c r="G39" s="316">
        <f ca="1">'סיכום לועדה- הזנת נתונים'!G39</f>
        <v>0</v>
      </c>
      <c r="H39" s="316" t="str">
        <f>'סיכום לועדה- הזנת נתונים'!H39</f>
        <v/>
      </c>
      <c r="I39" s="545" t="str">
        <f>'סיכום לועדה- הזנת נתונים'!I39</f>
        <v>2025</v>
      </c>
      <c r="J39" s="545">
        <f>'סיכום לועדה- הזנת נתונים'!J39</f>
        <v>40000335</v>
      </c>
      <c r="K39" s="545">
        <f>'סיכום לועדה- הזנת נתונים'!K39</f>
        <v>580013860</v>
      </c>
      <c r="L39" s="317" t="str">
        <f>'סיכום לועדה- הזנת נתונים'!L39</f>
        <v>אגודת הסופרים העבריים במדינת ישראל</v>
      </c>
      <c r="M39" s="318" t="str">
        <f>'סיכום לועדה- הזנת נתונים'!M39</f>
        <v>מאזניים</v>
      </c>
      <c r="N39" s="319">
        <f>'סיכום לועדה- הזנת נתונים'!N39</f>
        <v>220000</v>
      </c>
      <c r="O39" s="319">
        <f>'סיכום לועדה- הזנת נתונים'!O39</f>
        <v>164453</v>
      </c>
      <c r="P39" s="319">
        <f ca="1">'סיכום לועדה- הזנת נתונים'!P39</f>
        <v>158935.99640128316</v>
      </c>
      <c r="Q39" s="549">
        <f ca="1">'סיכום לועדה- הזנת נתונים'!Q39</f>
        <v>-3.3547600826478341E-2</v>
      </c>
      <c r="R39" s="316">
        <f ca="1">'סיכום לועדה- הזנת נתונים'!R39</f>
        <v>0</v>
      </c>
      <c r="S39" s="316">
        <f ca="1">'סיכום לועדה- הזנת נתונים'!S39</f>
        <v>0</v>
      </c>
      <c r="T39" s="548">
        <f>'סיכום לועדה- הזנת נתונים'!T39</f>
        <v>0</v>
      </c>
      <c r="U39" s="548" t="str">
        <f>'סיכום לועדה- הזנת נתונים'!U39</f>
        <v>מומלץ לתמיכה</v>
      </c>
    </row>
    <row r="40" spans="2:21" x14ac:dyDescent="0.25">
      <c r="B40" s="315">
        <f t="shared" ca="1" si="2"/>
        <v>10</v>
      </c>
      <c r="C40" s="426" t="str">
        <f ca="1">'סיכום לועדה- הזנת נתונים'!C40</f>
        <v>משיב הרוח</v>
      </c>
      <c r="D40" s="316">
        <f>'סיכום לועדה- הזנת נתונים'!D40</f>
        <v>1001844003</v>
      </c>
      <c r="E40" s="316">
        <f>'סיכום לועדה- הזנת נתונים'!E40</f>
        <v>1001735734</v>
      </c>
      <c r="F40" s="316">
        <f>'סיכום לועדה- הזנת נתונים'!F40</f>
        <v>2020</v>
      </c>
      <c r="G40" s="316">
        <f ca="1">'סיכום לועדה- הזנת נתונים'!G40</f>
        <v>1</v>
      </c>
      <c r="H40" s="316" t="str">
        <f>'סיכום לועדה- הזנת נתונים'!H40</f>
        <v/>
      </c>
      <c r="I40" s="545" t="str">
        <f>'סיכום לועדה- הזנת נתונים'!I40</f>
        <v>2025</v>
      </c>
      <c r="J40" s="545">
        <f>'סיכום לועדה- הזנת נתונים'!J40</f>
        <v>40216071</v>
      </c>
      <c r="K40" s="545">
        <f>'סיכום לועדה- הזנת נתונים'!K40</f>
        <v>580353597</v>
      </c>
      <c r="L40" s="317" t="str">
        <f>'סיכום לועדה- הזנת נתונים'!L40</f>
        <v>משיב הרוח- לתרבות יהודית ישראלית (ע</v>
      </c>
      <c r="M40" s="318" t="str">
        <f>'סיכום לועדה- הזנת נתונים'!M40</f>
        <v>הפקת חמישה גיליונות של כתב העת משיב הרוח</v>
      </c>
      <c r="N40" s="319">
        <f>'סיכום לועדה- הזנת נתונים'!N40</f>
        <v>300000</v>
      </c>
      <c r="O40" s="319">
        <f>'סיכום לועדה- הזנת נתונים'!O40</f>
        <v>160958</v>
      </c>
      <c r="P40" s="319">
        <f ca="1">'סיכום לועדה- הזנת נתונים'!P40</f>
        <v>148737.47387407691</v>
      </c>
      <c r="Q40" s="549">
        <f ca="1">'סיכום לועדה- הזנת נתונים'!Q40</f>
        <v>-7.5923695162235405E-2</v>
      </c>
      <c r="R40" s="316">
        <f ca="1">'סיכום לועדה- הזנת נתונים'!R40</f>
        <v>0</v>
      </c>
      <c r="S40" s="316">
        <f ca="1">'סיכום לועדה- הזנת נתונים'!S40</f>
        <v>0</v>
      </c>
      <c r="T40" s="548">
        <f>'סיכום לועדה- הזנת נתונים'!T40</f>
        <v>0</v>
      </c>
      <c r="U40" s="548" t="str">
        <f>'סיכום לועדה- הזנת נתונים'!U40</f>
        <v>מומלץ לתמיכה</v>
      </c>
    </row>
    <row r="41" spans="2:21" x14ac:dyDescent="0.25">
      <c r="B41" s="315">
        <f t="shared" ca="1" si="2"/>
        <v>11</v>
      </c>
      <c r="C41" s="426" t="str">
        <f ca="1">'סיכום לועדה- הזנת נתונים'!C41</f>
        <v>עמדה (עמותת מונטן)</v>
      </c>
      <c r="D41" s="316">
        <f>'סיכום לועדה- הזנת נתונים'!D41</f>
        <v>1001854398</v>
      </c>
      <c r="E41" s="316">
        <f>'סיכום לועדה- הזנת נתונים'!E41</f>
        <v>1001778716</v>
      </c>
      <c r="F41" s="316">
        <f>'סיכום לועדה- הזנת נתונים'!F41</f>
        <v>2020</v>
      </c>
      <c r="G41" s="316">
        <f ca="1">'סיכום לועדה- הזנת נתונים'!G41</f>
        <v>1</v>
      </c>
      <c r="H41" s="316" t="str">
        <f>'סיכום לועדה- הזנת נתונים'!H41</f>
        <v/>
      </c>
      <c r="I41" s="545" t="str">
        <f>'סיכום לועדה- הזנת נתונים'!I41</f>
        <v>2025</v>
      </c>
      <c r="J41" s="545">
        <f>'סיכום לועדה- הזנת נתונים'!J41</f>
        <v>40000635</v>
      </c>
      <c r="K41" s="545">
        <f>'סיכום לועדה- הזנת נתונים'!K41</f>
        <v>580265304</v>
      </c>
      <c r="L41" s="317" t="str">
        <f>'סיכום לועדה- הזנת נתונים'!L41</f>
        <v>מונטן (ע"ר)</v>
      </c>
      <c r="M41" s="318" t="str">
        <f>'סיכום לועדה- הזנת נתונים'!M41</f>
        <v>הפקת שתי חוברות "עמדה"</v>
      </c>
      <c r="N41" s="319">
        <f>'סיכום לועדה- הזנת נתונים'!N41</f>
        <v>34000</v>
      </c>
      <c r="O41" s="319">
        <f>'סיכום לועדה- הזנת נתונים'!O41</f>
        <v>31000</v>
      </c>
      <c r="P41" s="319">
        <f ca="1">'סיכום לועדה- הזנת נתונים'!P41</f>
        <v>34000</v>
      </c>
      <c r="Q41" s="549">
        <f ca="1">'סיכום לועדה- הזנת נתונים'!Q41</f>
        <v>9.6774193548387011E-2</v>
      </c>
      <c r="R41" s="316">
        <f ca="1">'סיכום לועדה- הזנת נתונים'!R41</f>
        <v>0</v>
      </c>
      <c r="S41" s="316">
        <f ca="1">'סיכום לועדה- הזנת נתונים'!S41</f>
        <v>0</v>
      </c>
      <c r="T41" s="548">
        <f>'סיכום לועדה- הזנת נתונים'!T41</f>
        <v>0</v>
      </c>
      <c r="U41" s="548" t="str">
        <f>'סיכום לועדה- הזנת נתונים'!U41</f>
        <v>מומלץ לתמיכה</v>
      </c>
    </row>
    <row r="42" spans="2:21" x14ac:dyDescent="0.25">
      <c r="B42" s="315">
        <f t="shared" ca="1" si="2"/>
        <v>12</v>
      </c>
      <c r="C42" s="426" t="str">
        <f ca="1">'סיכום לועדה- הזנת נתונים'!C42</f>
        <v>עתון 77 (אגודת סופרים ואמנים)</v>
      </c>
      <c r="D42" s="316">
        <f>'סיכום לועדה- הזנת נתונים'!D42</f>
        <v>1001831771</v>
      </c>
      <c r="E42" s="316">
        <f>'סיכום לועדה- הזנת נתונים'!E42</f>
        <v>1001722553</v>
      </c>
      <c r="F42" s="316">
        <f>'סיכום לועדה- הזנת נתונים'!F42</f>
        <v>2020</v>
      </c>
      <c r="G42" s="316">
        <f ca="1">'סיכום לועדה- הזנת נתונים'!G42</f>
        <v>1</v>
      </c>
      <c r="H42" s="316" t="str">
        <f>'סיכום לועדה- הזנת נתונים'!H42</f>
        <v/>
      </c>
      <c r="I42" s="545" t="str">
        <f>'סיכום לועדה- הזנת נתונים'!I42</f>
        <v>2025</v>
      </c>
      <c r="J42" s="545">
        <f>'סיכום לועדה- הזנת נתונים'!J42</f>
        <v>40000429</v>
      </c>
      <c r="K42" s="545">
        <f>'סיכום לועדה- הזנת נתונים'!K42</f>
        <v>580073575</v>
      </c>
      <c r="L42" s="317" t="str">
        <f>'סיכום לועדה- הזנת נתונים'!L42</f>
        <v>אגודת סופרים ואמנים לקידום הספרות ו</v>
      </c>
      <c r="M42" s="318" t="str">
        <f>'סיכום לועדה- הזנת נתונים'!M42</f>
        <v>תמיכה שוטפת בהוצאה לאור של "עיתון 77"</v>
      </c>
      <c r="N42" s="319">
        <f>'סיכום לועדה- הזנת נתונים'!N42</f>
        <v>300000</v>
      </c>
      <c r="O42" s="319">
        <f>'סיכום לועדה- הזנת נתונים'!O42</f>
        <v>146532</v>
      </c>
      <c r="P42" s="319">
        <f ca="1">'סיכום לועדה- הזנת נתונים'!P42</f>
        <v>134269.11526979934</v>
      </c>
      <c r="Q42" s="549">
        <f ca="1">'סיכום לועדה- הזנת נתונים'!Q42</f>
        <v>-8.3687417971505584E-2</v>
      </c>
      <c r="R42" s="316">
        <f ca="1">'סיכום לועדה- הזנת נתונים'!R42</f>
        <v>0</v>
      </c>
      <c r="S42" s="316">
        <f ca="1">'סיכום לועדה- הזנת נתונים'!S42</f>
        <v>0</v>
      </c>
      <c r="T42" s="548">
        <f>'סיכום לועדה- הזנת נתונים'!T42</f>
        <v>0</v>
      </c>
      <c r="U42" s="548" t="str">
        <f>'סיכום לועדה- הזנת נתונים'!U42</f>
        <v>מומלץ לתמיכה</v>
      </c>
    </row>
    <row r="43" spans="2:21" x14ac:dyDescent="0.25">
      <c r="B43" s="315" t="str">
        <f t="shared" ca="1" si="2"/>
        <v/>
      </c>
      <c r="C43" s="426" t="str">
        <f ca="1">'סיכום לועדה- הזנת נתונים'!C43</f>
        <v/>
      </c>
      <c r="D43" s="316">
        <f>'סיכום לועדה- הזנת נתונים'!D43</f>
        <v>0</v>
      </c>
      <c r="E43" s="316">
        <f>'סיכום לועדה- הזנת נתונים'!E43</f>
        <v>0</v>
      </c>
      <c r="F43" s="316">
        <f>'סיכום לועדה- הזנת נתונים'!F43</f>
        <v>0</v>
      </c>
      <c r="G43" s="316" t="str">
        <f ca="1">'סיכום לועדה- הזנת נתונים'!G43</f>
        <v/>
      </c>
      <c r="H43" s="316" t="str">
        <f>'סיכום לועדה- הזנת נתונים'!H43</f>
        <v/>
      </c>
      <c r="I43" s="545" t="str">
        <f>'סיכום לועדה- הזנת נתונים'!I43</f>
        <v/>
      </c>
      <c r="J43" s="545" t="str">
        <f>'סיכום לועדה- הזנת נתונים'!J43</f>
        <v/>
      </c>
      <c r="K43" s="545" t="str">
        <f>'סיכום לועדה- הזנת נתונים'!K43</f>
        <v/>
      </c>
      <c r="L43" s="317" t="str">
        <f>'סיכום לועדה- הזנת נתונים'!L43</f>
        <v/>
      </c>
      <c r="M43" s="318" t="str">
        <f>'סיכום לועדה- הזנת נתונים'!M43</f>
        <v/>
      </c>
      <c r="N43" s="319" t="str">
        <f>'סיכום לועדה- הזנת נתונים'!N43</f>
        <v/>
      </c>
      <c r="O43" s="319">
        <f>'סיכום לועדה- הזנת נתונים'!O43</f>
        <v>0</v>
      </c>
      <c r="P43" s="319" t="str">
        <f ca="1">'סיכום לועדה- הזנת נתונים'!P43</f>
        <v/>
      </c>
      <c r="Q43" s="549" t="str">
        <f ca="1">'סיכום לועדה- הזנת נתונים'!Q43</f>
        <v/>
      </c>
      <c r="R43" s="316" t="str">
        <f ca="1">'סיכום לועדה- הזנת נתונים'!R43</f>
        <v/>
      </c>
      <c r="S43" s="316" t="str">
        <f ca="1">'סיכום לועדה- הזנת נתונים'!S43</f>
        <v/>
      </c>
      <c r="T43" s="548">
        <f>'סיכום לועדה- הזנת נתונים'!T43</f>
        <v>0</v>
      </c>
      <c r="U43" s="548">
        <f>'סיכום לועדה- הזנת נתונים'!U43</f>
        <v>0</v>
      </c>
    </row>
    <row r="44" spans="2:21" x14ac:dyDescent="0.25">
      <c r="B44" s="315">
        <f t="shared" ca="1" si="2"/>
        <v>14</v>
      </c>
      <c r="C44" s="426" t="str">
        <f ca="1">'סיכום לועדה- הזנת נתונים'!C44</f>
        <v>פסיפס</v>
      </c>
      <c r="D44" s="316">
        <f>'סיכום לועדה- הזנת נתונים'!D44</f>
        <v>1001837427</v>
      </c>
      <c r="E44" s="316">
        <f>'סיכום לועדה- הזנת נתונים'!E44</f>
        <v>1001745237</v>
      </c>
      <c r="F44" s="316">
        <f>'סיכום לועדה- הזנת נתונים'!F44</f>
        <v>2020</v>
      </c>
      <c r="G44" s="316">
        <f ca="1">'סיכום לועדה- הזנת נתונים'!G44</f>
        <v>1</v>
      </c>
      <c r="H44" s="316" t="str">
        <f>'סיכום לועדה- הזנת נתונים'!H44</f>
        <v/>
      </c>
      <c r="I44" s="545" t="str">
        <f>'סיכום לועדה- הזנת נתונים'!I44</f>
        <v>2025</v>
      </c>
      <c r="J44" s="545">
        <f>'סיכום לועדה- הזנת נתונים'!J44</f>
        <v>40000516</v>
      </c>
      <c r="K44" s="545">
        <f>'סיכום לועדה- הזנת נתונים'!K44</f>
        <v>580158830</v>
      </c>
      <c r="L44" s="317" t="str">
        <f>'סיכום לועדה- הזנת נתונים'!L44</f>
        <v>פסיפס - עיתון למידע על שירה - ספרי</v>
      </c>
      <c r="M44" s="318" t="str">
        <f>'סיכום לועדה- הזנת נתונים'!M44</f>
        <v>בקשה לתמיכה לשנת 2025</v>
      </c>
      <c r="N44" s="319">
        <f>'סיכום לועדה- הזנת נתונים'!N44</f>
        <v>90000</v>
      </c>
      <c r="O44" s="319">
        <f>'סיכום לועדה- הזנת נתונים'!O44</f>
        <v>43081</v>
      </c>
      <c r="P44" s="319">
        <f ca="1">'סיכום לועדה- הזנת נתונים'!P44</f>
        <v>38555.909673218623</v>
      </c>
      <c r="Q44" s="549">
        <f ca="1">'סיכום לועדה- הזנת נתונים'!Q44</f>
        <v>-0.10503679874611493</v>
      </c>
      <c r="R44" s="316">
        <f ca="1">'סיכום לועדה- הזנת נתונים'!R44</f>
        <v>0</v>
      </c>
      <c r="S44" s="316">
        <f ca="1">'סיכום לועדה- הזנת נתונים'!S44</f>
        <v>0</v>
      </c>
      <c r="T44" s="548">
        <f>'סיכום לועדה- הזנת נתונים'!T44</f>
        <v>0</v>
      </c>
      <c r="U44" s="548" t="str">
        <f>'סיכום לועדה- הזנת נתונים'!U44</f>
        <v>מומלץ לתמיכה</v>
      </c>
    </row>
    <row r="45" spans="2:21" x14ac:dyDescent="0.25">
      <c r="B45" s="315">
        <f t="shared" ca="1" si="2"/>
        <v>15</v>
      </c>
      <c r="C45" s="426" t="str">
        <f ca="1">'סיכום לועדה- הזנת נתונים'!C45</f>
        <v>קתרזיס ( עמותת מצרף)</v>
      </c>
      <c r="D45" s="316">
        <f>'סיכום לועדה- הזנת נתונים'!D45</f>
        <v>1001823621</v>
      </c>
      <c r="E45" s="316">
        <f>'סיכום לועדה- הזנת נתונים'!E45</f>
        <v>1001719842</v>
      </c>
      <c r="F45" s="316">
        <f>'סיכום לועדה- הזנת נתונים'!F45</f>
        <v>2020</v>
      </c>
      <c r="G45" s="316">
        <f ca="1">'סיכום לועדה- הזנת נתונים'!G45</f>
        <v>1</v>
      </c>
      <c r="H45" s="316" t="str">
        <f>'סיכום לועדה- הזנת נתונים'!H45</f>
        <v/>
      </c>
      <c r="I45" s="545" t="str">
        <f>'סיכום לועדה- הזנת נתונים'!I45</f>
        <v>2025</v>
      </c>
      <c r="J45" s="545">
        <f>'סיכום לועדה- הזנת נתונים'!J45</f>
        <v>40216111</v>
      </c>
      <c r="K45" s="545">
        <f>'סיכום לועדה- הזנת נתונים'!K45</f>
        <v>580411924</v>
      </c>
      <c r="L45" s="317" t="str">
        <f>'סיכום לועדה- הזנת נתונים'!L45</f>
        <v>מצרף (ע"ר)</v>
      </c>
      <c r="M45" s="318" t="str">
        <f>'סיכום לועדה- הזנת נתונים'!M45</f>
        <v>תמיכה בהפקת חוברת קתרסיס</v>
      </c>
      <c r="N45" s="319">
        <f>'סיכום לועדה- הזנת נתונים'!N45</f>
        <v>29000</v>
      </c>
      <c r="O45" s="319">
        <f>'סיכום לועדה- הזנת נתונים'!O45</f>
        <v>29000</v>
      </c>
      <c r="P45" s="319">
        <f ca="1">'סיכום לועדה- הזנת נתונים'!P45</f>
        <v>29000</v>
      </c>
      <c r="Q45" s="549">
        <f ca="1">'סיכום לועדה- הזנת נתונים'!Q45</f>
        <v>0</v>
      </c>
      <c r="R45" s="316">
        <f ca="1">'סיכום לועדה- הזנת נתונים'!R45</f>
        <v>0</v>
      </c>
      <c r="S45" s="316">
        <f ca="1">'סיכום לועדה- הזנת נתונים'!S45</f>
        <v>0</v>
      </c>
      <c r="T45" s="548">
        <f>'סיכום לועדה- הזנת נתונים'!T45</f>
        <v>0</v>
      </c>
      <c r="U45" s="548" t="str">
        <f>'סיכום לועדה- הזנת נתונים'!U45</f>
        <v>מומלץ לתמיכה</v>
      </c>
    </row>
    <row r="46" spans="2:21" x14ac:dyDescent="0.25">
      <c r="B46" s="315" t="str">
        <f t="shared" ca="1" si="2"/>
        <v/>
      </c>
      <c r="C46" s="426" t="str">
        <f ca="1">'סיכום לועדה- הזנת נתונים'!C46</f>
        <v/>
      </c>
      <c r="D46" s="316">
        <f>'סיכום לועדה- הזנת נתונים'!D46</f>
        <v>0</v>
      </c>
      <c r="E46" s="316">
        <f>'סיכום לועדה- הזנת נתונים'!E46</f>
        <v>0</v>
      </c>
      <c r="F46" s="316">
        <f>'סיכום לועדה- הזנת נתונים'!F46</f>
        <v>0</v>
      </c>
      <c r="G46" s="316" t="str">
        <f ca="1">'סיכום לועדה- הזנת נתונים'!G46</f>
        <v/>
      </c>
      <c r="H46" s="316" t="str">
        <f>'סיכום לועדה- הזנת נתונים'!H46</f>
        <v/>
      </c>
      <c r="I46" s="545" t="str">
        <f>'סיכום לועדה- הזנת נתונים'!I46</f>
        <v/>
      </c>
      <c r="J46" s="545" t="str">
        <f>'סיכום לועדה- הזנת נתונים'!J46</f>
        <v/>
      </c>
      <c r="K46" s="545" t="str">
        <f>'סיכום לועדה- הזנת נתונים'!K46</f>
        <v/>
      </c>
      <c r="L46" s="317" t="str">
        <f>'סיכום לועדה- הזנת נתונים'!L46</f>
        <v/>
      </c>
      <c r="M46" s="318" t="str">
        <f>'סיכום לועדה- הזנת נתונים'!M46</f>
        <v/>
      </c>
      <c r="N46" s="319" t="str">
        <f>'סיכום לועדה- הזנת נתונים'!N46</f>
        <v/>
      </c>
      <c r="O46" s="319">
        <f>'סיכום לועדה- הזנת נתונים'!O46</f>
        <v>0</v>
      </c>
      <c r="P46" s="319" t="str">
        <f ca="1">'סיכום לועדה- הזנת נתונים'!P46</f>
        <v/>
      </c>
      <c r="Q46" s="549" t="str">
        <f ca="1">'סיכום לועדה- הזנת נתונים'!Q46</f>
        <v/>
      </c>
      <c r="R46" s="316" t="str">
        <f ca="1">'סיכום לועדה- הזנת נתונים'!R46</f>
        <v/>
      </c>
      <c r="S46" s="316" t="str">
        <f ca="1">'סיכום לועדה- הזנת נתונים'!S46</f>
        <v/>
      </c>
      <c r="T46" s="548">
        <f>'סיכום לועדה- הזנת נתונים'!T46</f>
        <v>0</v>
      </c>
      <c r="U46" s="548">
        <f>'סיכום לועדה- הזנת נתונים'!U46</f>
        <v>0</v>
      </c>
    </row>
    <row r="47" spans="2:21" ht="31.5" x14ac:dyDescent="0.25">
      <c r="B47" s="315">
        <f t="shared" ca="1" si="2"/>
        <v>17</v>
      </c>
      <c r="C47" s="426" t="str">
        <f ca="1">'סיכום לועדה- הזנת נתונים'!C47</f>
        <v>הכיוון מזרח (עמותת אחותי)</v>
      </c>
      <c r="D47" s="316">
        <f>'סיכום לועדה- הזנת נתונים'!D47</f>
        <v>1001844094</v>
      </c>
      <c r="E47" s="316">
        <f>'סיכום לועדה- הזנת נתונים'!E47</f>
        <v>1001779940</v>
      </c>
      <c r="F47" s="316">
        <f>'סיכום לועדה- הזנת נתונים'!F47</f>
        <v>2024</v>
      </c>
      <c r="G47" s="316">
        <f ca="1">'סיכום לועדה- הזנת נתונים'!G47</f>
        <v>0</v>
      </c>
      <c r="H47" s="316" t="str">
        <f>'סיכום לועדה- הזנת נתונים'!H47</f>
        <v/>
      </c>
      <c r="I47" s="545" t="str">
        <f>'סיכום לועדה- הזנת נתונים'!I47</f>
        <v>2025</v>
      </c>
      <c r="J47" s="545">
        <f>'סיכום לועדה- הזנת נתונים'!J47</f>
        <v>40522482</v>
      </c>
      <c r="K47" s="545">
        <f>'סיכום לועדה- הזנת נתונים'!K47</f>
        <v>580362747</v>
      </c>
      <c r="L47" s="317" t="str">
        <f>'סיכום לועדה- הזנת נתונים'!L47</f>
        <v>אחותי - למען נשים בישראל (ע"ר)</v>
      </c>
      <c r="M47" s="318" t="str">
        <f>'סיכום לועדה- הזנת נתונים'!M47</f>
        <v>כתב העת הכיוון מזרח</v>
      </c>
      <c r="N47" s="319">
        <f>'סיכום לועדה- הזנת נתונים'!N47</f>
        <v>180000</v>
      </c>
      <c r="O47" s="319">
        <f>'סיכום לועדה- הזנת נתונים'!O47</f>
        <v>134434</v>
      </c>
      <c r="P47" s="319">
        <f ca="1">'סיכום לועדה- הזנת נתונים'!P47</f>
        <v>98262.948341541589</v>
      </c>
      <c r="Q47" s="549">
        <f ca="1">'סיכום לועדה- הזנת נתונים'!Q47</f>
        <v>-0.26906178242452361</v>
      </c>
      <c r="R47" s="316">
        <f ca="1">'סיכום לועדה- הזנת נתונים'!R47</f>
        <v>0</v>
      </c>
      <c r="S47" s="316">
        <f ca="1">'סיכום לועדה- הזנת נתונים'!S47</f>
        <v>0</v>
      </c>
      <c r="T47" s="548" t="str">
        <f>'סיכום לועדה- הזנת נתונים'!T47</f>
        <v>ירידה במשתנה הפצת כתב העת ובתמורה ליוצרים</v>
      </c>
      <c r="U47" s="548" t="str">
        <f>'סיכום לועדה- הזנת נתונים'!U47</f>
        <v>מומלץ לתמיכה</v>
      </c>
    </row>
    <row r="48" spans="2:21" x14ac:dyDescent="0.25">
      <c r="B48" s="315" t="str">
        <f t="shared" ca="1" si="2"/>
        <v/>
      </c>
      <c r="C48" s="426" t="str">
        <f ca="1">'סיכום לועדה- הזנת נתונים'!C48</f>
        <v/>
      </c>
      <c r="D48" s="316">
        <f>'סיכום לועדה- הזנת נתונים'!D48</f>
        <v>0</v>
      </c>
      <c r="E48" s="316">
        <f>'סיכום לועדה- הזנת נתונים'!E48</f>
        <v>0</v>
      </c>
      <c r="F48" s="316">
        <f>'סיכום לועדה- הזנת נתונים'!F48</f>
        <v>0</v>
      </c>
      <c r="G48" s="316" t="str">
        <f ca="1">'סיכום לועדה- הזנת נתונים'!G48</f>
        <v/>
      </c>
      <c r="H48" s="316" t="str">
        <f>'סיכום לועדה- הזנת נתונים'!H48</f>
        <v/>
      </c>
      <c r="I48" s="545" t="str">
        <f>'סיכום לועדה- הזנת נתונים'!I48</f>
        <v/>
      </c>
      <c r="J48" s="545" t="str">
        <f>'סיכום לועדה- הזנת נתונים'!J48</f>
        <v/>
      </c>
      <c r="K48" s="545" t="str">
        <f>'סיכום לועדה- הזנת נתונים'!K48</f>
        <v/>
      </c>
      <c r="L48" s="317" t="str">
        <f>'סיכום לועדה- הזנת נתונים'!L48</f>
        <v/>
      </c>
      <c r="M48" s="318" t="str">
        <f>'סיכום לועדה- הזנת נתונים'!M48</f>
        <v/>
      </c>
      <c r="N48" s="319" t="str">
        <f>'סיכום לועדה- הזנת נתונים'!N48</f>
        <v/>
      </c>
      <c r="O48" s="319">
        <f>'סיכום לועדה- הזנת נתונים'!O48</f>
        <v>0</v>
      </c>
      <c r="P48" s="319" t="str">
        <f ca="1">'סיכום לועדה- הזנת נתונים'!P48</f>
        <v/>
      </c>
      <c r="Q48" s="549" t="str">
        <f ca="1">'סיכום לועדה- הזנת נתונים'!Q48</f>
        <v/>
      </c>
      <c r="R48" s="316" t="str">
        <f ca="1">'סיכום לועדה- הזנת נתונים'!R48</f>
        <v/>
      </c>
      <c r="S48" s="316" t="str">
        <f ca="1">'סיכום לועדה- הזנת נתונים'!S48</f>
        <v/>
      </c>
      <c r="T48" s="548">
        <f>'סיכום לועדה- הזנת נתונים'!T48</f>
        <v>0</v>
      </c>
      <c r="U48" s="548">
        <f>'סיכום לועדה- הזנת נתונים'!U48</f>
        <v>0</v>
      </c>
    </row>
    <row r="49" spans="2:21" ht="31.5" x14ac:dyDescent="0.25">
      <c r="B49" s="315">
        <f t="shared" ca="1" si="2"/>
        <v>19</v>
      </c>
      <c r="C49" s="426" t="str">
        <f ca="1">'סיכום לועדה- הזנת נתונים'!C49</f>
        <v>הו</v>
      </c>
      <c r="D49" s="316">
        <f>'סיכום לועדה- הזנת נתונים'!D49</f>
        <v>1001825303</v>
      </c>
      <c r="E49" s="316">
        <f>'סיכום לועדה- הזנת נתונים'!E49</f>
        <v>1001722210</v>
      </c>
      <c r="F49" s="316">
        <f>'סיכום לועדה- הזנת נתונים'!F49</f>
        <v>2024</v>
      </c>
      <c r="G49" s="316">
        <f ca="1">'סיכום לועדה- הזנת נתונים'!G49</f>
        <v>0</v>
      </c>
      <c r="H49" s="316" t="str">
        <f>'סיכום לועדה- הזנת נתונים'!H49</f>
        <v/>
      </c>
      <c r="I49" s="545" t="str">
        <f>'סיכום לועדה- הזנת נתונים'!I49</f>
        <v>2025</v>
      </c>
      <c r="J49" s="545">
        <f>'סיכום לועדה- הזנת נתונים'!J49</f>
        <v>40365425</v>
      </c>
      <c r="K49" s="545">
        <f>'סיכום לועדה- הזנת נתונים'!K49</f>
        <v>580476968</v>
      </c>
      <c r="L49" s="317" t="str">
        <f>'סיכום לועדה- הזנת נתונים'!L49</f>
        <v>הו! עמותה לספרות עברית (ע"ר)</v>
      </c>
      <c r="M49" s="318" t="str">
        <f>'סיכום לועדה- הזנת נתונים'!M49</f>
        <v>תמיכה בכתב העת הו! 2025</v>
      </c>
      <c r="N49" s="319">
        <f>'סיכום לועדה- הזנת נתונים'!N49</f>
        <v>180000</v>
      </c>
      <c r="O49" s="319">
        <f>'סיכום לועדה- הזנת נתונים'!O49</f>
        <v>118619</v>
      </c>
      <c r="P49" s="319">
        <f ca="1">'סיכום לועדה- הזנת נתונים'!P49</f>
        <v>100140.64481908687</v>
      </c>
      <c r="Q49" s="549">
        <f ca="1">'סיכום לועדה- הזנת נתונים'!Q49</f>
        <v>-0.15577905041277651</v>
      </c>
      <c r="R49" s="316">
        <f ca="1">'סיכום לועדה- הזנת נתונים'!R49</f>
        <v>0</v>
      </c>
      <c r="S49" s="316">
        <f ca="1">'סיכום לועדה- הזנת נתונים'!S49</f>
        <v>0</v>
      </c>
      <c r="T49" s="548" t="str">
        <f>'סיכום לועדה- הזנת נתונים'!T49</f>
        <v xml:space="preserve">ירידות במשתנים הפצת כתב עת, תמורה ליוצרים </v>
      </c>
      <c r="U49" s="548" t="str">
        <f>'סיכום לועדה- הזנת נתונים'!U49</f>
        <v>מומלץ לתמיכה</v>
      </c>
    </row>
    <row r="50" spans="2:21" ht="31.5" x14ac:dyDescent="0.25">
      <c r="B50" s="315">
        <f t="shared" ca="1" si="2"/>
        <v>20</v>
      </c>
      <c r="C50" s="426" t="str">
        <f ca="1">'סיכום לועדה- הזנת נתונים'!C50</f>
        <v>הבא להבא (עמותת מקום לשירה)</v>
      </c>
      <c r="D50" s="316">
        <f>'סיכום לועדה- הזנת נתונים'!D50</f>
        <v>1001844024</v>
      </c>
      <c r="E50" s="316">
        <f>'סיכום לועדה- הזנת נתונים'!E50</f>
        <v>1001754489</v>
      </c>
      <c r="F50" s="316">
        <f>'סיכום לועדה- הזנת נתונים'!F50</f>
        <v>2020</v>
      </c>
      <c r="G50" s="316">
        <f ca="1">'סיכום לועדה- הזנת נתונים'!G50</f>
        <v>1</v>
      </c>
      <c r="H50" s="316" t="str">
        <f>'סיכום לועדה- הזנת נתונים'!H50</f>
        <v/>
      </c>
      <c r="I50" s="545" t="str">
        <f>'סיכום לועדה- הזנת נתונים'!I50</f>
        <v>2025</v>
      </c>
      <c r="J50" s="545">
        <f>'סיכום לועדה- הזנת נתונים'!J50</f>
        <v>40989613</v>
      </c>
      <c r="K50" s="545">
        <f>'סיכום לועדה- הזנת נתונים'!K50</f>
        <v>580537041</v>
      </c>
      <c r="L50" s="317" t="str">
        <f>'סיכום לועדה- הזנת נתונים'!L50</f>
        <v>מקום לשירה (ע"ר)</v>
      </c>
      <c r="M50" s="318" t="str">
        <f>'סיכום לועדה- הזנת נתונים'!M50</f>
        <v>תמיכה בכתב עת "הבה להבא"</v>
      </c>
      <c r="N50" s="319">
        <f>'סיכום לועדה- הזנת נתונים'!N50</f>
        <v>80000</v>
      </c>
      <c r="O50" s="319">
        <f>'סיכום לועדה- הזנת נתונים'!O50</f>
        <v>59960</v>
      </c>
      <c r="P50" s="319">
        <f ca="1">'סיכום לועדה- הזנת נתונים'!P50</f>
        <v>75902.39829871527</v>
      </c>
      <c r="Q50" s="549">
        <f ca="1">'סיכום לועדה- הזנת נתונים'!Q50</f>
        <v>0.26588389424141545</v>
      </c>
      <c r="R50" s="316">
        <f ca="1">'סיכום לועדה- הזנת נתונים'!R50</f>
        <v>0</v>
      </c>
      <c r="S50" s="316">
        <f ca="1">'סיכום לועדה- הזנת נתונים'!S50</f>
        <v>0</v>
      </c>
      <c r="T50" s="548" t="str">
        <f>'סיכום לועדה- הזנת נתונים'!T50</f>
        <v>עליה בהיקף החוברות והמשתנה ההפצה</v>
      </c>
      <c r="U50" s="548" t="str">
        <f>'סיכום לועדה- הזנת נתונים'!U50</f>
        <v>מומלץ לתמיכה</v>
      </c>
    </row>
    <row r="51" spans="2:21" x14ac:dyDescent="0.25">
      <c r="B51" s="315">
        <f t="shared" ca="1" si="2"/>
        <v>21</v>
      </c>
      <c r="C51" s="426" t="str">
        <f ca="1">'סיכום לועדה- הזנת נתונים'!C51</f>
        <v>היסטוריה (החברה ההיסטורית הישרא</v>
      </c>
      <c r="D51" s="316">
        <f>'סיכום לועדה- הזנת נתונים'!D51</f>
        <v>1001834115</v>
      </c>
      <c r="E51" s="316">
        <f>'סיכום לועדה- הזנת נתונים'!E51</f>
        <v>1001776590</v>
      </c>
      <c r="F51" s="316">
        <f>'סיכום לועדה- הזנת נתונים'!F51</f>
        <v>2020</v>
      </c>
      <c r="G51" s="316">
        <f ca="1">'סיכום לועדה- הזנת נתונים'!G51</f>
        <v>1</v>
      </c>
      <c r="H51" s="316" t="str">
        <f>'סיכום לועדה- הזנת נתונים'!H51</f>
        <v/>
      </c>
      <c r="I51" s="545" t="str">
        <f>'סיכום לועדה- הזנת נתונים'!I51</f>
        <v>2025</v>
      </c>
      <c r="J51" s="545">
        <f>'סיכום לועדה- הזנת נתונים'!J51</f>
        <v>40000319</v>
      </c>
      <c r="K51" s="545">
        <f>'סיכום לועדה- הזנת נתונים'!K51</f>
        <v>580004729</v>
      </c>
      <c r="L51" s="317" t="str">
        <f>'סיכום לועדה- הזנת נתונים'!L51</f>
        <v>החברה ההיסטורית הישראלית (ע"ר)</v>
      </c>
      <c r="M51" s="318" t="str">
        <f>'סיכום לועדה- הזנת נתונים'!M51</f>
        <v>בקשת תמיכה 2025 כתב העת היסטוריה</v>
      </c>
      <c r="N51" s="319">
        <f>'סיכום לועדה- הזנת נתונים'!N51</f>
        <v>120000</v>
      </c>
      <c r="O51" s="319">
        <f>'סיכום לועדה- הזנת נתונים'!O51</f>
        <v>49832</v>
      </c>
      <c r="P51" s="319">
        <f ca="1">'סיכום לועדה- הזנת נתונים'!P51</f>
        <v>51310.941279157974</v>
      </c>
      <c r="Q51" s="549">
        <f ca="1">'סיכום לועדה- הזנת נתונים'!Q51</f>
        <v>2.9678545496026221E-2</v>
      </c>
      <c r="R51" s="316">
        <f ca="1">'סיכום לועדה- הזנת נתונים'!R51</f>
        <v>0</v>
      </c>
      <c r="S51" s="316">
        <f ca="1">'סיכום לועדה- הזנת נתונים'!S51</f>
        <v>0</v>
      </c>
      <c r="T51" s="548">
        <f>'סיכום לועדה- הזנת נתונים'!T51</f>
        <v>0</v>
      </c>
      <c r="U51" s="548" t="str">
        <f>'סיכום לועדה- הזנת נתונים'!U51</f>
        <v>מומלץ לתמיכה</v>
      </c>
    </row>
    <row r="52" spans="2:21" x14ac:dyDescent="0.25">
      <c r="B52" s="315">
        <f t="shared" ca="1" si="2"/>
        <v>22</v>
      </c>
      <c r="C52" s="426" t="str">
        <f ca="1">'סיכום לועדה- הזנת נתונים'!C52</f>
        <v>מחול עכשיו (תמונע)</v>
      </c>
      <c r="D52" s="316">
        <f>'סיכום לועדה- הזנת נתונים'!D52</f>
        <v>1001835908</v>
      </c>
      <c r="E52" s="316">
        <f>'סיכום לועדה- הזנת נתונים'!E52</f>
        <v>1001721531</v>
      </c>
      <c r="F52" s="316">
        <f>'סיכום לועדה- הזנת נתונים'!F52</f>
        <v>2020</v>
      </c>
      <c r="G52" s="316">
        <f ca="1">'סיכום לועדה- הזנת נתונים'!G52</f>
        <v>1</v>
      </c>
      <c r="H52" s="316" t="str">
        <f>'סיכום לועדה- הזנת נתונים'!H52</f>
        <v/>
      </c>
      <c r="I52" s="545" t="str">
        <f>'סיכום לועדה- הזנת נתונים'!I52</f>
        <v>2025</v>
      </c>
      <c r="J52" s="545">
        <f>'סיכום לועדה- הזנת נתונים'!J52</f>
        <v>40000134</v>
      </c>
      <c r="K52" s="545">
        <f>'סיכום לועדה- הזנת נתונים'!K52</f>
        <v>580103026</v>
      </c>
      <c r="L52" s="317" t="str">
        <f>'סיכום לועדה- הזנת נתונים'!L52</f>
        <v>תיאטרון תנועה "תמו-נע"</v>
      </c>
      <c r="M52" s="318" t="str">
        <f>'סיכום לועדה- הזנת נתונים'!M52</f>
        <v>מגזין מחול</v>
      </c>
      <c r="N52" s="319">
        <f>'סיכום לועדה- הזנת נתונים'!N52</f>
        <v>60000</v>
      </c>
      <c r="O52" s="319">
        <f>'סיכום לועדה- הזנת נתונים'!O52</f>
        <v>52302</v>
      </c>
      <c r="P52" s="319">
        <f ca="1">'סיכום לועדה- הזנת נתונים'!P52</f>
        <v>60000</v>
      </c>
      <c r="Q52" s="549">
        <f ca="1">'סיכום לועדה- הזנת נתונים'!Q52</f>
        <v>0.14718366410462314</v>
      </c>
      <c r="R52" s="316">
        <f ca="1">'סיכום לועדה- הזנת נתונים'!R52</f>
        <v>0</v>
      </c>
      <c r="S52" s="316">
        <f ca="1">'סיכום לועדה- הזנת נתונים'!S52</f>
        <v>0</v>
      </c>
      <c r="T52" s="548" t="str">
        <f>'סיכום לועדה- הזנת נתונים'!T52</f>
        <v>עליה במשתנה איכות הפקתית</v>
      </c>
      <c r="U52" s="548" t="str">
        <f>'סיכום לועדה- הזנת נתונים'!U52</f>
        <v>מומלץ לתמיכה</v>
      </c>
    </row>
    <row r="53" spans="2:21" x14ac:dyDescent="0.25">
      <c r="B53" s="315">
        <f t="shared" ca="1" si="2"/>
        <v>23</v>
      </c>
      <c r="C53" s="426" t="str">
        <f ca="1">'סיכום לועדה- הזנת נתונים'!C53</f>
        <v>קול אישה שירה (תואר)</v>
      </c>
      <c r="D53" s="316">
        <f>'סיכום לועדה- הזנת נתונים'!D53</f>
        <v>1001850185</v>
      </c>
      <c r="E53" s="316">
        <f>'סיכום לועדה- הזנת נתונים'!E53</f>
        <v>1001779203</v>
      </c>
      <c r="F53" s="316">
        <f>'סיכום לועדה- הזנת נתונים'!F53</f>
        <v>2020</v>
      </c>
      <c r="G53" s="316">
        <f ca="1">'סיכום לועדה- הזנת נתונים'!G53</f>
        <v>1</v>
      </c>
      <c r="H53" s="316" t="str">
        <f>'סיכום לועדה- הזנת נתונים'!H53</f>
        <v/>
      </c>
      <c r="I53" s="545" t="str">
        <f>'סיכום לועדה- הזנת נתונים'!I53</f>
        <v>2025</v>
      </c>
      <c r="J53" s="545">
        <f>'סיכום לועדה- הזנת נתונים'!J53</f>
        <v>40216112</v>
      </c>
      <c r="K53" s="545">
        <f>'סיכום לועדה- הזנת נתונים'!K53</f>
        <v>580416485</v>
      </c>
      <c r="L53" s="317" t="str">
        <f>'סיכום לועדה- הזנת נתונים'!L53</f>
        <v>תואר (ע"ר)</v>
      </c>
      <c r="M53" s="318" t="str">
        <f>'סיכום לועדה- הזנת נתונים'!M53</f>
        <v>כתב עת 2025</v>
      </c>
      <c r="N53" s="319">
        <f>'סיכום לועדה- הזנת נתונים'!N53</f>
        <v>75000</v>
      </c>
      <c r="O53" s="319">
        <f>'סיכום לועדה- הזנת נתונים'!O53</f>
        <v>60000</v>
      </c>
      <c r="P53" s="319">
        <f ca="1">'סיכום לועדה- הזנת נתונים'!P53</f>
        <v>75000</v>
      </c>
      <c r="Q53" s="549">
        <f ca="1">'סיכום לועדה- הזנת נתונים'!Q53</f>
        <v>0.25</v>
      </c>
      <c r="R53" s="316">
        <f ca="1">'סיכום לועדה- הזנת נתונים'!R53</f>
        <v>0</v>
      </c>
      <c r="S53" s="316">
        <f ca="1">'סיכום לועדה- הזנת נתונים'!S53</f>
        <v>0</v>
      </c>
      <c r="T53" s="548" t="str">
        <f>'סיכום לועדה- הזנת נתונים'!T53</f>
        <v>עליה במשתנה תמורה ליוצרים</v>
      </c>
      <c r="U53" s="548" t="str">
        <f>'סיכום לועדה- הזנת נתונים'!U53</f>
        <v>מומלץ לתמיכה</v>
      </c>
    </row>
    <row r="54" spans="2:21" x14ac:dyDescent="0.25">
      <c r="B54" s="315">
        <f t="shared" ca="1" si="2"/>
        <v>24</v>
      </c>
      <c r="C54" s="426" t="str">
        <f ca="1">'סיכום לועדה- הזנת נתונים'!C54</f>
        <v>האיגוד העולמי למדעי היהדות</v>
      </c>
      <c r="D54" s="316">
        <f>'סיכום לועדה- הזנת נתונים'!D54</f>
        <v>1001854379</v>
      </c>
      <c r="E54" s="316">
        <f>'סיכום לועדה- הזנת נתונים'!E54</f>
        <v>1001745403</v>
      </c>
      <c r="F54" s="316">
        <f>'סיכום לועדה- הזנת נתונים'!F54</f>
        <v>2020</v>
      </c>
      <c r="G54" s="316">
        <f ca="1">'סיכום לועדה- הזנת נתונים'!G54</f>
        <v>1</v>
      </c>
      <c r="H54" s="316" t="str">
        <f>'סיכום לועדה- הזנת נתונים'!H54</f>
        <v/>
      </c>
      <c r="I54" s="545" t="str">
        <f>'סיכום לועדה- הזנת נתונים'!I54</f>
        <v>2025</v>
      </c>
      <c r="J54" s="545">
        <f>'סיכום לועדה- הזנת נתונים'!J54</f>
        <v>40000397</v>
      </c>
      <c r="K54" s="545">
        <f>'סיכום לועדה- הזנת נתונים'!K54</f>
        <v>580046860</v>
      </c>
      <c r="L54" s="317" t="str">
        <f>'סיכום לועדה- הזנת נתונים'!L54</f>
        <v>האיגוד העולמי למדעי היהדות (ע"ר)</v>
      </c>
      <c r="M54" s="318" t="str">
        <f>'סיכום לועדה- הזנת נתונים'!M54</f>
        <v>תמיכה בכתב העת מדעי היהדות</v>
      </c>
      <c r="N54" s="319">
        <f>'סיכום לועדה- הזנת נתונים'!N54</f>
        <v>180000</v>
      </c>
      <c r="O54" s="319">
        <f>'סיכום לועדה- הזנת נתונים'!O54</f>
        <v>62879</v>
      </c>
      <c r="P54" s="319">
        <f ca="1">'סיכום לועדה- הזנת נתונים'!P54</f>
        <v>64574.256854550913</v>
      </c>
      <c r="Q54" s="549">
        <f ca="1">'סיכום לועדה- הזנת נתונים'!Q54</f>
        <v>2.6960620470282803E-2</v>
      </c>
      <c r="R54" s="316">
        <f ca="1">'סיכום לועדה- הזנת נתונים'!R54</f>
        <v>0</v>
      </c>
      <c r="S54" s="316">
        <f ca="1">'סיכום לועדה- הזנת נתונים'!S54</f>
        <v>0</v>
      </c>
      <c r="T54" s="548">
        <f>'סיכום לועדה- הזנת נתונים'!T54</f>
        <v>0</v>
      </c>
      <c r="U54" s="548" t="str">
        <f>'סיכום לועדה- הזנת נתונים'!U54</f>
        <v>מומלץ לתמיכה</v>
      </c>
    </row>
    <row r="55" spans="2:21" x14ac:dyDescent="0.25">
      <c r="B55" s="315" t="str">
        <f t="shared" ca="1" si="2"/>
        <v/>
      </c>
      <c r="C55" s="426" t="str">
        <f ca="1">'סיכום לועדה- הזנת נתונים'!C55</f>
        <v/>
      </c>
      <c r="D55" s="316">
        <f>'סיכום לועדה- הזנת נתונים'!D55</f>
        <v>0</v>
      </c>
      <c r="E55" s="316">
        <f>'סיכום לועדה- הזנת נתונים'!E55</f>
        <v>0</v>
      </c>
      <c r="F55" s="316">
        <f>'סיכום לועדה- הזנת נתונים'!F55</f>
        <v>0</v>
      </c>
      <c r="G55" s="316" t="str">
        <f ca="1">'סיכום לועדה- הזנת נתונים'!G55</f>
        <v/>
      </c>
      <c r="H55" s="316" t="str">
        <f>'סיכום לועדה- הזנת נתונים'!H55</f>
        <v/>
      </c>
      <c r="I55" s="545" t="str">
        <f>'סיכום לועדה- הזנת נתונים'!I55</f>
        <v/>
      </c>
      <c r="J55" s="545" t="str">
        <f>'סיכום לועדה- הזנת נתונים'!J55</f>
        <v/>
      </c>
      <c r="K55" s="545" t="str">
        <f>'סיכום לועדה- הזנת נתונים'!K55</f>
        <v/>
      </c>
      <c r="L55" s="317" t="str">
        <f>'סיכום לועדה- הזנת נתונים'!L55</f>
        <v/>
      </c>
      <c r="M55" s="318" t="str">
        <f>'סיכום לועדה- הזנת נתונים'!M55</f>
        <v/>
      </c>
      <c r="N55" s="319" t="str">
        <f>'סיכום לועדה- הזנת נתונים'!N55</f>
        <v/>
      </c>
      <c r="O55" s="319">
        <f>'סיכום לועדה- הזנת נתונים'!O55</f>
        <v>0</v>
      </c>
      <c r="P55" s="319" t="str">
        <f ca="1">'סיכום לועדה- הזנת נתונים'!P55</f>
        <v/>
      </c>
      <c r="Q55" s="549" t="str">
        <f ca="1">'סיכום לועדה- הזנת נתונים'!Q55</f>
        <v/>
      </c>
      <c r="R55" s="316" t="str">
        <f ca="1">'סיכום לועדה- הזנת נתונים'!R55</f>
        <v/>
      </c>
      <c r="S55" s="316" t="str">
        <f ca="1">'סיכום לועדה- הזנת נתונים'!S55</f>
        <v/>
      </c>
      <c r="T55" s="548">
        <f>'סיכום לועדה- הזנת נתונים'!T55</f>
        <v>0</v>
      </c>
      <c r="U55" s="548">
        <f>'סיכום לועדה- הזנת נתונים'!U55</f>
        <v>0</v>
      </c>
    </row>
    <row r="56" spans="2:21" x14ac:dyDescent="0.25">
      <c r="B56" s="315" t="str">
        <f t="shared" ca="1" si="2"/>
        <v/>
      </c>
      <c r="C56" s="426" t="str">
        <f ca="1">'סיכום לועדה- הזנת נתונים'!C56</f>
        <v/>
      </c>
      <c r="D56" s="316">
        <f>'סיכום לועדה- הזנת נתונים'!D56</f>
        <v>0</v>
      </c>
      <c r="E56" s="316">
        <f>'סיכום לועדה- הזנת נתונים'!E56</f>
        <v>0</v>
      </c>
      <c r="F56" s="316">
        <f>'סיכום לועדה- הזנת נתונים'!F56</f>
        <v>0</v>
      </c>
      <c r="G56" s="316" t="str">
        <f ca="1">'סיכום לועדה- הזנת נתונים'!G56</f>
        <v/>
      </c>
      <c r="H56" s="316" t="str">
        <f>'סיכום לועדה- הזנת נתונים'!H56</f>
        <v/>
      </c>
      <c r="I56" s="545" t="str">
        <f>'סיכום לועדה- הזנת נתונים'!I56</f>
        <v/>
      </c>
      <c r="J56" s="545" t="str">
        <f>'סיכום לועדה- הזנת נתונים'!J56</f>
        <v/>
      </c>
      <c r="K56" s="545" t="str">
        <f>'סיכום לועדה- הזנת נתונים'!K56</f>
        <v/>
      </c>
      <c r="L56" s="317" t="str">
        <f>'סיכום לועדה- הזנת נתונים'!L56</f>
        <v/>
      </c>
      <c r="M56" s="318" t="str">
        <f>'סיכום לועדה- הזנת נתונים'!M56</f>
        <v/>
      </c>
      <c r="N56" s="319" t="str">
        <f>'סיכום לועדה- הזנת נתונים'!N56</f>
        <v/>
      </c>
      <c r="O56" s="319">
        <f>'סיכום לועדה- הזנת נתונים'!O56</f>
        <v>0</v>
      </c>
      <c r="P56" s="319" t="str">
        <f ca="1">'סיכום לועדה- הזנת נתונים'!P56</f>
        <v/>
      </c>
      <c r="Q56" s="549" t="str">
        <f ca="1">'סיכום לועדה- הזנת נתונים'!Q56</f>
        <v/>
      </c>
      <c r="R56" s="316" t="str">
        <f ca="1">'סיכום לועדה- הזנת נתונים'!R56</f>
        <v/>
      </c>
      <c r="S56" s="316" t="str">
        <f ca="1">'סיכום לועדה- הזנת נתונים'!S56</f>
        <v/>
      </c>
      <c r="T56" s="548">
        <f>'סיכום לועדה- הזנת נתונים'!T56</f>
        <v>0</v>
      </c>
      <c r="U56" s="548">
        <f>'סיכום לועדה- הזנת נתונים'!U56</f>
        <v>0</v>
      </c>
    </row>
    <row r="57" spans="2:21" x14ac:dyDescent="0.25">
      <c r="B57" s="315" t="str">
        <f t="shared" ca="1" si="2"/>
        <v/>
      </c>
      <c r="C57" s="426" t="str">
        <f ca="1">'סיכום לועדה- הזנת נתונים'!C57</f>
        <v/>
      </c>
      <c r="D57" s="316">
        <f>'סיכום לועדה- הזנת נתונים'!D57</f>
        <v>0</v>
      </c>
      <c r="E57" s="316">
        <f>'סיכום לועדה- הזנת נתונים'!E57</f>
        <v>0</v>
      </c>
      <c r="F57" s="316">
        <f>'סיכום לועדה- הזנת נתונים'!F57</f>
        <v>0</v>
      </c>
      <c r="G57" s="316" t="str">
        <f ca="1">'סיכום לועדה- הזנת נתונים'!G57</f>
        <v/>
      </c>
      <c r="H57" s="316" t="str">
        <f>'סיכום לועדה- הזנת נתונים'!H57</f>
        <v/>
      </c>
      <c r="I57" s="545" t="str">
        <f>'סיכום לועדה- הזנת נתונים'!I57</f>
        <v/>
      </c>
      <c r="J57" s="545" t="str">
        <f>'סיכום לועדה- הזנת נתונים'!J57</f>
        <v/>
      </c>
      <c r="K57" s="545" t="str">
        <f>'סיכום לועדה- הזנת נתונים'!K57</f>
        <v/>
      </c>
      <c r="L57" s="317" t="str">
        <f>'סיכום לועדה- הזנת נתונים'!L57</f>
        <v/>
      </c>
      <c r="M57" s="318" t="str">
        <f>'סיכום לועדה- הזנת נתונים'!M57</f>
        <v/>
      </c>
      <c r="N57" s="319" t="str">
        <f>'סיכום לועדה- הזנת נתונים'!N57</f>
        <v/>
      </c>
      <c r="O57" s="319">
        <f>'סיכום לועדה- הזנת נתונים'!O57</f>
        <v>0</v>
      </c>
      <c r="P57" s="319" t="str">
        <f ca="1">'סיכום לועדה- הזנת נתונים'!P57</f>
        <v/>
      </c>
      <c r="Q57" s="549" t="str">
        <f ca="1">'סיכום לועדה- הזנת נתונים'!Q57</f>
        <v/>
      </c>
      <c r="R57" s="316" t="str">
        <f ca="1">'סיכום לועדה- הזנת נתונים'!R57</f>
        <v/>
      </c>
      <c r="S57" s="316" t="str">
        <f ca="1">'סיכום לועדה- הזנת נתונים'!S57</f>
        <v/>
      </c>
      <c r="T57" s="548">
        <f>'סיכום לועדה- הזנת נתונים'!T57</f>
        <v>0</v>
      </c>
      <c r="U57" s="548">
        <f>'סיכום לועדה- הזנת נתונים'!U57</f>
        <v>0</v>
      </c>
    </row>
    <row r="58" spans="2:21" x14ac:dyDescent="0.25">
      <c r="B58" s="315" t="str">
        <f t="shared" ca="1" si="2"/>
        <v/>
      </c>
      <c r="C58" s="426" t="str">
        <f ca="1">'סיכום לועדה- הזנת נתונים'!C58</f>
        <v/>
      </c>
      <c r="D58" s="316">
        <f>'סיכום לועדה- הזנת נתונים'!D58</f>
        <v>0</v>
      </c>
      <c r="E58" s="316">
        <f>'סיכום לועדה- הזנת נתונים'!E58</f>
        <v>0</v>
      </c>
      <c r="F58" s="316">
        <f>'סיכום לועדה- הזנת נתונים'!F58</f>
        <v>0</v>
      </c>
      <c r="G58" s="316" t="str">
        <f ca="1">'סיכום לועדה- הזנת נתונים'!G58</f>
        <v/>
      </c>
      <c r="H58" s="316" t="str">
        <f>'סיכום לועדה- הזנת נתונים'!H58</f>
        <v/>
      </c>
      <c r="I58" s="545" t="str">
        <f>'סיכום לועדה- הזנת נתונים'!I58</f>
        <v/>
      </c>
      <c r="J58" s="545" t="str">
        <f>'סיכום לועדה- הזנת נתונים'!J58</f>
        <v/>
      </c>
      <c r="K58" s="545" t="str">
        <f>'סיכום לועדה- הזנת נתונים'!K58</f>
        <v/>
      </c>
      <c r="L58" s="317" t="str">
        <f>'סיכום לועדה- הזנת נתונים'!L58</f>
        <v/>
      </c>
      <c r="M58" s="318" t="str">
        <f>'סיכום לועדה- הזנת נתונים'!M58</f>
        <v/>
      </c>
      <c r="N58" s="319" t="str">
        <f>'סיכום לועדה- הזנת נתונים'!N58</f>
        <v/>
      </c>
      <c r="O58" s="319">
        <f>'סיכום לועדה- הזנת נתונים'!O58</f>
        <v>0</v>
      </c>
      <c r="P58" s="319" t="str">
        <f ca="1">'סיכום לועדה- הזנת נתונים'!P58</f>
        <v/>
      </c>
      <c r="Q58" s="549" t="str">
        <f ca="1">'סיכום לועדה- הזנת נתונים'!Q58</f>
        <v/>
      </c>
      <c r="R58" s="316" t="str">
        <f ca="1">'סיכום לועדה- הזנת נתונים'!R58</f>
        <v/>
      </c>
      <c r="S58" s="316" t="str">
        <f ca="1">'סיכום לועדה- הזנת נתונים'!S58</f>
        <v/>
      </c>
      <c r="T58" s="548">
        <f>'סיכום לועדה- הזנת נתונים'!T58</f>
        <v>0</v>
      </c>
      <c r="U58" s="548">
        <f>'סיכום לועדה- הזנת נתונים'!U58</f>
        <v>0</v>
      </c>
    </row>
    <row r="59" spans="2:21" ht="31.5" x14ac:dyDescent="0.25">
      <c r="B59" s="315">
        <f t="shared" ca="1" si="2"/>
        <v>29</v>
      </c>
      <c r="C59" s="426" t="str">
        <f ca="1">'סיכום לועדה- הזנת נתונים'!C59</f>
        <v>גופא (נתיב האומן )</v>
      </c>
      <c r="D59" s="316">
        <f>'סיכום לועדה- הזנת נתונים'!D59</f>
        <v>1001835845</v>
      </c>
      <c r="E59" s="316">
        <f>'סיכום לועדה- הזנת נתונים'!E59</f>
        <v>1001774183</v>
      </c>
      <c r="F59" s="316">
        <f>'סיכום לועדה- הזנת נתונים'!F59</f>
        <v>2020</v>
      </c>
      <c r="G59" s="316">
        <f ca="1">'סיכום לועדה- הזנת נתונים'!G59</f>
        <v>1</v>
      </c>
      <c r="H59" s="316" t="str">
        <f>'סיכום לועדה- הזנת נתונים'!H59</f>
        <v/>
      </c>
      <c r="I59" s="545" t="str">
        <f>'סיכום לועדה- הזנת נתונים'!I59</f>
        <v>2025</v>
      </c>
      <c r="J59" s="545">
        <f>'סיכום לועדה- הזנת נתונים'!J59</f>
        <v>41484317</v>
      </c>
      <c r="K59" s="545">
        <f>'סיכום לועדה- הזנת נתונים'!K59</f>
        <v>580107977</v>
      </c>
      <c r="L59" s="317" t="str">
        <f>'סיכום לועדה- הזנת נתונים'!L59</f>
        <v>קידום נתיב האמן (ע"ר)</v>
      </c>
      <c r="M59" s="318" t="str">
        <f>'סיכום לועדה- הזנת נתונים'!M59</f>
        <v>גופא - כתב עת</v>
      </c>
      <c r="N59" s="319">
        <f>'סיכום לועדה- הזנת נתונים'!N59</f>
        <v>250000</v>
      </c>
      <c r="O59" s="319">
        <f>'סיכום לועדה- הזנת נתונים'!O59</f>
        <v>39915</v>
      </c>
      <c r="P59" s="319">
        <f ca="1">'סיכום לועדה- הזנת נתונים'!P59</f>
        <v>44776.872485815889</v>
      </c>
      <c r="Q59" s="549">
        <f ca="1">'סיכום לועדה- הזנת נתונים'!Q59</f>
        <v>0.12180564914984071</v>
      </c>
      <c r="R59" s="316">
        <f ca="1">'סיכום לועדה- הזנת נתונים'!R59</f>
        <v>0</v>
      </c>
      <c r="S59" s="316">
        <f ca="1">'סיכום לועדה- הזנת נתונים'!S59</f>
        <v>0</v>
      </c>
      <c r="T59" s="548" t="str">
        <f>'סיכום לועדה- הזנת נתונים'!T59</f>
        <v>עליה קלה במשתנה היקף החוברות והפצת כתב העת</v>
      </c>
      <c r="U59" s="548" t="str">
        <f>'סיכום לועדה- הזנת נתונים'!U59</f>
        <v>מומלץ לתמיכה</v>
      </c>
    </row>
    <row r="60" spans="2:21" x14ac:dyDescent="0.25">
      <c r="B60" s="315">
        <f t="shared" ca="1" si="2"/>
        <v>30</v>
      </c>
      <c r="C60" s="426" t="str">
        <f ca="1">'סיכום לועדה- הזנת נתונים'!C60</f>
        <v>ערב רב (בר קיימא)</v>
      </c>
      <c r="D60" s="316">
        <f>'סיכום לועדה- הזנת נתונים'!D60</f>
        <v>1001843817</v>
      </c>
      <c r="E60" s="316">
        <f>'סיכום לועדה- הזנת נתונים'!E60</f>
        <v>1001734702</v>
      </c>
      <c r="F60" s="316">
        <f>'סיכום לועדה- הזנת נתונים'!F60</f>
        <v>2020</v>
      </c>
      <c r="G60" s="316">
        <f ca="1">'סיכום לועדה- הזנת נתונים'!G60</f>
        <v>1</v>
      </c>
      <c r="H60" s="316" t="str">
        <f>'סיכום לועדה- הזנת נתונים'!H60</f>
        <v/>
      </c>
      <c r="I60" s="545" t="str">
        <f>'סיכום לועדה- הזנת נתונים'!I60</f>
        <v>2025</v>
      </c>
      <c r="J60" s="545">
        <f>'סיכום לועדה- הזנת נתונים'!J60</f>
        <v>41099000</v>
      </c>
      <c r="K60" s="545">
        <f>'סיכום לועדה- הזנת נתונים'!K60</f>
        <v>580450898</v>
      </c>
      <c r="L60" s="317" t="str">
        <f>'סיכום לועדה- הזנת נתונים'!L60</f>
        <v>בר-קיימא לתרבות, אמנות, מוסיקה ושלו</v>
      </c>
      <c r="M60" s="318" t="str">
        <f>'סיכום לועדה- הזנת נתונים'!M60</f>
        <v>ערב-רב: כתב עת לאמנות 2025</v>
      </c>
      <c r="N60" s="319">
        <f>'סיכום לועדה- הזנת נתונים'!N60</f>
        <v>150000</v>
      </c>
      <c r="O60" s="319">
        <f>'סיכום לועדה- הזנת נתונים'!O60</f>
        <v>66237</v>
      </c>
      <c r="P60" s="319">
        <f ca="1">'סיכום לועדה- הזנת נתונים'!P60</f>
        <v>65881.953579386216</v>
      </c>
      <c r="Q60" s="549">
        <f ca="1">'סיכום לועדה- הזנת נתונים'!Q60</f>
        <v>-5.3602430758304953E-3</v>
      </c>
      <c r="R60" s="316">
        <f ca="1">'סיכום לועדה- הזנת נתונים'!R60</f>
        <v>0</v>
      </c>
      <c r="S60" s="316">
        <f ca="1">'סיכום לועדה- הזנת נתונים'!S60</f>
        <v>0</v>
      </c>
      <c r="T60" s="548">
        <f>'סיכום לועדה- הזנת נתונים'!T60</f>
        <v>0</v>
      </c>
      <c r="U60" s="548" t="str">
        <f>'סיכום לועדה- הזנת נתונים'!U60</f>
        <v>מומלץ לתמיכה</v>
      </c>
    </row>
    <row r="61" spans="2:21" x14ac:dyDescent="0.25">
      <c r="B61" s="315" t="str">
        <f t="shared" ca="1" si="2"/>
        <v/>
      </c>
      <c r="C61" s="316" t="str">
        <f ca="1">'סיכום לועדה- הזנת נתונים'!C61</f>
        <v/>
      </c>
      <c r="D61" s="316">
        <f>'סיכום לועדה- הזנת נתונים'!D61</f>
        <v>0</v>
      </c>
      <c r="E61" s="316">
        <f>'סיכום לועדה- הזנת נתונים'!E61</f>
        <v>0</v>
      </c>
      <c r="F61" s="316">
        <f>'סיכום לועדה- הזנת נתונים'!F61</f>
        <v>0</v>
      </c>
      <c r="G61" s="316" t="str">
        <f ca="1">'סיכום לועדה- הזנת נתונים'!G61</f>
        <v/>
      </c>
      <c r="H61" s="316" t="str">
        <f>'סיכום לועדה- הזנת נתונים'!H61</f>
        <v/>
      </c>
      <c r="I61" s="545" t="str">
        <f>'סיכום לועדה- הזנת נתונים'!I61</f>
        <v/>
      </c>
      <c r="J61" s="545" t="str">
        <f>'סיכום לועדה- הזנת נתונים'!J61</f>
        <v/>
      </c>
      <c r="K61" s="545" t="str">
        <f>'סיכום לועדה- הזנת נתונים'!K61</f>
        <v/>
      </c>
      <c r="L61" s="317" t="str">
        <f>'סיכום לועדה- הזנת נתונים'!L61</f>
        <v/>
      </c>
      <c r="M61" s="318" t="str">
        <f>'סיכום לועדה- הזנת נתונים'!M61</f>
        <v/>
      </c>
      <c r="N61" s="319" t="str">
        <f>'סיכום לועדה- הזנת נתונים'!N61</f>
        <v/>
      </c>
      <c r="O61" s="319">
        <f>'סיכום לועדה- הזנת נתונים'!O61</f>
        <v>0</v>
      </c>
      <c r="P61" s="319" t="str">
        <f ca="1">'סיכום לועדה- הזנת נתונים'!P61</f>
        <v/>
      </c>
      <c r="Q61" s="549" t="str">
        <f ca="1">'סיכום לועדה- הזנת נתונים'!Q61</f>
        <v/>
      </c>
      <c r="R61" s="316" t="str">
        <f ca="1">'סיכום לועדה- הזנת נתונים'!R61</f>
        <v/>
      </c>
      <c r="S61" s="316" t="str">
        <f ca="1">'סיכום לועדה- הזנת נתונים'!S61</f>
        <v/>
      </c>
      <c r="T61" s="548">
        <f>'סיכום לועדה- הזנת נתונים'!T61</f>
        <v>0</v>
      </c>
      <c r="U61" s="548">
        <f>'סיכום לועדה- הזנת נתונים'!U61</f>
        <v>0</v>
      </c>
    </row>
    <row r="62" spans="2:21" ht="31.5" x14ac:dyDescent="0.25">
      <c r="B62" s="315">
        <f t="shared" ca="1" si="2"/>
        <v>32</v>
      </c>
      <c r="C62" s="316" t="str">
        <f ca="1">'סיכום לועדה- הזנת נתונים'!C62</f>
        <v>מעלה</v>
      </c>
      <c r="D62" s="316">
        <f>'סיכום לועדה- הזנת נתונים'!D62</f>
        <v>1001843999</v>
      </c>
      <c r="E62" s="316">
        <f>'סיכום לועדה- הזנת נתונים'!E62</f>
        <v>1001722721</v>
      </c>
      <c r="F62" s="316">
        <f>'סיכום לועדה- הזנת נתונים'!F62</f>
        <v>2020</v>
      </c>
      <c r="G62" s="316">
        <f ca="1">'סיכום לועדה- הזנת נתונים'!G62</f>
        <v>1</v>
      </c>
      <c r="H62" s="316" t="str">
        <f>'סיכום לועדה- הזנת נתונים'!H62</f>
        <v/>
      </c>
      <c r="I62" s="545" t="str">
        <f>'סיכום לועדה- הזנת נתונים'!I62</f>
        <v>2025</v>
      </c>
      <c r="J62" s="545">
        <f>'סיכום לועדה- הזנת נתונים'!J62</f>
        <v>40989613</v>
      </c>
      <c r="K62" s="545">
        <f>'סיכום לועדה- הזנת נתונים'!K62</f>
        <v>580537041</v>
      </c>
      <c r="L62" s="317" t="str">
        <f>'סיכום לועדה- הזנת נתונים'!L62</f>
        <v>מקום לשירה (ע"ר)</v>
      </c>
      <c r="M62" s="318" t="str">
        <f>'סיכום לועדה- הזנת נתונים'!M62</f>
        <v>תמיכה בכתב העת "מעלה"</v>
      </c>
      <c r="N62" s="319">
        <f>'סיכום לועדה- הזנת נתונים'!N62</f>
        <v>150000</v>
      </c>
      <c r="O62" s="319">
        <f>'סיכום לועדה- הזנת נתונים'!O62</f>
        <v>80000</v>
      </c>
      <c r="P62" s="319">
        <f ca="1">'סיכום לועדה- הזנת נתונים'!P62</f>
        <v>120113.02039153692</v>
      </c>
      <c r="Q62" s="549">
        <f ca="1">'סיכום לועדה- הזנת נתונים'!Q62</f>
        <v>0.50141275489421155</v>
      </c>
      <c r="R62" s="316">
        <f ca="1">'סיכום לועדה- הזנת נתונים'!R62</f>
        <v>0</v>
      </c>
      <c r="S62" s="316">
        <f ca="1">'סיכום לועדה- הזנת נתונים'!S62</f>
        <v>0</v>
      </c>
      <c r="T62" s="548" t="str">
        <f>'סיכום לועדה- הזנת נתונים'!T62</f>
        <v>שנה קודמת נתמך לראשונה והיה מוגבל בסום מבוקש</v>
      </c>
      <c r="U62" s="548" t="str">
        <f>'סיכום לועדה- הזנת נתונים'!U62</f>
        <v>מומלץ לתמיכה</v>
      </c>
    </row>
    <row r="63" spans="2:21" x14ac:dyDescent="0.25">
      <c r="B63" s="315" t="str">
        <f t="shared" ca="1" si="2"/>
        <v/>
      </c>
      <c r="C63" s="316" t="str">
        <f ca="1">'סיכום לועדה- הזנת נתונים'!C63</f>
        <v/>
      </c>
      <c r="D63" s="316">
        <f>'סיכום לועדה- הזנת נתונים'!D63</f>
        <v>0</v>
      </c>
      <c r="E63" s="316">
        <f>'סיכום לועדה- הזנת נתונים'!E63</f>
        <v>0</v>
      </c>
      <c r="F63" s="316">
        <f>'סיכום לועדה- הזנת נתונים'!F63</f>
        <v>0</v>
      </c>
      <c r="G63" s="316" t="str">
        <f ca="1">'סיכום לועדה- הזנת נתונים'!G63</f>
        <v/>
      </c>
      <c r="H63" s="316" t="str">
        <f>'סיכום לועדה- הזנת נתונים'!H63</f>
        <v/>
      </c>
      <c r="I63" s="545" t="str">
        <f>'סיכום לועדה- הזנת נתונים'!I63</f>
        <v/>
      </c>
      <c r="J63" s="545" t="str">
        <f>'סיכום לועדה- הזנת נתונים'!J63</f>
        <v/>
      </c>
      <c r="K63" s="545" t="str">
        <f>'סיכום לועדה- הזנת נתונים'!K63</f>
        <v/>
      </c>
      <c r="L63" s="317" t="str">
        <f>'סיכום לועדה- הזנת נתונים'!L63</f>
        <v/>
      </c>
      <c r="M63" s="318" t="str">
        <f>'סיכום לועדה- הזנת נתונים'!M63</f>
        <v/>
      </c>
      <c r="N63" s="319" t="str">
        <f>'סיכום לועדה- הזנת נתונים'!N63</f>
        <v/>
      </c>
      <c r="O63" s="319">
        <f>'סיכום לועדה- הזנת נתונים'!O63</f>
        <v>0</v>
      </c>
      <c r="P63" s="319" t="str">
        <f ca="1">'סיכום לועדה- הזנת נתונים'!P63</f>
        <v/>
      </c>
      <c r="Q63" s="549" t="str">
        <f ca="1">'סיכום לועדה- הזנת נתונים'!Q63</f>
        <v/>
      </c>
      <c r="R63" s="316" t="str">
        <f ca="1">'סיכום לועדה- הזנת נתונים'!R63</f>
        <v/>
      </c>
      <c r="S63" s="316" t="str">
        <f ca="1">'סיכום לועדה- הזנת נתונים'!S63</f>
        <v/>
      </c>
      <c r="T63" s="548">
        <f>'סיכום לועדה- הזנת נתונים'!T63</f>
        <v>0</v>
      </c>
      <c r="U63" s="548">
        <f>'סיכום לועדה- הזנת נתונים'!U63</f>
        <v>0</v>
      </c>
    </row>
    <row r="64" spans="2:21" x14ac:dyDescent="0.25">
      <c r="B64" s="315">
        <f t="shared" ca="1" si="2"/>
        <v>34</v>
      </c>
      <c r="C64" s="316" t="str">
        <f ca="1">'סיכום לועדה- הזנת נתונים'!C64</f>
        <v>כתב עת ירושלמי</v>
      </c>
      <c r="D64" s="316">
        <f>'סיכום לועדה- הזנת נתונים'!D64</f>
        <v>1001854363</v>
      </c>
      <c r="E64" s="316">
        <f>'סיכום לועדה- הזנת נתונים'!E64</f>
        <v>1001778148</v>
      </c>
      <c r="F64" s="316">
        <f>'סיכום לועדה- הזנת נתונים'!F64</f>
        <v>2020</v>
      </c>
      <c r="G64" s="316">
        <f ca="1">'סיכום לועדה- הזנת נתונים'!G64</f>
        <v>1</v>
      </c>
      <c r="H64" s="316" t="str">
        <f>'סיכום לועדה- הזנת נתונים'!H64</f>
        <v/>
      </c>
      <c r="I64" s="545" t="str">
        <f>'סיכום לועדה- הזנת נתונים'!I64</f>
        <v>2025</v>
      </c>
      <c r="J64" s="545">
        <f>'סיכום לועדה- הזנת נתונים'!J64</f>
        <v>40000230</v>
      </c>
      <c r="K64" s="545">
        <f>'סיכום לועדה- הזנת נתונים'!K64</f>
        <v>580310878</v>
      </c>
      <c r="L64" s="317" t="str">
        <f>'סיכום לועדה- הזנת נתונים'!L64</f>
        <v>בית מורשת אורי צבי גרינברג (ע"ר)</v>
      </c>
      <c r="M64" s="318" t="str">
        <f>'סיכום לועדה- הזנת נתונים'!M64</f>
        <v>כתב עת ירושלמי 2025</v>
      </c>
      <c r="N64" s="319">
        <f>'סיכום לועדה- הזנת נתונים'!N64</f>
        <v>200000</v>
      </c>
      <c r="O64" s="319">
        <f>'סיכום לועדה- הזנת נתונים'!O64</f>
        <v>65526</v>
      </c>
      <c r="P64" s="319">
        <f ca="1">'סיכום לועדה- הזנת נתונים'!P64</f>
        <v>59854.236223549691</v>
      </c>
      <c r="Q64" s="549">
        <f ca="1">'סיכום לועדה- הזנת נתונים'!Q64</f>
        <v>-8.6557454696613689E-2</v>
      </c>
      <c r="R64" s="316">
        <f ca="1">'סיכום לועדה- הזנת נתונים'!R64</f>
        <v>0</v>
      </c>
      <c r="S64" s="316">
        <f ca="1">'סיכום לועדה- הזנת נתונים'!S64</f>
        <v>0</v>
      </c>
      <c r="T64" s="548">
        <f>'סיכום לועדה- הזנת נתונים'!T64</f>
        <v>0</v>
      </c>
      <c r="U64" s="548" t="str">
        <f>'סיכום לועדה- הזנת נתונים'!U64</f>
        <v>מומלץ לתמיכה</v>
      </c>
    </row>
    <row r="65" spans="2:21" x14ac:dyDescent="0.25">
      <c r="B65" s="315" t="str">
        <f t="shared" ca="1" si="2"/>
        <v/>
      </c>
      <c r="C65" s="316" t="str">
        <f ca="1">'סיכום לועדה- הזנת נתונים'!C65</f>
        <v/>
      </c>
      <c r="D65" s="316">
        <f>'סיכום לועדה- הזנת נתונים'!D65</f>
        <v>0</v>
      </c>
      <c r="E65" s="316">
        <f>'סיכום לועדה- הזנת נתונים'!E65</f>
        <v>0</v>
      </c>
      <c r="F65" s="316">
        <f>'סיכום לועדה- הזנת נתונים'!F65</f>
        <v>0</v>
      </c>
      <c r="G65" s="316" t="str">
        <f ca="1">'סיכום לועדה- הזנת נתונים'!G65</f>
        <v/>
      </c>
      <c r="H65" s="316" t="str">
        <f>'סיכום לועדה- הזנת נתונים'!H65</f>
        <v/>
      </c>
      <c r="I65" s="545" t="str">
        <f>'סיכום לועדה- הזנת נתונים'!I65</f>
        <v/>
      </c>
      <c r="J65" s="545" t="str">
        <f>'סיכום לועדה- הזנת נתונים'!J65</f>
        <v/>
      </c>
      <c r="K65" s="545" t="str">
        <f>'סיכום לועדה- הזנת נתונים'!K65</f>
        <v/>
      </c>
      <c r="L65" s="317" t="str">
        <f>'סיכום לועדה- הזנת נתונים'!L65</f>
        <v/>
      </c>
      <c r="M65" s="318" t="str">
        <f>'סיכום לועדה- הזנת נתונים'!M65</f>
        <v/>
      </c>
      <c r="N65" s="319" t="str">
        <f>'סיכום לועדה- הזנת נתונים'!N65</f>
        <v/>
      </c>
      <c r="O65" s="319">
        <f>'סיכום לועדה- הזנת נתונים'!O65</f>
        <v>0</v>
      </c>
      <c r="P65" s="319" t="str">
        <f ca="1">'סיכום לועדה- הזנת נתונים'!P65</f>
        <v/>
      </c>
      <c r="Q65" s="549" t="str">
        <f ca="1">'סיכום לועדה- הזנת נתונים'!Q65</f>
        <v/>
      </c>
      <c r="R65" s="316" t="str">
        <f ca="1">'סיכום לועדה- הזנת נתונים'!R65</f>
        <v/>
      </c>
      <c r="S65" s="316" t="str">
        <f ca="1">'סיכום לועדה- הזנת נתונים'!S65</f>
        <v/>
      </c>
      <c r="T65" s="548">
        <f>'סיכום לועדה- הזנת נתונים'!T65</f>
        <v>0</v>
      </c>
      <c r="U65" s="548">
        <f>'סיכום לועדה- הזנת נתונים'!U65</f>
        <v>0</v>
      </c>
    </row>
    <row r="66" spans="2:21" x14ac:dyDescent="0.25">
      <c r="B66" s="315">
        <f t="shared" ca="1" si="2"/>
        <v>36</v>
      </c>
      <c r="C66" s="316" t="str">
        <f ca="1">'סיכום לועדה- הזנת נתונים'!C66</f>
        <v>העמותה ליצירה פנטסטית- אוטופיה</v>
      </c>
      <c r="D66" s="316">
        <f>'סיכום לועדה- הזנת נתונים'!D66</f>
        <v>1001843916</v>
      </c>
      <c r="E66" s="316">
        <f>'סיכום לועדה- הזנת נתונים'!E66</f>
        <v>0</v>
      </c>
      <c r="F66" s="316">
        <f>'סיכום לועדה- הזנת נתונים'!F66</f>
        <v>0</v>
      </c>
      <c r="G66" s="316">
        <f ca="1">'סיכום לועדה- הזנת נתונים'!G66</f>
        <v>1</v>
      </c>
      <c r="H66" s="316" t="str">
        <f>'סיכום לועדה- הזנת נתונים'!H66</f>
        <v>no</v>
      </c>
      <c r="I66" s="545" t="str">
        <f>'סיכום לועדה- הזנת נתונים'!I66</f>
        <v>2025</v>
      </c>
      <c r="J66" s="545">
        <f>'סיכום לועדה- הזנת נתונים'!J66</f>
        <v>41375690</v>
      </c>
      <c r="K66" s="545">
        <f>'סיכום לועדה- הזנת נתונים'!K66</f>
        <v>580520864</v>
      </c>
      <c r="L66" s="317" t="str">
        <f>'סיכום לועדה- הזנת נתונים'!L66</f>
        <v>העמותה ליצירה פנטסטית וספקולטיבית ב</v>
      </c>
      <c r="M66" s="318" t="str">
        <f>'סיכום לועדה- הזנת נתונים'!M66</f>
        <v>אוטופיה כתבי עת</v>
      </c>
      <c r="N66" s="319">
        <f>'סיכום לועדה- הזנת נתונים'!N66</f>
        <v>100000</v>
      </c>
      <c r="O66" s="319">
        <f>'סיכום לועדה- הזנת נתונים'!O66</f>
        <v>0</v>
      </c>
      <c r="P66" s="319">
        <f ca="1">'סיכום לועדה- הזנת נתונים'!P66</f>
        <v>75197.68799256481</v>
      </c>
      <c r="Q66" s="549" t="str">
        <f ca="1">'סיכום לועדה- הזנת נתונים'!Q66</f>
        <v/>
      </c>
      <c r="R66" s="316">
        <f ca="1">'סיכום לועדה- הזנת נתונים'!R66</f>
        <v>0</v>
      </c>
      <c r="S66" s="316">
        <f ca="1">'סיכום לועדה- הזנת נתונים'!S66</f>
        <v>0</v>
      </c>
      <c r="T66" s="548">
        <f>'סיכום לועדה- הזנת נתונים'!T66</f>
        <v>0</v>
      </c>
      <c r="U66" s="548" t="str">
        <f>'סיכום לועדה- הזנת נתונים'!U66</f>
        <v>גוף חדש - מומלץ לתמיכה</v>
      </c>
    </row>
    <row r="67" spans="2:21" x14ac:dyDescent="0.25">
      <c r="B67" s="315" t="str">
        <f t="shared" ca="1" si="2"/>
        <v/>
      </c>
      <c r="C67" s="316" t="str">
        <f ca="1">'סיכום לועדה- הזנת נתונים'!C67</f>
        <v/>
      </c>
      <c r="D67" s="316">
        <f>'סיכום לועדה- הזנת נתונים'!D67</f>
        <v>0</v>
      </c>
      <c r="E67" s="316">
        <f>'סיכום לועדה- הזנת נתונים'!E67</f>
        <v>0</v>
      </c>
      <c r="F67" s="316">
        <f>'סיכום לועדה- הזנת נתונים'!F67</f>
        <v>0</v>
      </c>
      <c r="G67" s="316" t="str">
        <f ca="1">'סיכום לועדה- הזנת נתונים'!G67</f>
        <v/>
      </c>
      <c r="H67" s="316" t="str">
        <f>'סיכום לועדה- הזנת נתונים'!H67</f>
        <v/>
      </c>
      <c r="I67" s="545" t="str">
        <f>'סיכום לועדה- הזנת נתונים'!I67</f>
        <v/>
      </c>
      <c r="J67" s="545" t="str">
        <f>'סיכום לועדה- הזנת נתונים'!J67</f>
        <v/>
      </c>
      <c r="K67" s="545" t="str">
        <f>'סיכום לועדה- הזנת נתונים'!K67</f>
        <v/>
      </c>
      <c r="L67" s="317" t="str">
        <f>'סיכום לועדה- הזנת נתונים'!L67</f>
        <v/>
      </c>
      <c r="M67" s="318" t="str">
        <f>'סיכום לועדה- הזנת נתונים'!M67</f>
        <v/>
      </c>
      <c r="N67" s="319" t="str">
        <f>'סיכום לועדה- הזנת נתונים'!N67</f>
        <v/>
      </c>
      <c r="O67" s="319">
        <f>'סיכום לועדה- הזנת נתונים'!O67</f>
        <v>0</v>
      </c>
      <c r="P67" s="319" t="str">
        <f ca="1">'סיכום לועדה- הזנת נתונים'!P67</f>
        <v/>
      </c>
      <c r="Q67" s="549" t="str">
        <f ca="1">'סיכום לועדה- הזנת נתונים'!Q67</f>
        <v/>
      </c>
      <c r="R67" s="316" t="str">
        <f ca="1">'סיכום לועדה- הזנת נתונים'!R67</f>
        <v/>
      </c>
      <c r="S67" s="316" t="str">
        <f ca="1">'סיכום לועדה- הזנת נתונים'!S67</f>
        <v/>
      </c>
      <c r="T67" s="548">
        <f>'סיכום לועדה- הזנת נתונים'!T67</f>
        <v>0</v>
      </c>
      <c r="U67" s="548">
        <f>'סיכום לועדה- הזנת נתונים'!U67</f>
        <v>0</v>
      </c>
    </row>
    <row r="68" spans="2:21" x14ac:dyDescent="0.25">
      <c r="B68" s="315" t="str">
        <f t="shared" ca="1" si="2"/>
        <v/>
      </c>
      <c r="C68" s="316" t="str">
        <f ca="1">'סיכום לועדה- הזנת נתונים'!C68</f>
        <v/>
      </c>
      <c r="D68" s="316">
        <f>'סיכום לועדה- הזנת נתונים'!D68</f>
        <v>0</v>
      </c>
      <c r="E68" s="316">
        <f>'סיכום לועדה- הזנת נתונים'!E68</f>
        <v>0</v>
      </c>
      <c r="F68" s="316">
        <f>'סיכום לועדה- הזנת נתונים'!F68</f>
        <v>0</v>
      </c>
      <c r="G68" s="316" t="str">
        <f ca="1">'סיכום לועדה- הזנת נתונים'!G68</f>
        <v/>
      </c>
      <c r="H68" s="316" t="str">
        <f>'סיכום לועדה- הזנת נתונים'!H68</f>
        <v/>
      </c>
      <c r="I68" s="545" t="str">
        <f>'סיכום לועדה- הזנת נתונים'!I68</f>
        <v/>
      </c>
      <c r="J68" s="545" t="str">
        <f>'סיכום לועדה- הזנת נתונים'!J68</f>
        <v/>
      </c>
      <c r="K68" s="545" t="str">
        <f>'סיכום לועדה- הזנת נתונים'!K68</f>
        <v/>
      </c>
      <c r="L68" s="317" t="str">
        <f>'סיכום לועדה- הזנת נתונים'!L68</f>
        <v/>
      </c>
      <c r="M68" s="318" t="str">
        <f>'סיכום לועדה- הזנת נתונים'!M68</f>
        <v/>
      </c>
      <c r="N68" s="319" t="str">
        <f>'סיכום לועדה- הזנת נתונים'!N68</f>
        <v/>
      </c>
      <c r="O68" s="319">
        <f>'סיכום לועדה- הזנת נתונים'!O68</f>
        <v>0</v>
      </c>
      <c r="P68" s="319" t="str">
        <f ca="1">'סיכום לועדה- הזנת נתונים'!P68</f>
        <v/>
      </c>
      <c r="Q68" s="549" t="str">
        <f ca="1">'סיכום לועדה- הזנת נתונים'!Q68</f>
        <v/>
      </c>
      <c r="R68" s="316" t="str">
        <f ca="1">'סיכום לועדה- הזנת נתונים'!R68</f>
        <v/>
      </c>
      <c r="S68" s="316" t="str">
        <f ca="1">'סיכום לועדה- הזנת נתונים'!S68</f>
        <v/>
      </c>
      <c r="T68" s="548">
        <f>'סיכום לועדה- הזנת נתונים'!T68</f>
        <v>0</v>
      </c>
      <c r="U68" s="548">
        <f>'סיכום לועדה- הזנת נתונים'!U68</f>
        <v>0</v>
      </c>
    </row>
    <row r="69" spans="2:21" x14ac:dyDescent="0.25">
      <c r="B69" s="315" t="str">
        <f t="shared" ca="1" si="2"/>
        <v/>
      </c>
      <c r="C69" s="316" t="str">
        <f ca="1">'סיכום לועדה- הזנת נתונים'!C69</f>
        <v/>
      </c>
      <c r="D69" s="316">
        <f>'סיכום לועדה- הזנת נתונים'!D69</f>
        <v>0</v>
      </c>
      <c r="E69" s="316">
        <f>'סיכום לועדה- הזנת נתונים'!E69</f>
        <v>0</v>
      </c>
      <c r="F69" s="316">
        <f>'סיכום לועדה- הזנת נתונים'!F69</f>
        <v>0</v>
      </c>
      <c r="G69" s="316" t="str">
        <f ca="1">'סיכום לועדה- הזנת נתונים'!G69</f>
        <v/>
      </c>
      <c r="H69" s="316" t="str">
        <f>'סיכום לועדה- הזנת נתונים'!H69</f>
        <v/>
      </c>
      <c r="I69" s="545" t="str">
        <f>'סיכום לועדה- הזנת נתונים'!I69</f>
        <v/>
      </c>
      <c r="J69" s="545" t="str">
        <f>'סיכום לועדה- הזנת נתונים'!J69</f>
        <v/>
      </c>
      <c r="K69" s="545" t="str">
        <f>'סיכום לועדה- הזנת נתונים'!K69</f>
        <v/>
      </c>
      <c r="L69" s="317" t="str">
        <f>'סיכום לועדה- הזנת נתונים'!L69</f>
        <v/>
      </c>
      <c r="M69" s="318" t="str">
        <f>'סיכום לועדה- הזנת נתונים'!M69</f>
        <v/>
      </c>
      <c r="N69" s="319" t="str">
        <f>'סיכום לועדה- הזנת נתונים'!N69</f>
        <v/>
      </c>
      <c r="O69" s="319">
        <f>'סיכום לועדה- הזנת נתונים'!O69</f>
        <v>0</v>
      </c>
      <c r="P69" s="319" t="str">
        <f ca="1">'סיכום לועדה- הזנת נתונים'!P69</f>
        <v/>
      </c>
      <c r="Q69" s="549" t="str">
        <f ca="1">'סיכום לועדה- הזנת נתונים'!Q69</f>
        <v/>
      </c>
      <c r="R69" s="316" t="str">
        <f ca="1">'סיכום לועדה- הזנת נתונים'!R69</f>
        <v/>
      </c>
      <c r="S69" s="316" t="str">
        <f ca="1">'סיכום לועדה- הזנת נתונים'!S69</f>
        <v/>
      </c>
      <c r="T69" s="548">
        <f>'סיכום לועדה- הזנת נתונים'!T69</f>
        <v>0</v>
      </c>
      <c r="U69" s="548">
        <f>'סיכום לועדה- הזנת נתונים'!U69</f>
        <v>0</v>
      </c>
    </row>
    <row r="70" spans="2:21" ht="16.5" thickBot="1" x14ac:dyDescent="0.3">
      <c r="B70" s="315" t="str">
        <f t="shared" ca="1" si="2"/>
        <v/>
      </c>
      <c r="C70" s="316" t="str">
        <f ca="1">'סיכום לועדה- הזנת נתונים'!C70</f>
        <v/>
      </c>
      <c r="D70" s="316">
        <f>'סיכום לועדה- הזנת נתונים'!D70</f>
        <v>0</v>
      </c>
      <c r="E70" s="316">
        <f>'סיכום לועדה- הזנת נתונים'!E70</f>
        <v>0</v>
      </c>
      <c r="F70" s="316">
        <f>'סיכום לועדה- הזנת נתונים'!F70</f>
        <v>0</v>
      </c>
      <c r="G70" s="316" t="str">
        <f ca="1">'סיכום לועדה- הזנת נתונים'!G70</f>
        <v/>
      </c>
      <c r="H70" s="316" t="str">
        <f>'סיכום לועדה- הזנת נתונים'!H70</f>
        <v/>
      </c>
      <c r="I70" s="545" t="str">
        <f>'סיכום לועדה- הזנת נתונים'!I70</f>
        <v/>
      </c>
      <c r="J70" s="545" t="str">
        <f>'סיכום לועדה- הזנת נתונים'!J70</f>
        <v/>
      </c>
      <c r="K70" s="545" t="str">
        <f>'סיכום לועדה- הזנת נתונים'!K70</f>
        <v/>
      </c>
      <c r="L70" s="317" t="str">
        <f>'סיכום לועדה- הזנת נתונים'!L70</f>
        <v/>
      </c>
      <c r="M70" s="318" t="str">
        <f>'סיכום לועדה- הזנת נתונים'!M70</f>
        <v/>
      </c>
      <c r="N70" s="319" t="str">
        <f>'סיכום לועדה- הזנת נתונים'!N70</f>
        <v/>
      </c>
      <c r="O70" s="319">
        <f>'סיכום לועדה- הזנת נתונים'!O70</f>
        <v>0</v>
      </c>
      <c r="P70" s="319" t="str">
        <f ca="1">'סיכום לועדה- הזנת נתונים'!P70</f>
        <v/>
      </c>
      <c r="Q70" s="549" t="str">
        <f ca="1">'סיכום לועדה- הזנת נתונים'!Q70</f>
        <v/>
      </c>
      <c r="R70" s="316" t="str">
        <f ca="1">'סיכום לועדה- הזנת נתונים'!R70</f>
        <v/>
      </c>
      <c r="S70" s="316" t="str">
        <f ca="1">'סיכום לועדה- הזנת נתונים'!S70</f>
        <v/>
      </c>
      <c r="T70" s="548">
        <f>'סיכום לועדה- הזנת נתונים'!T70</f>
        <v>0</v>
      </c>
      <c r="U70" s="548">
        <f>'סיכום לועדה- הזנת נתונים'!U70</f>
        <v>0</v>
      </c>
    </row>
    <row r="71" spans="2:21" ht="20.25" thickTop="1" thickBot="1" x14ac:dyDescent="0.3">
      <c r="B71" s="309" t="s">
        <v>54</v>
      </c>
      <c r="C71" s="310"/>
      <c r="D71" s="311"/>
      <c r="E71" s="303"/>
      <c r="F71" s="303"/>
      <c r="G71" s="303"/>
      <c r="H71" s="304"/>
      <c r="I71" s="546"/>
      <c r="J71" s="546"/>
      <c r="K71" s="546"/>
      <c r="L71" s="305"/>
      <c r="M71" s="305"/>
      <c r="N71" s="305">
        <f>SUM(N31:N70)</f>
        <v>3523000</v>
      </c>
      <c r="O71" s="305">
        <f>SUM(O31:O70)</f>
        <v>1866913</v>
      </c>
      <c r="P71" s="305">
        <f ca="1">SUM(P31:P70)</f>
        <v>1906914</v>
      </c>
      <c r="Q71" s="550"/>
      <c r="R71" s="305">
        <f t="shared" ref="R71:S71" ca="1" si="3">SUM(R31:R70)</f>
        <v>0</v>
      </c>
      <c r="S71" s="305">
        <f t="shared" ca="1" si="3"/>
        <v>0</v>
      </c>
    </row>
    <row r="72" spans="2:21" ht="16.5" thickTop="1" x14ac:dyDescent="0.25"/>
  </sheetData>
  <sheetProtection algorithmName="SHA-512" hashValue="TGp5oro7Do8KP18UWQD0wazqom2sDmmNJxRh6EJA/WAM+L1hHoisuNujJsNBCJhuWPiSozwROulOSH0BRB+w6w==" saltValue="PNAU/l/035fEowsWKoZKag==" spinCount="100000" sheet="1" objects="1" scenarios="1" formatCells="0" formatColumns="0" formatRows="0" autoFilter="0"/>
  <autoFilter ref="A30:W71" xr:uid="{00000000-0001-0000-1800-000000000000}"/>
  <conditionalFormatting sqref="B31:U70">
    <cfRule type="containsBlanks" dxfId="970" priority="5">
      <formula>LEN(TRIM(B31))=0</formula>
    </cfRule>
  </conditionalFormatting>
  <conditionalFormatting sqref="D1:D2">
    <cfRule type="containsBlanks" dxfId="969" priority="1">
      <formula>LEN(TRIM(D1))=0</formula>
    </cfRule>
  </conditionalFormatting>
  <conditionalFormatting sqref="D28:E28">
    <cfRule type="containsBlanks" dxfId="968" priority="3">
      <formula>LEN(TRIM(D28))=0</formula>
    </cfRule>
  </conditionalFormatting>
  <printOptions horizontalCentered="1"/>
  <pageMargins left="0.51181102362204722" right="0.51181102362204722" top="0.74803149606299213" bottom="0.74803149606299213" header="0.31496062992125984" footer="0.31496062992125984"/>
  <pageSetup paperSize="9" scale="35" orientation="landscape" horizontalDpi="1200" verticalDpi="1200" r:id="rId1"/>
  <headerFooter>
    <oddHeader>&amp;C&amp;"-,מודגש"&amp;Uמבחנים לתמיכה של משרד התרבות והספורט</oddHeader>
    <oddFooter>&amp;Lא. חפץ ושות'
יעוץ כלכלי&amp;C&amp;P</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גיליון15">
    <tabColor rgb="FFFFFF00"/>
  </sheetPr>
  <dimension ref="A1:BN51"/>
  <sheetViews>
    <sheetView rightToLeft="1" view="pageBreakPreview" topLeftCell="B1" zoomScaleNormal="100" zoomScaleSheetLayoutView="100" workbookViewId="0">
      <selection sqref="A1:AB1"/>
    </sheetView>
  </sheetViews>
  <sheetFormatPr defaultColWidth="9.140625" defaultRowHeight="15.75" x14ac:dyDescent="0.25"/>
  <cols>
    <col min="1" max="1" width="9.140625" style="351" hidden="1" customWidth="1"/>
    <col min="2" max="2" width="6.7109375" style="351" customWidth="1"/>
    <col min="3" max="5" width="10.42578125" style="351" hidden="1" customWidth="1"/>
    <col min="6" max="6" width="34.7109375" style="351" bestFit="1" customWidth="1"/>
    <col min="7" max="7" width="14.140625" style="351" hidden="1" customWidth="1"/>
    <col min="8" max="13" width="10" style="351" hidden="1" customWidth="1"/>
    <col min="14" max="14" width="16.7109375" style="351" hidden="1" customWidth="1"/>
    <col min="15" max="15" width="11.42578125" style="351" hidden="1" customWidth="1"/>
    <col min="16" max="17" width="10" style="351" hidden="1" customWidth="1"/>
    <col min="18" max="18" width="16.140625" style="351" customWidth="1"/>
    <col min="19" max="19" width="27.85546875" style="351" customWidth="1"/>
    <col min="20" max="20" width="31.140625" style="351" customWidth="1"/>
    <col min="21" max="21" width="24.7109375" style="351" customWidth="1"/>
    <col min="22" max="22" width="26.140625" style="351" hidden="1" customWidth="1"/>
    <col min="23" max="23" width="10" style="351" customWidth="1"/>
    <col min="24" max="29" width="10" style="351" hidden="1" customWidth="1"/>
    <col min="30" max="32" width="9.140625" style="351" hidden="1" customWidth="1"/>
    <col min="33" max="33" width="11.85546875" style="351" hidden="1" customWidth="1"/>
    <col min="34" max="35" width="9.140625" style="351" hidden="1" customWidth="1"/>
    <col min="36" max="36" width="10.140625" style="351" hidden="1" customWidth="1"/>
    <col min="37" max="37" width="16.7109375" style="351" hidden="1" customWidth="1"/>
    <col min="38" max="38" width="8.85546875" style="351" hidden="1" customWidth="1"/>
    <col min="39" max="39" width="11.85546875" style="351" hidden="1" customWidth="1"/>
    <col min="40" max="40" width="17.7109375" style="351" hidden="1" customWidth="1"/>
    <col min="41" max="51" width="9.140625" style="351" hidden="1" customWidth="1"/>
    <col min="52" max="52" width="10.7109375" style="351" hidden="1" customWidth="1"/>
    <col min="53" max="66" width="9.140625" style="351" hidden="1" customWidth="1"/>
    <col min="67" max="81" width="9.140625" style="351" customWidth="1"/>
    <col min="82" max="16384" width="9.140625" style="351"/>
  </cols>
  <sheetData>
    <row r="1" spans="1:65" ht="25.5" customHeight="1" thickBot="1" x14ac:dyDescent="0.3">
      <c r="A1" s="711" t="str">
        <f ca="1">MID(CELL("filename",AF2),FIND("]",CELL("filename",AF2),1)+1,99)</f>
        <v>ריכוז גיליונות עזר</v>
      </c>
      <c r="B1" s="711"/>
      <c r="C1" s="711"/>
      <c r="D1" s="711"/>
      <c r="E1" s="711"/>
      <c r="F1" s="711"/>
      <c r="G1" s="711"/>
      <c r="H1" s="711"/>
      <c r="I1" s="711"/>
      <c r="J1" s="711"/>
      <c r="K1" s="711"/>
      <c r="L1" s="711"/>
      <c r="M1" s="711"/>
      <c r="N1" s="711"/>
      <c r="O1" s="711"/>
      <c r="P1" s="711"/>
      <c r="Q1" s="711"/>
      <c r="R1" s="711"/>
      <c r="S1" s="711"/>
      <c r="T1" s="711"/>
      <c r="U1" s="711"/>
      <c r="V1" s="711"/>
      <c r="W1" s="711"/>
      <c r="X1" s="711"/>
      <c r="Y1" s="711"/>
      <c r="Z1" s="711"/>
      <c r="AA1" s="711"/>
      <c r="AB1" s="711"/>
      <c r="AE1" s="351" t="s">
        <v>86</v>
      </c>
      <c r="AG1" s="357" t="s">
        <v>300</v>
      </c>
      <c r="AH1" s="357" t="s">
        <v>200</v>
      </c>
      <c r="AI1" s="358" t="s">
        <v>301</v>
      </c>
      <c r="AJ1" s="358" t="s">
        <v>302</v>
      </c>
      <c r="AK1" s="358" t="s">
        <v>147</v>
      </c>
      <c r="AL1" s="358" t="s">
        <v>275</v>
      </c>
      <c r="AM1" s="358" t="s">
        <v>303</v>
      </c>
      <c r="AN1" s="358" t="s">
        <v>304</v>
      </c>
      <c r="AO1" s="358" t="s">
        <v>305</v>
      </c>
      <c r="AP1" s="358" t="s">
        <v>306</v>
      </c>
      <c r="AQ1" s="358"/>
      <c r="AR1" s="358"/>
      <c r="AS1" s="358"/>
      <c r="AT1" s="358"/>
      <c r="AU1" s="358"/>
      <c r="AV1" s="358"/>
      <c r="AW1" s="358"/>
      <c r="AX1" s="358"/>
      <c r="AY1" s="358"/>
      <c r="AZ1" s="358"/>
      <c r="BA1" s="358"/>
      <c r="BB1" s="358"/>
      <c r="BC1" s="360"/>
    </row>
    <row r="2" spans="1:65" ht="20.25" customHeight="1" x14ac:dyDescent="0.25">
      <c r="AH2" s="351">
        <f>IF(ISNA(MATCH(G11,$AE$10:$AF$10,0)),0,1)</f>
        <v>1</v>
      </c>
      <c r="AI2" s="351">
        <f>IF(IFERROR(G11*1,"bad")="bad",0,1)</f>
        <v>1</v>
      </c>
      <c r="AJ2" s="351">
        <f>IF(IFERROR(IF(G11=TRUNC(G11),1,"bad"),"bad")="bad",0,1)</f>
        <v>1</v>
      </c>
      <c r="AK2" s="351">
        <f>IF(AND(IF(IFERROR(G11*1,"bad")="bad",0,1)=1,G11&gt;=0),1,0)</f>
        <v>1</v>
      </c>
      <c r="AL2" s="351">
        <f>IF(AND(IF(IFERROR(IF(G11=TRUNC(G11),1,"bad"),"bad")="bad",0,1)=1,G11&gt;=0),1,0)</f>
        <v>1</v>
      </c>
      <c r="AM2" s="351">
        <f>IF(AND(IF(IFERROR(G11*1,"bad")="bad",0,1)=1,G11&gt;0),1,0)</f>
        <v>0</v>
      </c>
      <c r="AN2" s="351">
        <f>IF(AND(IF(IFERROR(IF(G11=TRUNC(G11),1,"bad"),"bad")="bad",0,1)=1,G11&gt;0),1,0)</f>
        <v>0</v>
      </c>
      <c r="AO2" s="351">
        <v>1</v>
      </c>
      <c r="AP2" s="351">
        <f>IF(IFERROR(HLOOKUP(G11,$BD$10:$BN$10,1,0),"bad")="bad",0,1)</f>
        <v>1</v>
      </c>
    </row>
    <row r="3" spans="1:65" ht="16.5" customHeight="1" thickBot="1" x14ac:dyDescent="0.3">
      <c r="AF3" s="351">
        <f>IF(G$10="",1,IF(G11="",0,IF(G$10=$AH$1,11,IF(G$10=$AI$1,12,IF(G$10=$AEJ1,13,IF(G$10=$AK$1,14,IF(G$10=$AL$1,15,IF(G$10=$AM$1,16,IF(G$10=$AN$1,17,IF(G$10=$AO$1,18,IF(G$10=$AP$1,19,0)))))))))))</f>
        <v>1</v>
      </c>
      <c r="AG3" s="351" t="s">
        <v>307</v>
      </c>
      <c r="AH3" s="351">
        <v>1</v>
      </c>
      <c r="AI3" s="351">
        <v>2</v>
      </c>
      <c r="AJ3" s="351">
        <v>3</v>
      </c>
      <c r="AK3" s="351">
        <v>4</v>
      </c>
      <c r="AL3" s="351">
        <v>5</v>
      </c>
      <c r="AM3" s="351">
        <v>6</v>
      </c>
      <c r="AN3" s="351">
        <v>7</v>
      </c>
      <c r="AO3" s="351">
        <v>8</v>
      </c>
      <c r="AP3" s="351">
        <v>9</v>
      </c>
    </row>
    <row r="4" spans="1:65" ht="16.5" thickBot="1" x14ac:dyDescent="0.3">
      <c r="AG4" s="351" t="s">
        <v>308</v>
      </c>
      <c r="AH4" s="357">
        <f t="array" ref="AH4:AQ4">TRANSPOSE(F5:F6)</f>
        <v>0</v>
      </c>
      <c r="AI4" s="358">
        <v>0</v>
      </c>
      <c r="AJ4" s="358" t="e">
        <v>#N/A</v>
      </c>
      <c r="AK4" s="358" t="e">
        <v>#N/A</v>
      </c>
      <c r="AL4" s="358" t="e">
        <v>#N/A</v>
      </c>
      <c r="AM4" s="358" t="e">
        <v>#N/A</v>
      </c>
      <c r="AN4" s="358" t="e">
        <v>#N/A</v>
      </c>
      <c r="AO4" s="358" t="e">
        <v>#N/A</v>
      </c>
      <c r="AP4" s="358" t="e">
        <v>#N/A</v>
      </c>
      <c r="AQ4" s="360" t="e">
        <v>#N/A</v>
      </c>
    </row>
    <row r="7" spans="1:65" ht="16.5" thickBot="1" x14ac:dyDescent="0.3">
      <c r="AD7" s="351">
        <v>1</v>
      </c>
      <c r="AE7" s="351">
        <v>2</v>
      </c>
      <c r="AF7" s="351">
        <f>AE7+1</f>
        <v>3</v>
      </c>
      <c r="AG7" s="351">
        <f t="shared" ref="AG7:AJ7" si="0">AF7+1</f>
        <v>4</v>
      </c>
      <c r="AH7" s="351">
        <f t="shared" si="0"/>
        <v>5</v>
      </c>
      <c r="AI7" s="351">
        <f t="shared" si="0"/>
        <v>6</v>
      </c>
      <c r="AJ7" s="351">
        <f t="shared" si="0"/>
        <v>7</v>
      </c>
    </row>
    <row r="8" spans="1:65" ht="23.25" customHeight="1" thickBot="1" x14ac:dyDescent="0.3">
      <c r="B8" s="363"/>
      <c r="C8" s="363"/>
      <c r="D8" s="363"/>
      <c r="E8" s="363"/>
      <c r="F8" s="363"/>
      <c r="G8" s="357"/>
      <c r="H8" s="358"/>
      <c r="I8" s="358"/>
      <c r="J8" s="358"/>
      <c r="K8" s="358"/>
      <c r="L8" s="360"/>
      <c r="M8" s="723"/>
      <c r="N8" s="724"/>
      <c r="O8" s="724"/>
      <c r="P8" s="724"/>
      <c r="Q8" s="725"/>
      <c r="R8" s="702" t="s">
        <v>309</v>
      </c>
      <c r="S8" s="703"/>
      <c r="T8" s="703"/>
      <c r="U8" s="704"/>
      <c r="V8" s="424"/>
      <c r="W8" s="364"/>
      <c r="X8" s="364"/>
      <c r="Y8" s="364"/>
      <c r="Z8" s="364"/>
      <c r="AA8" s="364"/>
      <c r="AB8" s="364"/>
      <c r="AD8" s="364"/>
    </row>
    <row r="9" spans="1:65" ht="35.25" customHeight="1" x14ac:dyDescent="0.25">
      <c r="A9" s="365">
        <v>100</v>
      </c>
      <c r="B9" s="712" t="s">
        <v>310</v>
      </c>
      <c r="C9" s="714">
        <f>COLUMN()</f>
        <v>3</v>
      </c>
      <c r="D9" s="714">
        <f>COLUMN()</f>
        <v>4</v>
      </c>
      <c r="E9" s="714">
        <f>COLUMN()</f>
        <v>5</v>
      </c>
      <c r="F9" s="716" t="s">
        <v>154</v>
      </c>
      <c r="G9" s="517"/>
      <c r="H9" s="517"/>
      <c r="I9" s="517"/>
      <c r="J9" s="517"/>
      <c r="K9" s="517"/>
      <c r="L9" s="517"/>
      <c r="M9" s="707"/>
      <c r="N9" s="707"/>
      <c r="O9" s="707"/>
      <c r="P9" s="707"/>
      <c r="Q9" s="707"/>
      <c r="R9" s="709" t="str">
        <f>"מספר "&amp;'תנאי סף'!AA10</f>
        <v xml:space="preserve">מספר מספר החוברות בעלות רמה אומנותית והפקתית נאותה </v>
      </c>
      <c r="S9" s="709" t="s">
        <v>117</v>
      </c>
      <c r="T9" s="709" t="str">
        <f>"מספר "&amp;'תנאי סף'!AB10</f>
        <v>מספר מספר החוברות בהן מרבית התכנים עוסקים בעשייה אומנותית ומקצועית לרבות בתחום מחקר ומורשת, בתחומים הנתמכים על ידי מנהל תרבות</v>
      </c>
      <c r="U9" s="722" t="s">
        <v>119</v>
      </c>
      <c r="V9" s="722"/>
      <c r="W9" s="707" t="s">
        <v>318</v>
      </c>
      <c r="X9" s="718" t="s">
        <v>319</v>
      </c>
      <c r="Y9" s="718" t="s">
        <v>319</v>
      </c>
      <c r="Z9" s="718" t="s">
        <v>319</v>
      </c>
      <c r="AA9" s="718" t="s">
        <v>319</v>
      </c>
      <c r="AB9" s="720" t="s">
        <v>319</v>
      </c>
      <c r="AD9" s="374" t="s">
        <v>320</v>
      </c>
      <c r="AG9" s="351" t="str">
        <f>"בקרת "&amp;G9</f>
        <v xml:space="preserve">בקרת </v>
      </c>
      <c r="AH9" s="351" t="str">
        <f>"בקרת "&amp;H9</f>
        <v xml:space="preserve">בקרת </v>
      </c>
      <c r="AI9" s="351" t="str">
        <f>"בקרת "&amp;I9</f>
        <v xml:space="preserve">בקרת </v>
      </c>
      <c r="AJ9" s="351" t="str">
        <f>"בקרת "&amp;J9</f>
        <v xml:space="preserve">בקרת </v>
      </c>
      <c r="AK9" s="351" t="str">
        <f>"בקרת "&amp;K9</f>
        <v xml:space="preserve">בקרת </v>
      </c>
      <c r="AL9" s="351" t="str">
        <f>"בקרת "&amp;M9</f>
        <v xml:space="preserve">בקרת </v>
      </c>
      <c r="AM9" s="351" t="str">
        <f>"בקרת "&amp;N9</f>
        <v xml:space="preserve">בקרת </v>
      </c>
      <c r="AN9" s="351" t="str">
        <f>"בקרת "&amp;O9</f>
        <v xml:space="preserve">בקרת </v>
      </c>
      <c r="AO9" s="351" t="str">
        <f>"בקרת "&amp;P9</f>
        <v xml:space="preserve">בקרת </v>
      </c>
      <c r="AP9" s="351" t="str">
        <f>"בקרת "&amp;Q9</f>
        <v xml:space="preserve">בקרת </v>
      </c>
      <c r="AQ9" s="351" t="str">
        <f t="shared" ref="AQ9" si="1">"בקרת "&amp;R9</f>
        <v xml:space="preserve">בקרת מספר מספר החוברות בעלות רמה אומנותית והפקתית נאותה </v>
      </c>
      <c r="AR9" s="351" t="str">
        <f>"בקרת "&amp;T9</f>
        <v>בקרת מספר מספר החוברות בהן מרבית התכנים עוסקים בעשייה אומנותית ומקצועית לרבות בתחום מחקר ומורשת, בתחומים הנתמכים על ידי מנהל תרבות</v>
      </c>
      <c r="AS9" s="351" t="str">
        <f>"בקרת "&amp;U9</f>
        <v>בקרת שעור משוקלל של יצירה מקורית מהתכנים הנכללים בכל החוברות לגביהן מבוקשת תמיכה</v>
      </c>
      <c r="AT9" s="351" t="str">
        <f t="shared" ref="AT9:AY9" si="2">"בקרת "&amp;W9</f>
        <v>בקרת עומד בתנאי הגדרת כתב עת</v>
      </c>
      <c r="AU9" s="351" t="str">
        <f t="shared" si="2"/>
        <v>בקרת סה"כ ניקוד</v>
      </c>
      <c r="AV9" s="351" t="str">
        <f t="shared" si="2"/>
        <v>בקרת סה"כ ניקוד</v>
      </c>
      <c r="AW9" s="351" t="str">
        <f t="shared" si="2"/>
        <v>בקרת סה"כ ניקוד</v>
      </c>
      <c r="AX9" s="351" t="str">
        <f t="shared" si="2"/>
        <v>בקרת סה"כ ניקוד</v>
      </c>
      <c r="AY9" s="351" t="str">
        <f t="shared" si="2"/>
        <v>בקרת סה"כ ניקוד</v>
      </c>
      <c r="BD9" s="351" t="s">
        <v>308</v>
      </c>
    </row>
    <row r="10" spans="1:65" ht="53.45" customHeight="1" thickBot="1" x14ac:dyDescent="0.3">
      <c r="A10" s="402"/>
      <c r="B10" s="713"/>
      <c r="C10" s="715"/>
      <c r="D10" s="715"/>
      <c r="E10" s="715"/>
      <c r="F10" s="717"/>
      <c r="G10" s="518"/>
      <c r="H10" s="518"/>
      <c r="I10" s="518"/>
      <c r="J10" s="518"/>
      <c r="K10" s="518"/>
      <c r="L10" s="518"/>
      <c r="M10" s="708"/>
      <c r="N10" s="708"/>
      <c r="O10" s="708"/>
      <c r="P10" s="708"/>
      <c r="Q10" s="708"/>
      <c r="R10" s="708"/>
      <c r="S10" s="710"/>
      <c r="T10" s="708"/>
      <c r="U10" s="708"/>
      <c r="V10" s="708"/>
      <c r="W10" s="708"/>
      <c r="X10" s="719"/>
      <c r="Y10" s="719"/>
      <c r="Z10" s="719"/>
      <c r="AA10" s="719"/>
      <c r="AB10" s="721"/>
      <c r="AE10" s="351">
        <v>0</v>
      </c>
      <c r="AF10" s="351">
        <v>1</v>
      </c>
      <c r="AG10" s="351">
        <f>G10</f>
        <v>0</v>
      </c>
      <c r="AH10" s="351">
        <f>H10</f>
        <v>0</v>
      </c>
      <c r="AI10" s="351">
        <f>I10</f>
        <v>0</v>
      </c>
      <c r="AJ10" s="351">
        <f>J10</f>
        <v>0</v>
      </c>
      <c r="AK10" s="351">
        <f>K10</f>
        <v>0</v>
      </c>
      <c r="AL10" s="351">
        <f>M10</f>
        <v>0</v>
      </c>
      <c r="AM10" s="351">
        <f>N10</f>
        <v>0</v>
      </c>
      <c r="AN10" s="351">
        <f>O10</f>
        <v>0</v>
      </c>
      <c r="AO10" s="351">
        <f>P10</f>
        <v>0</v>
      </c>
      <c r="AP10" s="351">
        <f>Q10</f>
        <v>0</v>
      </c>
      <c r="AQ10" s="351">
        <f t="shared" ref="AQ10" si="3">R10</f>
        <v>0</v>
      </c>
      <c r="AR10" s="351">
        <f>T10</f>
        <v>0</v>
      </c>
      <c r="AS10" s="351">
        <f>U10</f>
        <v>0</v>
      </c>
      <c r="AT10" s="351">
        <f t="shared" ref="AT10:AY10" si="4">W10</f>
        <v>0</v>
      </c>
      <c r="AU10" s="351">
        <f t="shared" si="4"/>
        <v>0</v>
      </c>
      <c r="AV10" s="351">
        <f t="shared" si="4"/>
        <v>0</v>
      </c>
      <c r="AW10" s="351">
        <f t="shared" si="4"/>
        <v>0</v>
      </c>
      <c r="AX10" s="351">
        <f t="shared" si="4"/>
        <v>0</v>
      </c>
      <c r="AY10" s="351">
        <f t="shared" si="4"/>
        <v>0</v>
      </c>
      <c r="BD10" s="351">
        <f t="shared" ref="BD10:BM10" si="5">AH4</f>
        <v>0</v>
      </c>
      <c r="BE10" s="351">
        <f t="shared" si="5"/>
        <v>0</v>
      </c>
      <c r="BF10" s="351" t="e">
        <f t="shared" si="5"/>
        <v>#N/A</v>
      </c>
      <c r="BG10" s="351" t="e">
        <f t="shared" si="5"/>
        <v>#N/A</v>
      </c>
      <c r="BH10" s="351" t="e">
        <f t="shared" si="5"/>
        <v>#N/A</v>
      </c>
      <c r="BI10" s="351" t="e">
        <f t="shared" si="5"/>
        <v>#N/A</v>
      </c>
      <c r="BJ10" s="351" t="e">
        <f t="shared" si="5"/>
        <v>#N/A</v>
      </c>
      <c r="BK10" s="351" t="e">
        <f t="shared" si="5"/>
        <v>#N/A</v>
      </c>
      <c r="BL10" s="351" t="e">
        <f t="shared" si="5"/>
        <v>#N/A</v>
      </c>
      <c r="BM10" s="351" t="e">
        <f t="shared" si="5"/>
        <v>#N/A</v>
      </c>
    </row>
    <row r="11" spans="1:65" x14ac:dyDescent="0.25">
      <c r="A11" s="379"/>
      <c r="B11" s="379">
        <f ca="1">IF(F11="","",ROW()-10)</f>
        <v>1</v>
      </c>
      <c r="C11" s="380"/>
      <c r="D11" s="380"/>
      <c r="E11" s="380"/>
      <c r="F11" s="403" t="str">
        <f ca="1">'תנאי סף'!B11</f>
        <v>1280 מעלות (אמנים יוצרים)</v>
      </c>
      <c r="G11" s="379"/>
      <c r="H11" s="379"/>
      <c r="I11" s="379"/>
      <c r="J11" s="379"/>
      <c r="K11" s="379"/>
      <c r="L11" s="379"/>
      <c r="M11" s="379"/>
      <c r="N11" s="379"/>
      <c r="O11" s="379"/>
      <c r="P11" s="379"/>
      <c r="Q11" s="379"/>
      <c r="R11" s="379">
        <f ca="1">IF($F11="","",INDIRECT("'"&amp;SUBSTITUTE($F11,"'","''")&amp;"'"&amp;"!R9"))</f>
        <v>2</v>
      </c>
      <c r="S11" s="379">
        <f ca="1">IF($F11="","",INDIRECT("'"&amp;SUBSTITUTE($F11,"'","''")&amp;"'"&amp;"!S9"))</f>
        <v>2</v>
      </c>
      <c r="T11" s="379">
        <f ca="1">IF($F11="","",INDIRECT("'"&amp;SUBSTITUTE($F11,"'","''")&amp;"'"&amp;"!Q9"))</f>
        <v>2</v>
      </c>
      <c r="U11" s="398">
        <f ca="1">IF($F11="","",INDIRECT("'"&amp;SUBSTITUTE($F11,"'","''")&amp;"'"&amp;"!I2"))</f>
        <v>0.93908629441624369</v>
      </c>
      <c r="V11" s="423"/>
      <c r="W11" s="379">
        <f ca="1">IF($F11="","",INDIRECT("'"&amp;SUBSTITUTE($F11,"'","''")&amp;"'"&amp;"!F2"))</f>
        <v>1</v>
      </c>
      <c r="X11" s="386">
        <f ca="1">IF($F11="","",INDIRECT("'"&amp;$F11&amp;"'"&amp;"!u20"))</f>
        <v>0</v>
      </c>
      <c r="Y11" s="386">
        <f ca="1">IF($F11="","",INDIRECT("'"&amp;$F11&amp;"'"&amp;"!u21"))</f>
        <v>0</v>
      </c>
      <c r="Z11" s="386">
        <f ca="1">IF($F11="","",INDIRECT("'"&amp;$F11&amp;"'"&amp;"!u22"))</f>
        <v>0</v>
      </c>
      <c r="AA11" s="386">
        <f ca="1">IF($F11="","",INDIRECT("'"&amp;$F11&amp;"'"&amp;"!u23"))</f>
        <v>0</v>
      </c>
      <c r="AB11" s="386">
        <f ca="1">IF($F11="","",INDIRECT("'"&amp;$F11&amp;"'"&amp;"!u24"))</f>
        <v>0</v>
      </c>
      <c r="AD11" s="351">
        <f>IF(SUM(AG11:AY11)=COUNT(AG11:AY11),1,0)</f>
        <v>1</v>
      </c>
      <c r="AE11" s="351">
        <f ca="1">IF($F11="","",AE$10)</f>
        <v>0</v>
      </c>
      <c r="AF11" s="351">
        <f ca="1">IF($F11="","",AF$10)</f>
        <v>1</v>
      </c>
      <c r="AG11" s="351">
        <f t="shared" ref="AG11:AG50" si="6">IF(G$10="",1,IF(G11="",0,IF(G$10=$AH$1,IF(ISNA(MATCH(G11,$AE$10:$AF$10,0)),0,1),IF(G$10=$AI$1,IF(IFERROR(G11*1,"bad")="bad",0,1),IF(G$10=$AJ$1,IF(IFERROR(IF(G11=TRUNC(G11),1,"bad"),"bad")="bad",0,1),IF(G$10=$AK$1,IF(AND(IF(IFERROR(G11*1,"bad")="bad",0,1)=1,G11&gt;=0),1,0),IF(G$10=$AL$1,IF(AND(IF(IFERROR(IF(G11=TRUNC(G11),1,"bad"),"bad")="bad",0,1)=1,G11&gt;=0),1,0),IF(G$10=$AM$1,IF(AND(IF(IFERROR(G11*1,"bad")="bad",0,1)=1,G11&gt;0),1,0),IF(G$10=$AN$1,IF(AND(IF(IFERROR(IF(G11=TRUNC(G11),1,"bad"),"bad")="bad",0,1)=1,G11&gt;0),1,0),IF(G$10=$AO$1,1,IF(G$10=$AP$1,IF(IFERROR(HLOOKUP(G11,$AH$4:$AQ$4,1,0),"bad")="bad",0,1),0)))))))))))</f>
        <v>1</v>
      </c>
      <c r="AH11" s="351">
        <f t="shared" ref="AH11:AH50" si="7">IF(H$10="",1,IF(H11="",0,IF(H$10=$AH$1,IF(ISNA(MATCH(H11,$AE$10:$AF$10,0)),0,1),IF(H$10=$AI$1,IF(IFERROR(H11*1,"bad")="bad",0,1),IF(H$10=$AJ$1,IF(IFERROR(IF(H11=TRUNC(H11),1,"bad"),"bad")="bad",0,1),IF(H$10=$AK$1,IF(AND(IF(IFERROR(H11*1,"bad")="bad",0,1)=1,H11&gt;=0),1,0),IF(H$10=$AL$1,IF(AND(IF(IFERROR(IF(H11=TRUNC(H11),1,"bad"),"bad")="bad",0,1)=1,H11&gt;=0),1,0),IF(H$10=$AM$1,IF(AND(IF(IFERROR(H11*1,"bad")="bad",0,1)=1,H11&gt;0),1,0),IF(H$10=$AN$1,IF(AND(IF(IFERROR(IF(H11=TRUNC(H11),1,"bad"),"bad")="bad",0,1)=1,H11&gt;0),1,0),IF(H$10=$AO$1,1,IF(H$10=$AP$1,IF(IFERROR(HLOOKUP(H11,$AH$4:$AQ$4,1,0),"bad")="bad",0,1),0)))))))))))</f>
        <v>1</v>
      </c>
      <c r="AI11" s="351">
        <f t="shared" ref="AI11:AI50" si="8">IF(I$10="",1,IF(I11="",0,IF(I$10=$AH$1,IF(ISNA(MATCH(I11,$AE$10:$AF$10,0)),0,1),IF(I$10=$AI$1,IF(IFERROR(I11*1,"bad")="bad",0,1),IF(I$10=$AJ$1,IF(IFERROR(IF(I11=TRUNC(I11),1,"bad"),"bad")="bad",0,1),IF(I$10=$AK$1,IF(AND(IF(IFERROR(I11*1,"bad")="bad",0,1)=1,I11&gt;=0),1,0),IF(I$10=$AL$1,IF(AND(IF(IFERROR(IF(I11=TRUNC(I11),1,"bad"),"bad")="bad",0,1)=1,I11&gt;=0),1,0),IF(I$10=$AM$1,IF(AND(IF(IFERROR(I11*1,"bad")="bad",0,1)=1,I11&gt;0),1,0),IF(I$10=$AN$1,IF(AND(IF(IFERROR(IF(I11=TRUNC(I11),1,"bad"),"bad")="bad",0,1)=1,I11&gt;0),1,0),IF(I$10=$AO$1,1,IF(I$10=$AP$1,IF(IFERROR(HLOOKUP(I11,$AH$4:$AQ$4,1,0),"bad")="bad",0,1),0)))))))))))</f>
        <v>1</v>
      </c>
      <c r="AJ11" s="351">
        <f t="shared" ref="AJ11:AJ50" si="9">IF(J$10="",1,IF(J11="",0,IF(J$10=$AH$1,IF(ISNA(MATCH(J11,$AE$10:$AF$10,0)),0,1),IF(J$10=$AI$1,IF(IFERROR(J11*1,"bad")="bad",0,1),IF(J$10=$AJ$1,IF(IFERROR(IF(J11=TRUNC(J11),1,"bad"),"bad")="bad",0,1),IF(J$10=$AK$1,IF(AND(IF(IFERROR(J11*1,"bad")="bad",0,1)=1,J11&gt;=0),1,0),IF(J$10=$AL$1,IF(AND(IF(IFERROR(IF(J11=TRUNC(J11),1,"bad"),"bad")="bad",0,1)=1,J11&gt;=0),1,0),IF(J$10=$AM$1,IF(AND(IF(IFERROR(J11*1,"bad")="bad",0,1)=1,J11&gt;0),1,0),IF(J$10=$AN$1,IF(AND(IF(IFERROR(IF(J11=TRUNC(J11),1,"bad"),"bad")="bad",0,1)=1,J11&gt;0),1,0),IF(J$10=$AO$1,1,IF(J$10=$AP$1,IF(IFERROR(HLOOKUP(J11,$AH$4:$AQ$4,1,0),"bad")="bad",0,1),0)))))))))))</f>
        <v>1</v>
      </c>
      <c r="AK11" s="351">
        <f t="shared" ref="AK11:AK50" si="10">IF(K$10="",1,IF(K11="",0,IF(K$10=$AH$1,IF(ISNA(MATCH(K11,$AE$10:$AF$10,0)),0,1),IF(K$10=$AI$1,IF(IFERROR(K11*1,"bad")="bad",0,1),IF(K$10=$AJ$1,IF(IFERROR(IF(K11=TRUNC(K11),1,"bad"),"bad")="bad",0,1),IF(K$10=$AK$1,IF(AND(IF(IFERROR(K11*1,"bad")="bad",0,1)=1,K11&gt;=0),1,0),IF(K$10=$AL$1,IF(AND(IF(IFERROR(IF(K11=TRUNC(K11),1,"bad"),"bad")="bad",0,1)=1,K11&gt;=0),1,0),IF(K$10=$AM$1,IF(AND(IF(IFERROR(K11*1,"bad")="bad",0,1)=1,K11&gt;0),1,0),IF(K$10=$AN$1,IF(AND(IF(IFERROR(IF(K11=TRUNC(K11),1,"bad"),"bad")="bad",0,1)=1,K11&gt;0),1,0),IF(K$10=$AO$1,1,IF(K$10=$AP$1,IF(IFERROR(HLOOKUP(K11,$AH$4:$AQ$4,1,0),"bad")="bad",0,1),0)))))))))))</f>
        <v>1</v>
      </c>
      <c r="AL11" s="351">
        <f t="shared" ref="AL11:AL50" si="11">IF(M$10="",1,IF(M11="",0,IF(M$10=$AH$1,IF(ISNA(MATCH(M11,$AE$10:$AF$10,0)),0,1),IF(M$10=$AI$1,IF(IFERROR(M11*1,"bad")="bad",0,1),IF(M$10=$AJ$1,IF(IFERROR(IF(M11=TRUNC(M11),1,"bad"),"bad")="bad",0,1),IF(M$10=$AK$1,IF(AND(IF(IFERROR(M11*1,"bad")="bad",0,1)=1,M11&gt;=0),1,0),IF(M$10=$AL$1,IF(AND(IF(IFERROR(IF(M11=TRUNC(M11),1,"bad"),"bad")="bad",0,1)=1,M11&gt;=0),1,0),IF(M$10=$AM$1,IF(AND(IF(IFERROR(M11*1,"bad")="bad",0,1)=1,M11&gt;0),1,0),IF(M$10=$AN$1,IF(AND(IF(IFERROR(IF(M11=TRUNC(M11),1,"bad"),"bad")="bad",0,1)=1,M11&gt;0),1,0),IF(M$10=$AO$1,1,IF(M$10=$AP$1,IF(IFERROR(HLOOKUP(M11,$AH$4:$AQ$4,1,0),"bad")="bad",0,1),0)))))))))))</f>
        <v>1</v>
      </c>
      <c r="AM11" s="351">
        <f t="shared" ref="AM11:AM50" si="12">IF(N$10="",1,IF(N11="",0,IF(N$10=$AH$1,IF(ISNA(MATCH(N11,$AE$10:$AF$10,0)),0,1),IF(N$10=$AI$1,IF(IFERROR(N11*1,"bad")="bad",0,1),IF(N$10=$AJ$1,IF(IFERROR(IF(N11=TRUNC(N11),1,"bad"),"bad")="bad",0,1),IF(N$10=$AK$1,IF(AND(IF(IFERROR(N11*1,"bad")="bad",0,1)=1,N11&gt;=0),1,0),IF(N$10=$AL$1,IF(AND(IF(IFERROR(IF(N11=TRUNC(N11),1,"bad"),"bad")="bad",0,1)=1,N11&gt;=0),1,0),IF(N$10=$AM$1,IF(AND(IF(IFERROR(N11*1,"bad")="bad",0,1)=1,N11&gt;0),1,0),IF(N$10=$AN$1,IF(AND(IF(IFERROR(IF(N11=TRUNC(N11),1,"bad"),"bad")="bad",0,1)=1,N11&gt;0),1,0),IF(N$10=$AO$1,1,IF(N$10=$AP$1,IF(IFERROR(HLOOKUP(N11,$AH$4:$AQ$4,1,0),"bad")="bad",0,1),0)))))))))))</f>
        <v>1</v>
      </c>
      <c r="AN11" s="351">
        <f t="shared" ref="AN11:AN50" si="13">IF(O$10="",1,IF(O11="",0,IF(O$10=$AH$1,IF(ISNA(MATCH(O11,$AE$10:$AF$10,0)),0,1),IF(O$10=$AI$1,IF(IFERROR(O11*1,"bad")="bad",0,1),IF(O$10=$AJ$1,IF(IFERROR(IF(O11=TRUNC(O11),1,"bad"),"bad")="bad",0,1),IF(O$10=$AK$1,IF(AND(IF(IFERROR(O11*1,"bad")="bad",0,1)=1,O11&gt;=0),1,0),IF(O$10=$AL$1,IF(AND(IF(IFERROR(IF(O11=TRUNC(O11),1,"bad"),"bad")="bad",0,1)=1,O11&gt;=0),1,0),IF(O$10=$AM$1,IF(AND(IF(IFERROR(O11*1,"bad")="bad",0,1)=1,O11&gt;0),1,0),IF(O$10=$AN$1,IF(AND(IF(IFERROR(IF(O11=TRUNC(O11),1,"bad"),"bad")="bad",0,1)=1,O11&gt;0),1,0),IF(O$10=$AO$1,1,IF(O$10=$AP$1,IF(IFERROR(HLOOKUP(O11,$AH$4:$AQ$4,1,0),"bad")="bad",0,1),0)))))))))))</f>
        <v>1</v>
      </c>
      <c r="AO11" s="351">
        <f t="shared" ref="AO11:AO50" si="14">IF(P$10="",1,IF(P11="",0,IF(P$10=$AH$1,IF(ISNA(MATCH(P11,$AE$10:$AF$10,0)),0,1),IF(P$10=$AI$1,IF(IFERROR(P11*1,"bad")="bad",0,1),IF(P$10=$AJ$1,IF(IFERROR(IF(P11=TRUNC(P11),1,"bad"),"bad")="bad",0,1),IF(P$10=$AK$1,IF(AND(IF(IFERROR(P11*1,"bad")="bad",0,1)=1,P11&gt;=0),1,0),IF(P$10=$AL$1,IF(AND(IF(IFERROR(IF(P11=TRUNC(P11),1,"bad"),"bad")="bad",0,1)=1,P11&gt;=0),1,0),IF(P$10=$AM$1,IF(AND(IF(IFERROR(P11*1,"bad")="bad",0,1)=1,P11&gt;0),1,0),IF(P$10=$AN$1,IF(AND(IF(IFERROR(IF(P11=TRUNC(P11),1,"bad"),"bad")="bad",0,1)=1,P11&gt;0),1,0),IF(P$10=$AO$1,1,IF(P$10=$AP$1,IF(IFERROR(HLOOKUP(P11,$AH$4:$AQ$4,1,0),"bad")="bad",0,1),0)))))))))))</f>
        <v>1</v>
      </c>
      <c r="AP11" s="351">
        <f t="shared" ref="AP11:AP50" si="15">IF(Q$10="",1,IF(Q11="",0,IF(Q$10=$AH$1,IF(ISNA(MATCH(Q11,$AE$10:$AF$10,0)),0,1),IF(Q$10=$AI$1,IF(IFERROR(Q11*1,"bad")="bad",0,1),IF(Q$10=$AJ$1,IF(IFERROR(IF(Q11=TRUNC(Q11),1,"bad"),"bad")="bad",0,1),IF(Q$10=$AK$1,IF(AND(IF(IFERROR(Q11*1,"bad")="bad",0,1)=1,Q11&gt;=0),1,0),IF(Q$10=$AL$1,IF(AND(IF(IFERROR(IF(Q11=TRUNC(Q11),1,"bad"),"bad")="bad",0,1)=1,Q11&gt;=0),1,0),IF(Q$10=$AM$1,IF(AND(IF(IFERROR(Q11*1,"bad")="bad",0,1)=1,Q11&gt;0),1,0),IF(Q$10=$AN$1,IF(AND(IF(IFERROR(IF(Q11=TRUNC(Q11),1,"bad"),"bad")="bad",0,1)=1,Q11&gt;0),1,0),IF(Q$10=$AO$1,1,IF(Q$10=$AP$1,IF(IFERROR(HLOOKUP(Q11,$AH$4:$AQ$4,1,0),"bad")="bad",0,1),0)))))))))))</f>
        <v>1</v>
      </c>
      <c r="AQ11" s="351">
        <f t="shared" ref="AQ11:AQ50" si="16">IF(R$10="",1,IF(R11="",0,IF(R$10=$AH$1,IF(ISNA(MATCH(R11,$AE$10:$AF$10,0)),0,1),IF(R$10=$AI$1,IF(IFERROR(R11*1,"bad")="bad",0,1),IF(R$10=$AJ$1,IF(IFERROR(IF(R11=TRUNC(R11),1,"bad"),"bad")="bad",0,1),IF(R$10=$AK$1,IF(AND(IF(IFERROR(R11*1,"bad")="bad",0,1)=1,R11&gt;=0),1,0),IF(R$10=$AL$1,IF(AND(IF(IFERROR(IF(R11=TRUNC(R11),1,"bad"),"bad")="bad",0,1)=1,R11&gt;=0),1,0),IF(R$10=$AM$1,IF(AND(IF(IFERROR(R11*1,"bad")="bad",0,1)=1,R11&gt;0),1,0),IF(R$10=$AN$1,IF(AND(IF(IFERROR(IF(R11=TRUNC(R11),1,"bad"),"bad")="bad",0,1)=1,R11&gt;0),1,0),IF(R$10=$AO$1,1,IF(R$10=$AP$1,IF(IFERROR(HLOOKUP(R11,$AH$4:$AQ$4,1,0),"bad")="bad",0,1),0)))))))))))</f>
        <v>1</v>
      </c>
      <c r="AR11" s="351">
        <f t="shared" ref="AR11:AR50" si="17">IF(T$10="",1,IF(T11="",0,IF(T$10=$AH$1,IF(ISNA(MATCH(T11,$AE$10:$AF$10,0)),0,1),IF(T$10=$AI$1,IF(IFERROR(T11*1,"bad")="bad",0,1),IF(T$10=$AJ$1,IF(IFERROR(IF(T11=TRUNC(T11),1,"bad"),"bad")="bad",0,1),IF(T$10=$AK$1,IF(AND(IF(IFERROR(T11*1,"bad")="bad",0,1)=1,T11&gt;=0),1,0),IF(T$10=$AL$1,IF(AND(IF(IFERROR(IF(T11=TRUNC(T11),1,"bad"),"bad")="bad",0,1)=1,T11&gt;=0),1,0),IF(T$10=$AM$1,IF(AND(IF(IFERROR(T11*1,"bad")="bad",0,1)=1,T11&gt;0),1,0),IF(T$10=$AN$1,IF(AND(IF(IFERROR(IF(T11=TRUNC(T11),1,"bad"),"bad")="bad",0,1)=1,T11&gt;0),1,0),IF(T$10=$AO$1,1,IF(T$10=$AP$1,IF(IFERROR(HLOOKUP(T11,$AH$4:$AQ$4,1,0),"bad")="bad",0,1),0)))))))))))</f>
        <v>1</v>
      </c>
      <c r="AS11" s="351">
        <f t="shared" ref="AS11:AS50" si="18">IF(U$10="",1,IF(U11="",0,IF(U$10=$AH$1,IF(ISNA(MATCH(U11,$AE$10:$AF$10,0)),0,1),IF(U$10=$AI$1,IF(IFERROR(U11*1,"bad")="bad",0,1),IF(U$10=$AJ$1,IF(IFERROR(IF(U11=TRUNC(U11),1,"bad"),"bad")="bad",0,1),IF(U$10=$AK$1,IF(AND(IF(IFERROR(U11*1,"bad")="bad",0,1)=1,U11&gt;=0),1,0),IF(U$10=$AL$1,IF(AND(IF(IFERROR(IF(U11=TRUNC(U11),1,"bad"),"bad")="bad",0,1)=1,U11&gt;=0),1,0),IF(U$10=$AM$1,IF(AND(IF(IFERROR(U11*1,"bad")="bad",0,1)=1,U11&gt;0),1,0),IF(U$10=$AN$1,IF(AND(IF(IFERROR(IF(U11=TRUNC(U11),1,"bad"),"bad")="bad",0,1)=1,U11&gt;0),1,0),IF(U$10=$AO$1,1,IF(U$10=$AP$1,IF(IFERROR(HLOOKUP(U11,$AH$4:$AQ$4,1,0),"bad")="bad",0,1),0)))))))))))</f>
        <v>1</v>
      </c>
      <c r="AT11" s="351">
        <f t="shared" ref="AT11:AT50" si="19">IF(W$10="",1,IF(W11="",0,IF(W$10=$AH$1,IF(ISNA(MATCH(W11,$AE$10:$AF$10,0)),0,1),IF(W$10=$AI$1,IF(IFERROR(W11*1,"bad")="bad",0,1),IF(W$10=$AJ$1,IF(IFERROR(IF(W11=TRUNC(W11),1,"bad"),"bad")="bad",0,1),IF(W$10=$AK$1,IF(AND(IF(IFERROR(W11*1,"bad")="bad",0,1)=1,W11&gt;=0),1,0),IF(W$10=$AL$1,IF(AND(IF(IFERROR(IF(W11=TRUNC(W11),1,"bad"),"bad")="bad",0,1)=1,W11&gt;=0),1,0),IF(W$10=$AM$1,IF(AND(IF(IFERROR(W11*1,"bad")="bad",0,1)=1,W11&gt;0),1,0),IF(W$10=$AN$1,IF(AND(IF(IFERROR(IF(W11=TRUNC(W11),1,"bad"),"bad")="bad",0,1)=1,W11&gt;0),1,0),IF(W$10=$AO$1,1,IF(W$10=$AP$1,IF(IFERROR(HLOOKUP(W11,$AH$4:$AQ$4,1,0),"bad")="bad",0,1),0)))))))))))</f>
        <v>1</v>
      </c>
      <c r="AU11" s="351">
        <f t="shared" ref="AU11:AU50" si="20">IF(X$10="",1,IF(X11="",0,IF(X$10=$AH$1,IF(ISNA(MATCH(X11,$AE$10:$AF$10,0)),0,1),IF(X$10=$AI$1,IF(IFERROR(X11*1,"bad")="bad",0,1),IF(X$10=$AJ$1,IF(IFERROR(IF(X11=TRUNC(X11),1,"bad"),"bad")="bad",0,1),IF(X$10=$AK$1,IF(AND(IF(IFERROR(X11*1,"bad")="bad",0,1)=1,X11&gt;=0),1,0),IF(X$10=$AL$1,IF(AND(IF(IFERROR(IF(X11=TRUNC(X11),1,"bad"),"bad")="bad",0,1)=1,X11&gt;=0),1,0),IF(X$10=$AM$1,IF(AND(IF(IFERROR(X11*1,"bad")="bad",0,1)=1,X11&gt;0),1,0),IF(X$10=$AN$1,IF(AND(IF(IFERROR(IF(X11=TRUNC(X11),1,"bad"),"bad")="bad",0,1)=1,X11&gt;0),1,0),IF(X$10=$AO$1,1,IF(X$10=$AP$1,IF(IFERROR(HLOOKUP(X11,$AH$4:$AQ$4,1,0),"bad")="bad",0,1),0)))))))))))</f>
        <v>1</v>
      </c>
      <c r="AV11" s="351">
        <f t="shared" ref="AV11:AV50" si="21">IF(Y$10="",1,IF(Y11="",0,IF(Y$10=$AH$1,IF(ISNA(MATCH(Y11,$AE$10:$AF$10,0)),0,1),IF(Y$10=$AI$1,IF(IFERROR(Y11*1,"bad")="bad",0,1),IF(Y$10=$AJ$1,IF(IFERROR(IF(Y11=TRUNC(Y11),1,"bad"),"bad")="bad",0,1),IF(Y$10=$AK$1,IF(AND(IF(IFERROR(Y11*1,"bad")="bad",0,1)=1,Y11&gt;=0),1,0),IF(Y$10=$AL$1,IF(AND(IF(IFERROR(IF(Y11=TRUNC(Y11),1,"bad"),"bad")="bad",0,1)=1,Y11&gt;=0),1,0),IF(Y$10=$AM$1,IF(AND(IF(IFERROR(Y11*1,"bad")="bad",0,1)=1,Y11&gt;0),1,0),IF(Y$10=$AN$1,IF(AND(IF(IFERROR(IF(Y11=TRUNC(Y11),1,"bad"),"bad")="bad",0,1)=1,Y11&gt;0),1,0),IF(Y$10=$AO$1,1,IF(Y$10=$AP$1,IF(IFERROR(HLOOKUP(Y11,$AH$4:$AQ$4,1,0),"bad")="bad",0,1),0)))))))))))</f>
        <v>1</v>
      </c>
      <c r="AW11" s="351">
        <f t="shared" ref="AW11:AW50" si="22">IF(Z$10="",1,IF(Z11="",0,IF(Z$10=$AH$1,IF(ISNA(MATCH(Z11,$AE$10:$AF$10,0)),0,1),IF(Z$10=$AI$1,IF(IFERROR(Z11*1,"bad")="bad",0,1),IF(Z$10=$AJ$1,IF(IFERROR(IF(Z11=TRUNC(Z11),1,"bad"),"bad")="bad",0,1),IF(Z$10=$AK$1,IF(AND(IF(IFERROR(Z11*1,"bad")="bad",0,1)=1,Z11&gt;=0),1,0),IF(Z$10=$AL$1,IF(AND(IF(IFERROR(IF(Z11=TRUNC(Z11),1,"bad"),"bad")="bad",0,1)=1,Z11&gt;=0),1,0),IF(Z$10=$AM$1,IF(AND(IF(IFERROR(Z11*1,"bad")="bad",0,1)=1,Z11&gt;0),1,0),IF(Z$10=$AN$1,IF(AND(IF(IFERROR(IF(Z11=TRUNC(Z11),1,"bad"),"bad")="bad",0,1)=1,Z11&gt;0),1,0),IF(Z$10=$AO$1,1,IF(Z$10=$AP$1,IF(IFERROR(HLOOKUP(Z11,$AH$4:$AQ$4,1,0),"bad")="bad",0,1),0)))))))))))</f>
        <v>1</v>
      </c>
      <c r="AX11" s="351">
        <f t="shared" ref="AX11:AX50" si="23">IF(AA$10="",1,IF(AA11="",0,IF(AA$10=$AH$1,IF(ISNA(MATCH(AA11,$AE$10:$AF$10,0)),0,1),IF(AA$10=$AI$1,IF(IFERROR(AA11*1,"bad")="bad",0,1),IF(AA$10=$AJ$1,IF(IFERROR(IF(AA11=TRUNC(AA11),1,"bad"),"bad")="bad",0,1),IF(AA$10=$AK$1,IF(AND(IF(IFERROR(AA11*1,"bad")="bad",0,1)=1,AA11&gt;=0),1,0),IF(AA$10=$AL$1,IF(AND(IF(IFERROR(IF(AA11=TRUNC(AA11),1,"bad"),"bad")="bad",0,1)=1,AA11&gt;=0),1,0),IF(AA$10=$AM$1,IF(AND(IF(IFERROR(AA11*1,"bad")="bad",0,1)=1,AA11&gt;0),1,0),IF(AA$10=$AN$1,IF(AND(IF(IFERROR(IF(AA11=TRUNC(AA11),1,"bad"),"bad")="bad",0,1)=1,AA11&gt;0),1,0),IF(AA$10=$AO$1,1,IF(AA$10=$AP$1,IF(IFERROR(HLOOKUP(AA11,$AH$4:$AQ$4,1,0),"bad")="bad",0,1),0)))))))))))</f>
        <v>1</v>
      </c>
      <c r="AY11" s="351">
        <f t="shared" ref="AY11:AY50" si="24">IF(AB$10="",1,IF(AB11="",0,IF(AB$10=$AH$1,IF(ISNA(MATCH(AB11,$AE$10:$AF$10,0)),0,1),IF(AB$10=$AI$1,IF(IFERROR(AB11*1,"bad")="bad",0,1),IF(AB$10=$AJ$1,IF(IFERROR(IF(AB11=TRUNC(AB11),1,"bad"),"bad")="bad",0,1),IF(AB$10=$AK$1,IF(AND(IF(IFERROR(AB11*1,"bad")="bad",0,1)=1,AB11&gt;=0),1,0),IF(AB$10=$AL$1,IF(AND(IF(IFERROR(IF(AB11=TRUNC(AB11),1,"bad"),"bad")="bad",0,1)=1,AB11&gt;=0),1,0),IF(AB$10=$AM$1,IF(AND(IF(IFERROR(AB11*1,"bad")="bad",0,1)=1,AB11&gt;0),1,0),IF(AB$10=$AN$1,IF(AND(IF(IFERROR(IF(AB11=TRUNC(AB11),1,"bad"),"bad")="bad",0,1)=1,AB11&gt;0),1,0),IF(AB$10=$AO$1,1,IF(AB$10=$AP$1,IF(IFERROR(HLOOKUP(AB11,$AH$4:$AQ$4,1,0),"bad")="bad",0,1),0)))))))))))</f>
        <v>1</v>
      </c>
      <c r="BD11" s="351">
        <f ca="1">IF($F11="","",BD$10)</f>
        <v>0</v>
      </c>
      <c r="BE11" s="351">
        <f t="shared" ref="BE11:BM26" ca="1" si="25">IF($F11="","",BE$10)</f>
        <v>0</v>
      </c>
      <c r="BF11" s="351" t="e">
        <f t="shared" ca="1" si="25"/>
        <v>#N/A</v>
      </c>
      <c r="BG11" s="351" t="e">
        <f t="shared" ca="1" si="25"/>
        <v>#N/A</v>
      </c>
      <c r="BH11" s="351" t="e">
        <f t="shared" ca="1" si="25"/>
        <v>#N/A</v>
      </c>
      <c r="BI11" s="351" t="e">
        <f t="shared" ca="1" si="25"/>
        <v>#N/A</v>
      </c>
      <c r="BJ11" s="351" t="e">
        <f t="shared" ca="1" si="25"/>
        <v>#N/A</v>
      </c>
      <c r="BK11" s="351" t="e">
        <f t="shared" ca="1" si="25"/>
        <v>#N/A</v>
      </c>
      <c r="BL11" s="351" t="e">
        <f t="shared" ca="1" si="25"/>
        <v>#N/A</v>
      </c>
      <c r="BM11" s="351" t="e">
        <f t="shared" ca="1" si="25"/>
        <v>#N/A</v>
      </c>
    </row>
    <row r="12" spans="1:65" x14ac:dyDescent="0.25">
      <c r="A12" s="379"/>
      <c r="B12" s="379">
        <f t="shared" ref="B12:B50" ca="1" si="26">IF(F12="","",ROW()-10)</f>
        <v>2</v>
      </c>
      <c r="C12" s="380"/>
      <c r="D12" s="380"/>
      <c r="E12" s="380"/>
      <c r="F12" s="403" t="str">
        <f ca="1">'תנאי סף'!B12</f>
        <v>יהי (אורי צבי גרינברג)</v>
      </c>
      <c r="G12" s="379"/>
      <c r="H12" s="379"/>
      <c r="I12" s="379"/>
      <c r="J12" s="379"/>
      <c r="K12" s="379"/>
      <c r="L12" s="379"/>
      <c r="M12" s="379"/>
      <c r="N12" s="379"/>
      <c r="O12" s="379"/>
      <c r="P12" s="379"/>
      <c r="Q12" s="379"/>
      <c r="R12" s="379">
        <f t="shared" ref="R12:R50" ca="1" si="27">IF($F12="","",INDIRECT("'"&amp;SUBSTITUTE($F12,"'","''")&amp;"'"&amp;"!R9"))</f>
        <v>3</v>
      </c>
      <c r="S12" s="379">
        <f t="shared" ref="S12:S50" ca="1" si="28">IF($F12="","",INDIRECT("'"&amp;SUBSTITUTE($F12,"'","''")&amp;"'"&amp;"!S9"))</f>
        <v>3</v>
      </c>
      <c r="T12" s="379">
        <f t="shared" ref="T12:T50" ca="1" si="29">IF($F12="","",INDIRECT("'"&amp;SUBSTITUTE($F12,"'","''")&amp;"'"&amp;"!Q9"))</f>
        <v>3</v>
      </c>
      <c r="U12" s="398">
        <f t="shared" ref="U12:U50" ca="1" si="30">IF($F12="","",INDIRECT("'"&amp;SUBSTITUTE($F12,"'","''")&amp;"'"&amp;"!I2"))</f>
        <v>1</v>
      </c>
      <c r="V12" s="423"/>
      <c r="W12" s="379">
        <f t="shared" ref="W12:W50" ca="1" si="31">IF($F12="","",INDIRECT("'"&amp;SUBSTITUTE($F12,"'","''")&amp;"'"&amp;"!F2"))</f>
        <v>1</v>
      </c>
      <c r="X12" s="386">
        <f t="shared" ref="X12:X50" ca="1" si="32">IF($F12="","",INDIRECT("'"&amp;$F12&amp;"'"&amp;"!u20"))</f>
        <v>0</v>
      </c>
      <c r="Y12" s="386">
        <f t="shared" ref="Y12:Y50" ca="1" si="33">IF($F12="","",INDIRECT("'"&amp;$F12&amp;"'"&amp;"!u21"))</f>
        <v>0</v>
      </c>
      <c r="Z12" s="386">
        <f t="shared" ref="Z12:Z50" ca="1" si="34">IF($F12="","",INDIRECT("'"&amp;$F12&amp;"'"&amp;"!u22"))</f>
        <v>0</v>
      </c>
      <c r="AA12" s="386">
        <f t="shared" ref="AA12:AA50" ca="1" si="35">IF($F12="","",INDIRECT("'"&amp;$F12&amp;"'"&amp;"!u23"))</f>
        <v>0</v>
      </c>
      <c r="AB12" s="386">
        <f t="shared" ref="AB12:AB50" ca="1" si="36">IF($F12="","",INDIRECT("'"&amp;$F12&amp;"'"&amp;"!u24"))</f>
        <v>0</v>
      </c>
      <c r="AD12" s="351">
        <f t="shared" ref="AD12:AD50" si="37">IF(SUM(AG12:AY12)=COUNT(AG12:AY12),1,0)</f>
        <v>1</v>
      </c>
      <c r="AE12" s="351">
        <f t="shared" ref="AE12:AF43" ca="1" si="38">IF($F12="","",AE$10)</f>
        <v>0</v>
      </c>
      <c r="AF12" s="351">
        <f t="shared" ca="1" si="38"/>
        <v>1</v>
      </c>
      <c r="AG12" s="351">
        <f t="shared" si="6"/>
        <v>1</v>
      </c>
      <c r="AH12" s="351">
        <f t="shared" si="7"/>
        <v>1</v>
      </c>
      <c r="AI12" s="351">
        <f t="shared" si="8"/>
        <v>1</v>
      </c>
      <c r="AJ12" s="351">
        <f t="shared" si="9"/>
        <v>1</v>
      </c>
      <c r="AK12" s="351">
        <f t="shared" si="10"/>
        <v>1</v>
      </c>
      <c r="AL12" s="351">
        <f t="shared" si="11"/>
        <v>1</v>
      </c>
      <c r="AM12" s="351">
        <f t="shared" si="12"/>
        <v>1</v>
      </c>
      <c r="AN12" s="351">
        <f t="shared" si="13"/>
        <v>1</v>
      </c>
      <c r="AO12" s="351">
        <f t="shared" si="14"/>
        <v>1</v>
      </c>
      <c r="AP12" s="351">
        <f t="shared" si="15"/>
        <v>1</v>
      </c>
      <c r="AQ12" s="351">
        <f t="shared" si="16"/>
        <v>1</v>
      </c>
      <c r="AR12" s="351">
        <f t="shared" si="17"/>
        <v>1</v>
      </c>
      <c r="AS12" s="351">
        <f t="shared" si="18"/>
        <v>1</v>
      </c>
      <c r="AT12" s="351">
        <f t="shared" si="19"/>
        <v>1</v>
      </c>
      <c r="AU12" s="351">
        <f t="shared" si="20"/>
        <v>1</v>
      </c>
      <c r="AV12" s="351">
        <f t="shared" si="21"/>
        <v>1</v>
      </c>
      <c r="AW12" s="351">
        <f t="shared" si="22"/>
        <v>1</v>
      </c>
      <c r="AX12" s="351">
        <f t="shared" si="23"/>
        <v>1</v>
      </c>
      <c r="AY12" s="351">
        <f t="shared" si="24"/>
        <v>1</v>
      </c>
      <c r="BD12" s="351">
        <f t="shared" ref="BD12:BM43" ca="1" si="39">IF($F12="","",BD$10)</f>
        <v>0</v>
      </c>
      <c r="BE12" s="351">
        <f t="shared" ca="1" si="25"/>
        <v>0</v>
      </c>
      <c r="BF12" s="351" t="e">
        <f t="shared" ca="1" si="25"/>
        <v>#N/A</v>
      </c>
      <c r="BG12" s="351" t="e">
        <f t="shared" ca="1" si="25"/>
        <v>#N/A</v>
      </c>
      <c r="BH12" s="351" t="e">
        <f t="shared" ca="1" si="25"/>
        <v>#N/A</v>
      </c>
      <c r="BI12" s="351" t="e">
        <f t="shared" ca="1" si="25"/>
        <v>#N/A</v>
      </c>
      <c r="BJ12" s="351" t="e">
        <f t="shared" ca="1" si="25"/>
        <v>#N/A</v>
      </c>
      <c r="BK12" s="351" t="e">
        <f t="shared" ca="1" si="25"/>
        <v>#N/A</v>
      </c>
      <c r="BL12" s="351" t="e">
        <f t="shared" ca="1" si="25"/>
        <v>#N/A</v>
      </c>
      <c r="BM12" s="351" t="e">
        <f t="shared" ca="1" si="25"/>
        <v>#N/A</v>
      </c>
    </row>
    <row r="13" spans="1:65" x14ac:dyDescent="0.25">
      <c r="A13" s="379"/>
      <c r="B13" s="379" t="str">
        <f t="shared" ca="1" si="26"/>
        <v/>
      </c>
      <c r="C13" s="380"/>
      <c r="D13" s="380"/>
      <c r="E13" s="380"/>
      <c r="F13" s="403" t="str">
        <f ca="1">'תנאי סף'!B13</f>
        <v/>
      </c>
      <c r="G13" s="379"/>
      <c r="H13" s="379"/>
      <c r="I13" s="379"/>
      <c r="J13" s="379"/>
      <c r="K13" s="379"/>
      <c r="L13" s="379"/>
      <c r="M13" s="379"/>
      <c r="N13" s="379"/>
      <c r="O13" s="379"/>
      <c r="P13" s="379"/>
      <c r="Q13" s="379"/>
      <c r="R13" s="379" t="str">
        <f t="shared" ca="1" si="27"/>
        <v/>
      </c>
      <c r="S13" s="379" t="str">
        <f t="shared" ca="1" si="28"/>
        <v/>
      </c>
      <c r="T13" s="379" t="str">
        <f t="shared" ca="1" si="29"/>
        <v/>
      </c>
      <c r="U13" s="398" t="str">
        <f t="shared" ca="1" si="30"/>
        <v/>
      </c>
      <c r="V13" s="423"/>
      <c r="W13" s="379" t="str">
        <f t="shared" ca="1" si="31"/>
        <v/>
      </c>
      <c r="X13" s="386" t="str">
        <f t="shared" ca="1" si="32"/>
        <v/>
      </c>
      <c r="Y13" s="386" t="str">
        <f t="shared" ca="1" si="33"/>
        <v/>
      </c>
      <c r="Z13" s="386" t="str">
        <f t="shared" ca="1" si="34"/>
        <v/>
      </c>
      <c r="AA13" s="386" t="str">
        <f t="shared" ca="1" si="35"/>
        <v/>
      </c>
      <c r="AB13" s="386" t="str">
        <f t="shared" ca="1" si="36"/>
        <v/>
      </c>
      <c r="AD13" s="351">
        <f t="shared" si="37"/>
        <v>1</v>
      </c>
      <c r="AE13" s="351" t="str">
        <f t="shared" ca="1" si="38"/>
        <v/>
      </c>
      <c r="AF13" s="351" t="str">
        <f t="shared" ca="1" si="38"/>
        <v/>
      </c>
      <c r="AG13" s="351">
        <f t="shared" si="6"/>
        <v>1</v>
      </c>
      <c r="AH13" s="351">
        <f t="shared" si="7"/>
        <v>1</v>
      </c>
      <c r="AI13" s="351">
        <f t="shared" si="8"/>
        <v>1</v>
      </c>
      <c r="AJ13" s="351">
        <f t="shared" si="9"/>
        <v>1</v>
      </c>
      <c r="AK13" s="351">
        <f t="shared" si="10"/>
        <v>1</v>
      </c>
      <c r="AL13" s="351">
        <f t="shared" si="11"/>
        <v>1</v>
      </c>
      <c r="AM13" s="351">
        <f t="shared" si="12"/>
        <v>1</v>
      </c>
      <c r="AN13" s="351">
        <f t="shared" si="13"/>
        <v>1</v>
      </c>
      <c r="AO13" s="351">
        <f t="shared" si="14"/>
        <v>1</v>
      </c>
      <c r="AP13" s="351">
        <f t="shared" si="15"/>
        <v>1</v>
      </c>
      <c r="AQ13" s="351">
        <f t="shared" si="16"/>
        <v>1</v>
      </c>
      <c r="AR13" s="351">
        <f t="shared" si="17"/>
        <v>1</v>
      </c>
      <c r="AS13" s="351">
        <f t="shared" si="18"/>
        <v>1</v>
      </c>
      <c r="AT13" s="351">
        <f t="shared" si="19"/>
        <v>1</v>
      </c>
      <c r="AU13" s="351">
        <f t="shared" si="20"/>
        <v>1</v>
      </c>
      <c r="AV13" s="351">
        <f t="shared" si="21"/>
        <v>1</v>
      </c>
      <c r="AW13" s="351">
        <f t="shared" si="22"/>
        <v>1</v>
      </c>
      <c r="AX13" s="351">
        <f t="shared" si="23"/>
        <v>1</v>
      </c>
      <c r="AY13" s="351">
        <f t="shared" si="24"/>
        <v>1</v>
      </c>
      <c r="BD13" s="351" t="str">
        <f t="shared" ca="1" si="39"/>
        <v/>
      </c>
      <c r="BE13" s="351" t="str">
        <f t="shared" ca="1" si="25"/>
        <v/>
      </c>
      <c r="BF13" s="351" t="str">
        <f t="shared" ca="1" si="25"/>
        <v/>
      </c>
      <c r="BG13" s="351" t="str">
        <f t="shared" ca="1" si="25"/>
        <v/>
      </c>
      <c r="BH13" s="351" t="str">
        <f t="shared" ca="1" si="25"/>
        <v/>
      </c>
      <c r="BI13" s="351" t="str">
        <f t="shared" ca="1" si="25"/>
        <v/>
      </c>
      <c r="BJ13" s="351" t="str">
        <f t="shared" ca="1" si="25"/>
        <v/>
      </c>
      <c r="BK13" s="351" t="str">
        <f t="shared" ca="1" si="25"/>
        <v/>
      </c>
      <c r="BL13" s="351" t="str">
        <f t="shared" ca="1" si="25"/>
        <v/>
      </c>
      <c r="BM13" s="351" t="str">
        <f t="shared" ca="1" si="25"/>
        <v/>
      </c>
    </row>
    <row r="14" spans="1:65" x14ac:dyDescent="0.25">
      <c r="A14" s="379"/>
      <c r="B14" s="379">
        <f t="shared" ca="1" si="26"/>
        <v>4</v>
      </c>
      <c r="C14" s="380"/>
      <c r="D14" s="380"/>
      <c r="E14" s="380"/>
      <c r="F14" s="403" t="str">
        <f ca="1">'תנאי סף'!B14</f>
        <v>דעות (ברית נאמני תורה ועבודה)</v>
      </c>
      <c r="G14" s="379"/>
      <c r="H14" s="379"/>
      <c r="I14" s="379"/>
      <c r="J14" s="379"/>
      <c r="K14" s="379"/>
      <c r="L14" s="379"/>
      <c r="M14" s="379"/>
      <c r="N14" s="379"/>
      <c r="O14" s="379"/>
      <c r="P14" s="379"/>
      <c r="Q14" s="379"/>
      <c r="R14" s="379">
        <f t="shared" ca="1" si="27"/>
        <v>3</v>
      </c>
      <c r="S14" s="379">
        <f t="shared" ca="1" si="28"/>
        <v>3</v>
      </c>
      <c r="T14" s="379">
        <f t="shared" ca="1" si="29"/>
        <v>3</v>
      </c>
      <c r="U14" s="398">
        <f t="shared" ca="1" si="30"/>
        <v>1</v>
      </c>
      <c r="V14" s="423"/>
      <c r="W14" s="379">
        <f t="shared" ca="1" si="31"/>
        <v>1</v>
      </c>
      <c r="X14" s="386">
        <f t="shared" ca="1" si="32"/>
        <v>0</v>
      </c>
      <c r="Y14" s="386">
        <f t="shared" ca="1" si="33"/>
        <v>0</v>
      </c>
      <c r="Z14" s="386">
        <f t="shared" ca="1" si="34"/>
        <v>0</v>
      </c>
      <c r="AA14" s="386">
        <f t="shared" ca="1" si="35"/>
        <v>0</v>
      </c>
      <c r="AB14" s="386">
        <f t="shared" ca="1" si="36"/>
        <v>0</v>
      </c>
      <c r="AD14" s="351">
        <f t="shared" si="37"/>
        <v>1</v>
      </c>
      <c r="AE14" s="351">
        <f t="shared" ca="1" si="38"/>
        <v>0</v>
      </c>
      <c r="AF14" s="351">
        <f t="shared" ca="1" si="38"/>
        <v>1</v>
      </c>
      <c r="AG14" s="351">
        <f t="shared" si="6"/>
        <v>1</v>
      </c>
      <c r="AH14" s="351">
        <f t="shared" si="7"/>
        <v>1</v>
      </c>
      <c r="AI14" s="351">
        <f t="shared" si="8"/>
        <v>1</v>
      </c>
      <c r="AJ14" s="351">
        <f t="shared" si="9"/>
        <v>1</v>
      </c>
      <c r="AK14" s="351">
        <f t="shared" si="10"/>
        <v>1</v>
      </c>
      <c r="AL14" s="351">
        <f t="shared" si="11"/>
        <v>1</v>
      </c>
      <c r="AM14" s="351">
        <f t="shared" si="12"/>
        <v>1</v>
      </c>
      <c r="AN14" s="351">
        <f t="shared" si="13"/>
        <v>1</v>
      </c>
      <c r="AO14" s="351">
        <f t="shared" si="14"/>
        <v>1</v>
      </c>
      <c r="AP14" s="351">
        <f t="shared" si="15"/>
        <v>1</v>
      </c>
      <c r="AQ14" s="351">
        <f t="shared" si="16"/>
        <v>1</v>
      </c>
      <c r="AR14" s="351">
        <f t="shared" si="17"/>
        <v>1</v>
      </c>
      <c r="AS14" s="351">
        <f t="shared" si="18"/>
        <v>1</v>
      </c>
      <c r="AT14" s="351">
        <f t="shared" si="19"/>
        <v>1</v>
      </c>
      <c r="AU14" s="351">
        <f t="shared" si="20"/>
        <v>1</v>
      </c>
      <c r="AV14" s="351">
        <f t="shared" si="21"/>
        <v>1</v>
      </c>
      <c r="AW14" s="351">
        <f t="shared" si="22"/>
        <v>1</v>
      </c>
      <c r="AX14" s="351">
        <f t="shared" si="23"/>
        <v>1</v>
      </c>
      <c r="AY14" s="351">
        <f t="shared" si="24"/>
        <v>1</v>
      </c>
      <c r="BD14" s="351">
        <f t="shared" ca="1" si="39"/>
        <v>0</v>
      </c>
      <c r="BE14" s="351">
        <f t="shared" ca="1" si="25"/>
        <v>0</v>
      </c>
      <c r="BF14" s="351" t="e">
        <f t="shared" ca="1" si="25"/>
        <v>#N/A</v>
      </c>
      <c r="BG14" s="351" t="e">
        <f t="shared" ca="1" si="25"/>
        <v>#N/A</v>
      </c>
      <c r="BH14" s="351" t="e">
        <f t="shared" ca="1" si="25"/>
        <v>#N/A</v>
      </c>
      <c r="BI14" s="351" t="e">
        <f t="shared" ca="1" si="25"/>
        <v>#N/A</v>
      </c>
      <c r="BJ14" s="351" t="e">
        <f t="shared" ca="1" si="25"/>
        <v>#N/A</v>
      </c>
      <c r="BK14" s="351" t="e">
        <f t="shared" ca="1" si="25"/>
        <v>#N/A</v>
      </c>
      <c r="BL14" s="351" t="e">
        <f t="shared" ca="1" si="25"/>
        <v>#N/A</v>
      </c>
      <c r="BM14" s="351" t="e">
        <f t="shared" ca="1" si="25"/>
        <v>#N/A</v>
      </c>
    </row>
    <row r="15" spans="1:65" x14ac:dyDescent="0.25">
      <c r="A15" s="379"/>
      <c r="B15" s="379">
        <f t="shared" ca="1" si="26"/>
        <v>5</v>
      </c>
      <c r="C15" s="380"/>
      <c r="D15" s="380"/>
      <c r="E15" s="380"/>
      <c r="F15" s="403" t="str">
        <f ca="1">'תנאי סף'!B15</f>
        <v>הליקון</v>
      </c>
      <c r="G15" s="379"/>
      <c r="H15" s="379"/>
      <c r="I15" s="379"/>
      <c r="J15" s="379"/>
      <c r="K15" s="379"/>
      <c r="L15" s="379"/>
      <c r="M15" s="379"/>
      <c r="N15" s="379"/>
      <c r="O15" s="379"/>
      <c r="P15" s="379"/>
      <c r="Q15" s="379"/>
      <c r="R15" s="379">
        <f t="shared" ca="1" si="27"/>
        <v>3</v>
      </c>
      <c r="S15" s="379">
        <f t="shared" ca="1" si="28"/>
        <v>3</v>
      </c>
      <c r="T15" s="379">
        <f t="shared" ca="1" si="29"/>
        <v>3</v>
      </c>
      <c r="U15" s="398">
        <f t="shared" ca="1" si="30"/>
        <v>0.78761061946902655</v>
      </c>
      <c r="V15" s="423"/>
      <c r="W15" s="379">
        <f t="shared" ca="1" si="31"/>
        <v>1</v>
      </c>
      <c r="X15" s="386">
        <f t="shared" ca="1" si="32"/>
        <v>0</v>
      </c>
      <c r="Y15" s="386">
        <f t="shared" ca="1" si="33"/>
        <v>0</v>
      </c>
      <c r="Z15" s="386">
        <f t="shared" ca="1" si="34"/>
        <v>0</v>
      </c>
      <c r="AA15" s="386">
        <f t="shared" ca="1" si="35"/>
        <v>0</v>
      </c>
      <c r="AB15" s="386">
        <f t="shared" ca="1" si="36"/>
        <v>0</v>
      </c>
      <c r="AD15" s="351">
        <f t="shared" si="37"/>
        <v>1</v>
      </c>
      <c r="AE15" s="351">
        <f t="shared" ca="1" si="38"/>
        <v>0</v>
      </c>
      <c r="AF15" s="351">
        <f t="shared" ca="1" si="38"/>
        <v>1</v>
      </c>
      <c r="AG15" s="351">
        <f t="shared" si="6"/>
        <v>1</v>
      </c>
      <c r="AH15" s="351">
        <f t="shared" si="7"/>
        <v>1</v>
      </c>
      <c r="AI15" s="351">
        <f t="shared" si="8"/>
        <v>1</v>
      </c>
      <c r="AJ15" s="351">
        <f t="shared" si="9"/>
        <v>1</v>
      </c>
      <c r="AK15" s="351">
        <f t="shared" si="10"/>
        <v>1</v>
      </c>
      <c r="AL15" s="351">
        <f t="shared" si="11"/>
        <v>1</v>
      </c>
      <c r="AM15" s="351">
        <f t="shared" si="12"/>
        <v>1</v>
      </c>
      <c r="AN15" s="351">
        <f t="shared" si="13"/>
        <v>1</v>
      </c>
      <c r="AO15" s="351">
        <f t="shared" si="14"/>
        <v>1</v>
      </c>
      <c r="AP15" s="351">
        <f t="shared" si="15"/>
        <v>1</v>
      </c>
      <c r="AQ15" s="351">
        <f t="shared" si="16"/>
        <v>1</v>
      </c>
      <c r="AR15" s="351">
        <f t="shared" si="17"/>
        <v>1</v>
      </c>
      <c r="AS15" s="351">
        <f t="shared" si="18"/>
        <v>1</v>
      </c>
      <c r="AT15" s="351">
        <f t="shared" si="19"/>
        <v>1</v>
      </c>
      <c r="AU15" s="351">
        <f t="shared" si="20"/>
        <v>1</v>
      </c>
      <c r="AV15" s="351">
        <f t="shared" si="21"/>
        <v>1</v>
      </c>
      <c r="AW15" s="351">
        <f t="shared" si="22"/>
        <v>1</v>
      </c>
      <c r="AX15" s="351">
        <f t="shared" si="23"/>
        <v>1</v>
      </c>
      <c r="AY15" s="351">
        <f t="shared" si="24"/>
        <v>1</v>
      </c>
      <c r="BD15" s="351">
        <f t="shared" ca="1" si="39"/>
        <v>0</v>
      </c>
      <c r="BE15" s="351">
        <f t="shared" ca="1" si="25"/>
        <v>0</v>
      </c>
      <c r="BF15" s="351" t="e">
        <f t="shared" ca="1" si="25"/>
        <v>#N/A</v>
      </c>
      <c r="BG15" s="351" t="e">
        <f t="shared" ca="1" si="25"/>
        <v>#N/A</v>
      </c>
      <c r="BH15" s="351" t="e">
        <f t="shared" ca="1" si="25"/>
        <v>#N/A</v>
      </c>
      <c r="BI15" s="351" t="e">
        <f t="shared" ca="1" si="25"/>
        <v>#N/A</v>
      </c>
      <c r="BJ15" s="351" t="e">
        <f t="shared" ca="1" si="25"/>
        <v>#N/A</v>
      </c>
      <c r="BK15" s="351" t="e">
        <f t="shared" ca="1" si="25"/>
        <v>#N/A</v>
      </c>
      <c r="BL15" s="351" t="e">
        <f t="shared" ca="1" si="25"/>
        <v>#N/A</v>
      </c>
      <c r="BM15" s="351" t="e">
        <f t="shared" ca="1" si="25"/>
        <v>#N/A</v>
      </c>
    </row>
    <row r="16" spans="1:65" x14ac:dyDescent="0.25">
      <c r="A16" s="379"/>
      <c r="B16" s="379" t="str">
        <f t="shared" ca="1" si="26"/>
        <v/>
      </c>
      <c r="C16" s="380"/>
      <c r="D16" s="380"/>
      <c r="E16" s="380"/>
      <c r="F16" s="403" t="str">
        <f ca="1">'תנאי סף'!B16</f>
        <v/>
      </c>
      <c r="G16" s="379"/>
      <c r="H16" s="379"/>
      <c r="I16" s="379"/>
      <c r="J16" s="379"/>
      <c r="K16" s="379"/>
      <c r="L16" s="379"/>
      <c r="M16" s="379"/>
      <c r="N16" s="379"/>
      <c r="O16" s="379"/>
      <c r="P16" s="379"/>
      <c r="Q16" s="379"/>
      <c r="R16" s="379" t="str">
        <f t="shared" ca="1" si="27"/>
        <v/>
      </c>
      <c r="S16" s="379" t="str">
        <f t="shared" ca="1" si="28"/>
        <v/>
      </c>
      <c r="T16" s="379" t="str">
        <f t="shared" ca="1" si="29"/>
        <v/>
      </c>
      <c r="U16" s="398" t="str">
        <f t="shared" ca="1" si="30"/>
        <v/>
      </c>
      <c r="V16" s="423"/>
      <c r="W16" s="379" t="str">
        <f t="shared" ca="1" si="31"/>
        <v/>
      </c>
      <c r="X16" s="386" t="str">
        <f t="shared" ca="1" si="32"/>
        <v/>
      </c>
      <c r="Y16" s="386" t="str">
        <f t="shared" ca="1" si="33"/>
        <v/>
      </c>
      <c r="Z16" s="386" t="str">
        <f t="shared" ca="1" si="34"/>
        <v/>
      </c>
      <c r="AA16" s="386" t="str">
        <f t="shared" ca="1" si="35"/>
        <v/>
      </c>
      <c r="AB16" s="386" t="str">
        <f t="shared" ca="1" si="36"/>
        <v/>
      </c>
      <c r="AD16" s="351">
        <f t="shared" si="37"/>
        <v>1</v>
      </c>
      <c r="AE16" s="351" t="str">
        <f t="shared" ca="1" si="38"/>
        <v/>
      </c>
      <c r="AF16" s="351" t="str">
        <f t="shared" ca="1" si="38"/>
        <v/>
      </c>
      <c r="AG16" s="351">
        <f t="shared" si="6"/>
        <v>1</v>
      </c>
      <c r="AH16" s="351">
        <f t="shared" si="7"/>
        <v>1</v>
      </c>
      <c r="AI16" s="351">
        <f t="shared" si="8"/>
        <v>1</v>
      </c>
      <c r="AJ16" s="351">
        <f t="shared" si="9"/>
        <v>1</v>
      </c>
      <c r="AK16" s="351">
        <f t="shared" si="10"/>
        <v>1</v>
      </c>
      <c r="AL16" s="351">
        <f t="shared" si="11"/>
        <v>1</v>
      </c>
      <c r="AM16" s="351">
        <f t="shared" si="12"/>
        <v>1</v>
      </c>
      <c r="AN16" s="351">
        <f t="shared" si="13"/>
        <v>1</v>
      </c>
      <c r="AO16" s="351">
        <f t="shared" si="14"/>
        <v>1</v>
      </c>
      <c r="AP16" s="351">
        <f t="shared" si="15"/>
        <v>1</v>
      </c>
      <c r="AQ16" s="351">
        <f t="shared" si="16"/>
        <v>1</v>
      </c>
      <c r="AR16" s="351">
        <f t="shared" si="17"/>
        <v>1</v>
      </c>
      <c r="AS16" s="351">
        <f t="shared" si="18"/>
        <v>1</v>
      </c>
      <c r="AT16" s="351">
        <f t="shared" si="19"/>
        <v>1</v>
      </c>
      <c r="AU16" s="351">
        <f t="shared" si="20"/>
        <v>1</v>
      </c>
      <c r="AV16" s="351">
        <f t="shared" si="21"/>
        <v>1</v>
      </c>
      <c r="AW16" s="351">
        <f t="shared" si="22"/>
        <v>1</v>
      </c>
      <c r="AX16" s="351">
        <f t="shared" si="23"/>
        <v>1</v>
      </c>
      <c r="AY16" s="351">
        <f t="shared" si="24"/>
        <v>1</v>
      </c>
      <c r="BD16" s="351" t="str">
        <f t="shared" ca="1" si="39"/>
        <v/>
      </c>
      <c r="BE16" s="351" t="str">
        <f t="shared" ca="1" si="25"/>
        <v/>
      </c>
      <c r="BF16" s="351" t="str">
        <f t="shared" ca="1" si="25"/>
        <v/>
      </c>
      <c r="BG16" s="351" t="str">
        <f t="shared" ca="1" si="25"/>
        <v/>
      </c>
      <c r="BH16" s="351" t="str">
        <f t="shared" ca="1" si="25"/>
        <v/>
      </c>
      <c r="BI16" s="351" t="str">
        <f t="shared" ca="1" si="25"/>
        <v/>
      </c>
      <c r="BJ16" s="351" t="str">
        <f t="shared" ca="1" si="25"/>
        <v/>
      </c>
      <c r="BK16" s="351" t="str">
        <f t="shared" ca="1" si="25"/>
        <v/>
      </c>
      <c r="BL16" s="351" t="str">
        <f t="shared" ca="1" si="25"/>
        <v/>
      </c>
      <c r="BM16" s="351" t="str">
        <f t="shared" ca="1" si="25"/>
        <v/>
      </c>
    </row>
    <row r="17" spans="1:65" x14ac:dyDescent="0.25">
      <c r="A17" s="379"/>
      <c r="B17" s="379" t="str">
        <f t="shared" ca="1" si="26"/>
        <v/>
      </c>
      <c r="C17" s="380"/>
      <c r="D17" s="380"/>
      <c r="E17" s="380"/>
      <c r="F17" s="403" t="str">
        <f ca="1">'תנאי סף'!B17</f>
        <v/>
      </c>
      <c r="G17" s="379"/>
      <c r="H17" s="379"/>
      <c r="I17" s="379"/>
      <c r="J17" s="379"/>
      <c r="K17" s="379"/>
      <c r="L17" s="379"/>
      <c r="M17" s="379"/>
      <c r="N17" s="379"/>
      <c r="O17" s="379"/>
      <c r="P17" s="379"/>
      <c r="Q17" s="379"/>
      <c r="R17" s="379" t="str">
        <f t="shared" ca="1" si="27"/>
        <v/>
      </c>
      <c r="S17" s="379" t="str">
        <f t="shared" ca="1" si="28"/>
        <v/>
      </c>
      <c r="T17" s="379" t="str">
        <f t="shared" ca="1" si="29"/>
        <v/>
      </c>
      <c r="U17" s="398" t="str">
        <f t="shared" ca="1" si="30"/>
        <v/>
      </c>
      <c r="V17" s="423"/>
      <c r="W17" s="379" t="str">
        <f t="shared" ca="1" si="31"/>
        <v/>
      </c>
      <c r="X17" s="386" t="str">
        <f t="shared" ca="1" si="32"/>
        <v/>
      </c>
      <c r="Y17" s="386" t="str">
        <f t="shared" ca="1" si="33"/>
        <v/>
      </c>
      <c r="Z17" s="386" t="str">
        <f t="shared" ca="1" si="34"/>
        <v/>
      </c>
      <c r="AA17" s="386" t="str">
        <f t="shared" ca="1" si="35"/>
        <v/>
      </c>
      <c r="AB17" s="386" t="str">
        <f t="shared" ca="1" si="36"/>
        <v/>
      </c>
      <c r="AD17" s="351">
        <f t="shared" si="37"/>
        <v>1</v>
      </c>
      <c r="AE17" s="351" t="str">
        <f t="shared" ca="1" si="38"/>
        <v/>
      </c>
      <c r="AF17" s="351" t="str">
        <f t="shared" ca="1" si="38"/>
        <v/>
      </c>
      <c r="AG17" s="351">
        <f t="shared" si="6"/>
        <v>1</v>
      </c>
      <c r="AH17" s="351">
        <f t="shared" si="7"/>
        <v>1</v>
      </c>
      <c r="AI17" s="351">
        <f t="shared" si="8"/>
        <v>1</v>
      </c>
      <c r="AJ17" s="351">
        <f t="shared" si="9"/>
        <v>1</v>
      </c>
      <c r="AK17" s="351">
        <f t="shared" si="10"/>
        <v>1</v>
      </c>
      <c r="AL17" s="351">
        <f t="shared" si="11"/>
        <v>1</v>
      </c>
      <c r="AM17" s="351">
        <f t="shared" si="12"/>
        <v>1</v>
      </c>
      <c r="AN17" s="351">
        <f t="shared" si="13"/>
        <v>1</v>
      </c>
      <c r="AO17" s="351">
        <f t="shared" si="14"/>
        <v>1</v>
      </c>
      <c r="AP17" s="351">
        <f t="shared" si="15"/>
        <v>1</v>
      </c>
      <c r="AQ17" s="351">
        <f t="shared" si="16"/>
        <v>1</v>
      </c>
      <c r="AR17" s="351">
        <f t="shared" si="17"/>
        <v>1</v>
      </c>
      <c r="AS17" s="351">
        <f t="shared" si="18"/>
        <v>1</v>
      </c>
      <c r="AT17" s="351">
        <f t="shared" si="19"/>
        <v>1</v>
      </c>
      <c r="AU17" s="351">
        <f t="shared" si="20"/>
        <v>1</v>
      </c>
      <c r="AV17" s="351">
        <f t="shared" si="21"/>
        <v>1</v>
      </c>
      <c r="AW17" s="351">
        <f t="shared" si="22"/>
        <v>1</v>
      </c>
      <c r="AX17" s="351">
        <f t="shared" si="23"/>
        <v>1</v>
      </c>
      <c r="AY17" s="351">
        <f t="shared" si="24"/>
        <v>1</v>
      </c>
      <c r="BD17" s="351" t="str">
        <f t="shared" ca="1" si="39"/>
        <v/>
      </c>
      <c r="BE17" s="351" t="str">
        <f t="shared" ca="1" si="25"/>
        <v/>
      </c>
      <c r="BF17" s="351" t="str">
        <f t="shared" ca="1" si="25"/>
        <v/>
      </c>
      <c r="BG17" s="351" t="str">
        <f t="shared" ca="1" si="25"/>
        <v/>
      </c>
      <c r="BH17" s="351" t="str">
        <f t="shared" ca="1" si="25"/>
        <v/>
      </c>
      <c r="BI17" s="351" t="str">
        <f t="shared" ca="1" si="25"/>
        <v/>
      </c>
      <c r="BJ17" s="351" t="str">
        <f t="shared" ca="1" si="25"/>
        <v/>
      </c>
      <c r="BK17" s="351" t="str">
        <f t="shared" ca="1" si="25"/>
        <v/>
      </c>
      <c r="BL17" s="351" t="str">
        <f t="shared" ca="1" si="25"/>
        <v/>
      </c>
      <c r="BM17" s="351" t="str">
        <f t="shared" ca="1" si="25"/>
        <v/>
      </c>
    </row>
    <row r="18" spans="1:65" x14ac:dyDescent="0.25">
      <c r="A18" s="379"/>
      <c r="B18" s="379">
        <f t="shared" ca="1" si="26"/>
        <v>8</v>
      </c>
      <c r="C18" s="380"/>
      <c r="D18" s="380"/>
      <c r="E18" s="380"/>
      <c r="F18" s="403" t="str">
        <f ca="1">'תנאי סף'!B18</f>
        <v>ננפואטיקה (עמותת מקום לשירה)</v>
      </c>
      <c r="G18" s="379"/>
      <c r="H18" s="379"/>
      <c r="I18" s="379"/>
      <c r="J18" s="379"/>
      <c r="K18" s="379"/>
      <c r="L18" s="379"/>
      <c r="M18" s="379"/>
      <c r="N18" s="379"/>
      <c r="O18" s="379"/>
      <c r="P18" s="379"/>
      <c r="Q18" s="379"/>
      <c r="R18" s="379">
        <f t="shared" ca="1" si="27"/>
        <v>5</v>
      </c>
      <c r="S18" s="379">
        <f t="shared" ca="1" si="28"/>
        <v>5</v>
      </c>
      <c r="T18" s="379">
        <f t="shared" ca="1" si="29"/>
        <v>5</v>
      </c>
      <c r="U18" s="398">
        <f t="shared" ca="1" si="30"/>
        <v>0.97289156626506024</v>
      </c>
      <c r="V18" s="423"/>
      <c r="W18" s="379">
        <f t="shared" ca="1" si="31"/>
        <v>1</v>
      </c>
      <c r="X18" s="386">
        <f t="shared" ca="1" si="32"/>
        <v>0</v>
      </c>
      <c r="Y18" s="386">
        <f t="shared" ca="1" si="33"/>
        <v>0</v>
      </c>
      <c r="Z18" s="386">
        <f t="shared" ca="1" si="34"/>
        <v>0</v>
      </c>
      <c r="AA18" s="386">
        <f t="shared" ca="1" si="35"/>
        <v>0</v>
      </c>
      <c r="AB18" s="386">
        <f t="shared" ca="1" si="36"/>
        <v>0</v>
      </c>
      <c r="AD18" s="351">
        <f t="shared" si="37"/>
        <v>1</v>
      </c>
      <c r="AE18" s="351">
        <f t="shared" ca="1" si="38"/>
        <v>0</v>
      </c>
      <c r="AF18" s="351">
        <f t="shared" ca="1" si="38"/>
        <v>1</v>
      </c>
      <c r="AG18" s="351">
        <f t="shared" si="6"/>
        <v>1</v>
      </c>
      <c r="AH18" s="351">
        <f t="shared" si="7"/>
        <v>1</v>
      </c>
      <c r="AI18" s="351">
        <f t="shared" si="8"/>
        <v>1</v>
      </c>
      <c r="AJ18" s="351">
        <f t="shared" si="9"/>
        <v>1</v>
      </c>
      <c r="AK18" s="351">
        <f t="shared" si="10"/>
        <v>1</v>
      </c>
      <c r="AL18" s="351">
        <f t="shared" si="11"/>
        <v>1</v>
      </c>
      <c r="AM18" s="351">
        <f t="shared" si="12"/>
        <v>1</v>
      </c>
      <c r="AN18" s="351">
        <f t="shared" si="13"/>
        <v>1</v>
      </c>
      <c r="AO18" s="351">
        <f t="shared" si="14"/>
        <v>1</v>
      </c>
      <c r="AP18" s="351">
        <f t="shared" si="15"/>
        <v>1</v>
      </c>
      <c r="AQ18" s="351">
        <f t="shared" si="16"/>
        <v>1</v>
      </c>
      <c r="AR18" s="351">
        <f t="shared" si="17"/>
        <v>1</v>
      </c>
      <c r="AS18" s="351">
        <f t="shared" si="18"/>
        <v>1</v>
      </c>
      <c r="AT18" s="351">
        <f t="shared" si="19"/>
        <v>1</v>
      </c>
      <c r="AU18" s="351">
        <f t="shared" si="20"/>
        <v>1</v>
      </c>
      <c r="AV18" s="351">
        <f t="shared" si="21"/>
        <v>1</v>
      </c>
      <c r="AW18" s="351">
        <f t="shared" si="22"/>
        <v>1</v>
      </c>
      <c r="AX18" s="351">
        <f t="shared" si="23"/>
        <v>1</v>
      </c>
      <c r="AY18" s="351">
        <f t="shared" si="24"/>
        <v>1</v>
      </c>
      <c r="BD18" s="351">
        <f t="shared" ca="1" si="39"/>
        <v>0</v>
      </c>
      <c r="BE18" s="351">
        <f t="shared" ca="1" si="25"/>
        <v>0</v>
      </c>
      <c r="BF18" s="351" t="e">
        <f t="shared" ca="1" si="25"/>
        <v>#N/A</v>
      </c>
      <c r="BG18" s="351" t="e">
        <f t="shared" ca="1" si="25"/>
        <v>#N/A</v>
      </c>
      <c r="BH18" s="351" t="e">
        <f t="shared" ca="1" si="25"/>
        <v>#N/A</v>
      </c>
      <c r="BI18" s="351" t="e">
        <f t="shared" ca="1" si="25"/>
        <v>#N/A</v>
      </c>
      <c r="BJ18" s="351" t="e">
        <f t="shared" ca="1" si="25"/>
        <v>#N/A</v>
      </c>
      <c r="BK18" s="351" t="e">
        <f t="shared" ca="1" si="25"/>
        <v>#N/A</v>
      </c>
      <c r="BL18" s="351" t="e">
        <f t="shared" ca="1" si="25"/>
        <v>#N/A</v>
      </c>
      <c r="BM18" s="351" t="e">
        <f t="shared" ca="1" si="25"/>
        <v>#N/A</v>
      </c>
    </row>
    <row r="19" spans="1:65" x14ac:dyDescent="0.25">
      <c r="A19" s="379"/>
      <c r="B19" s="379">
        <f t="shared" ca="1" si="26"/>
        <v>9</v>
      </c>
      <c r="C19" s="380"/>
      <c r="D19" s="380"/>
      <c r="E19" s="380"/>
      <c r="F19" s="403" t="str">
        <f ca="1">'תנאי סף'!B19</f>
        <v>מאזניים (אגודת הסופרים העבריים)</v>
      </c>
      <c r="G19" s="379"/>
      <c r="H19" s="379"/>
      <c r="I19" s="379"/>
      <c r="J19" s="379"/>
      <c r="K19" s="379"/>
      <c r="L19" s="379"/>
      <c r="M19" s="379"/>
      <c r="N19" s="379"/>
      <c r="O19" s="379"/>
      <c r="P19" s="379"/>
      <c r="Q19" s="379"/>
      <c r="R19" s="379">
        <f t="shared" ca="1" si="27"/>
        <v>5</v>
      </c>
      <c r="S19" s="379">
        <f t="shared" ca="1" si="28"/>
        <v>5</v>
      </c>
      <c r="T19" s="379">
        <f t="shared" ca="1" si="29"/>
        <v>5</v>
      </c>
      <c r="U19" s="398">
        <f t="shared" ca="1" si="30"/>
        <v>0.97237569060773477</v>
      </c>
      <c r="V19" s="423"/>
      <c r="W19" s="379">
        <f t="shared" ca="1" si="31"/>
        <v>1</v>
      </c>
      <c r="X19" s="386">
        <f t="shared" ca="1" si="32"/>
        <v>0</v>
      </c>
      <c r="Y19" s="386">
        <f t="shared" ca="1" si="33"/>
        <v>0</v>
      </c>
      <c r="Z19" s="386">
        <f t="shared" ca="1" si="34"/>
        <v>0</v>
      </c>
      <c r="AA19" s="386">
        <f t="shared" ca="1" si="35"/>
        <v>0</v>
      </c>
      <c r="AB19" s="386">
        <f t="shared" ca="1" si="36"/>
        <v>0</v>
      </c>
      <c r="AD19" s="351">
        <f t="shared" si="37"/>
        <v>1</v>
      </c>
      <c r="AE19" s="351">
        <f t="shared" ca="1" si="38"/>
        <v>0</v>
      </c>
      <c r="AF19" s="351">
        <f t="shared" ca="1" si="38"/>
        <v>1</v>
      </c>
      <c r="AG19" s="351">
        <f t="shared" si="6"/>
        <v>1</v>
      </c>
      <c r="AH19" s="351">
        <f t="shared" si="7"/>
        <v>1</v>
      </c>
      <c r="AI19" s="351">
        <f t="shared" si="8"/>
        <v>1</v>
      </c>
      <c r="AJ19" s="351">
        <f t="shared" si="9"/>
        <v>1</v>
      </c>
      <c r="AK19" s="351">
        <f t="shared" si="10"/>
        <v>1</v>
      </c>
      <c r="AL19" s="351">
        <f t="shared" si="11"/>
        <v>1</v>
      </c>
      <c r="AM19" s="351">
        <f t="shared" si="12"/>
        <v>1</v>
      </c>
      <c r="AN19" s="351">
        <f t="shared" si="13"/>
        <v>1</v>
      </c>
      <c r="AO19" s="351">
        <f t="shared" si="14"/>
        <v>1</v>
      </c>
      <c r="AP19" s="351">
        <f t="shared" si="15"/>
        <v>1</v>
      </c>
      <c r="AQ19" s="351">
        <f t="shared" si="16"/>
        <v>1</v>
      </c>
      <c r="AR19" s="351">
        <f t="shared" si="17"/>
        <v>1</v>
      </c>
      <c r="AS19" s="351">
        <f t="shared" si="18"/>
        <v>1</v>
      </c>
      <c r="AT19" s="351">
        <f t="shared" si="19"/>
        <v>1</v>
      </c>
      <c r="AU19" s="351">
        <f t="shared" si="20"/>
        <v>1</v>
      </c>
      <c r="AV19" s="351">
        <f t="shared" si="21"/>
        <v>1</v>
      </c>
      <c r="AW19" s="351">
        <f t="shared" si="22"/>
        <v>1</v>
      </c>
      <c r="AX19" s="351">
        <f t="shared" si="23"/>
        <v>1</v>
      </c>
      <c r="AY19" s="351">
        <f t="shared" si="24"/>
        <v>1</v>
      </c>
      <c r="BD19" s="351">
        <f t="shared" ca="1" si="39"/>
        <v>0</v>
      </c>
      <c r="BE19" s="351">
        <f t="shared" ca="1" si="25"/>
        <v>0</v>
      </c>
      <c r="BF19" s="351" t="e">
        <f t="shared" ca="1" si="25"/>
        <v>#N/A</v>
      </c>
      <c r="BG19" s="351" t="e">
        <f t="shared" ca="1" si="25"/>
        <v>#N/A</v>
      </c>
      <c r="BH19" s="351" t="e">
        <f t="shared" ca="1" si="25"/>
        <v>#N/A</v>
      </c>
      <c r="BI19" s="351" t="e">
        <f t="shared" ca="1" si="25"/>
        <v>#N/A</v>
      </c>
      <c r="BJ19" s="351" t="e">
        <f t="shared" ca="1" si="25"/>
        <v>#N/A</v>
      </c>
      <c r="BK19" s="351" t="e">
        <f t="shared" ca="1" si="25"/>
        <v>#N/A</v>
      </c>
      <c r="BL19" s="351" t="e">
        <f t="shared" ca="1" si="25"/>
        <v>#N/A</v>
      </c>
      <c r="BM19" s="351" t="e">
        <f t="shared" ca="1" si="25"/>
        <v>#N/A</v>
      </c>
    </row>
    <row r="20" spans="1:65" x14ac:dyDescent="0.25">
      <c r="A20" s="379"/>
      <c r="B20" s="379">
        <f t="shared" ca="1" si="26"/>
        <v>10</v>
      </c>
      <c r="C20" s="380"/>
      <c r="D20" s="380"/>
      <c r="E20" s="380"/>
      <c r="F20" s="403" t="str">
        <f ca="1">'תנאי סף'!B20</f>
        <v>משיב הרוח</v>
      </c>
      <c r="G20" s="379"/>
      <c r="H20" s="379"/>
      <c r="I20" s="379"/>
      <c r="J20" s="379"/>
      <c r="K20" s="379"/>
      <c r="L20" s="379"/>
      <c r="M20" s="379"/>
      <c r="N20" s="379"/>
      <c r="O20" s="379"/>
      <c r="P20" s="379"/>
      <c r="Q20" s="379"/>
      <c r="R20" s="379">
        <f t="shared" ca="1" si="27"/>
        <v>5</v>
      </c>
      <c r="S20" s="379">
        <f t="shared" ca="1" si="28"/>
        <v>5</v>
      </c>
      <c r="T20" s="379">
        <f t="shared" ca="1" si="29"/>
        <v>5</v>
      </c>
      <c r="U20" s="398">
        <f t="shared" ca="1" si="30"/>
        <v>0.88978494623655913</v>
      </c>
      <c r="V20" s="423"/>
      <c r="W20" s="379">
        <f t="shared" ca="1" si="31"/>
        <v>1</v>
      </c>
      <c r="X20" s="386">
        <f t="shared" ca="1" si="32"/>
        <v>0</v>
      </c>
      <c r="Y20" s="386">
        <f t="shared" ca="1" si="33"/>
        <v>0</v>
      </c>
      <c r="Z20" s="386">
        <f t="shared" ca="1" si="34"/>
        <v>0</v>
      </c>
      <c r="AA20" s="386">
        <f t="shared" ca="1" si="35"/>
        <v>0</v>
      </c>
      <c r="AB20" s="386">
        <f t="shared" ca="1" si="36"/>
        <v>0</v>
      </c>
      <c r="AD20" s="351">
        <f t="shared" si="37"/>
        <v>1</v>
      </c>
      <c r="AE20" s="351">
        <f t="shared" ca="1" si="38"/>
        <v>0</v>
      </c>
      <c r="AF20" s="351">
        <f t="shared" ca="1" si="38"/>
        <v>1</v>
      </c>
      <c r="AG20" s="351">
        <f t="shared" si="6"/>
        <v>1</v>
      </c>
      <c r="AH20" s="351">
        <f t="shared" si="7"/>
        <v>1</v>
      </c>
      <c r="AI20" s="351">
        <f t="shared" si="8"/>
        <v>1</v>
      </c>
      <c r="AJ20" s="351">
        <f t="shared" si="9"/>
        <v>1</v>
      </c>
      <c r="AK20" s="351">
        <f t="shared" si="10"/>
        <v>1</v>
      </c>
      <c r="AL20" s="351">
        <f t="shared" si="11"/>
        <v>1</v>
      </c>
      <c r="AM20" s="351">
        <f t="shared" si="12"/>
        <v>1</v>
      </c>
      <c r="AN20" s="351">
        <f t="shared" si="13"/>
        <v>1</v>
      </c>
      <c r="AO20" s="351">
        <f t="shared" si="14"/>
        <v>1</v>
      </c>
      <c r="AP20" s="351">
        <f t="shared" si="15"/>
        <v>1</v>
      </c>
      <c r="AQ20" s="351">
        <f t="shared" si="16"/>
        <v>1</v>
      </c>
      <c r="AR20" s="351">
        <f t="shared" si="17"/>
        <v>1</v>
      </c>
      <c r="AS20" s="351">
        <f t="shared" si="18"/>
        <v>1</v>
      </c>
      <c r="AT20" s="351">
        <f t="shared" si="19"/>
        <v>1</v>
      </c>
      <c r="AU20" s="351">
        <f t="shared" si="20"/>
        <v>1</v>
      </c>
      <c r="AV20" s="351">
        <f t="shared" si="21"/>
        <v>1</v>
      </c>
      <c r="AW20" s="351">
        <f t="shared" si="22"/>
        <v>1</v>
      </c>
      <c r="AX20" s="351">
        <f t="shared" si="23"/>
        <v>1</v>
      </c>
      <c r="AY20" s="351">
        <f t="shared" si="24"/>
        <v>1</v>
      </c>
      <c r="BD20" s="351">
        <f t="shared" ca="1" si="39"/>
        <v>0</v>
      </c>
      <c r="BE20" s="351">
        <f t="shared" ca="1" si="25"/>
        <v>0</v>
      </c>
      <c r="BF20" s="351" t="e">
        <f t="shared" ca="1" si="25"/>
        <v>#N/A</v>
      </c>
      <c r="BG20" s="351" t="e">
        <f t="shared" ca="1" si="25"/>
        <v>#N/A</v>
      </c>
      <c r="BH20" s="351" t="e">
        <f t="shared" ca="1" si="25"/>
        <v>#N/A</v>
      </c>
      <c r="BI20" s="351" t="e">
        <f t="shared" ca="1" si="25"/>
        <v>#N/A</v>
      </c>
      <c r="BJ20" s="351" t="e">
        <f t="shared" ca="1" si="25"/>
        <v>#N/A</v>
      </c>
      <c r="BK20" s="351" t="e">
        <f t="shared" ca="1" si="25"/>
        <v>#N/A</v>
      </c>
      <c r="BL20" s="351" t="e">
        <f t="shared" ca="1" si="25"/>
        <v>#N/A</v>
      </c>
      <c r="BM20" s="351" t="e">
        <f t="shared" ca="1" si="25"/>
        <v>#N/A</v>
      </c>
    </row>
    <row r="21" spans="1:65" x14ac:dyDescent="0.25">
      <c r="A21" s="379"/>
      <c r="B21" s="379">
        <f t="shared" ca="1" si="26"/>
        <v>11</v>
      </c>
      <c r="C21" s="380"/>
      <c r="D21" s="380"/>
      <c r="E21" s="380"/>
      <c r="F21" s="403" t="str">
        <f ca="1">'תנאי סף'!B21</f>
        <v>עמדה (עמותת מונטן)</v>
      </c>
      <c r="G21" s="379"/>
      <c r="H21" s="379"/>
      <c r="I21" s="379"/>
      <c r="J21" s="379"/>
      <c r="K21" s="379"/>
      <c r="L21" s="379"/>
      <c r="M21" s="379"/>
      <c r="N21" s="379"/>
      <c r="O21" s="379"/>
      <c r="P21" s="379"/>
      <c r="Q21" s="379"/>
      <c r="R21" s="379">
        <f t="shared" ca="1" si="27"/>
        <v>2</v>
      </c>
      <c r="S21" s="379">
        <f t="shared" ca="1" si="28"/>
        <v>2</v>
      </c>
      <c r="T21" s="379">
        <f t="shared" ca="1" si="29"/>
        <v>2</v>
      </c>
      <c r="U21" s="398">
        <f t="shared" ca="1" si="30"/>
        <v>1</v>
      </c>
      <c r="V21" s="423"/>
      <c r="W21" s="379">
        <f t="shared" ca="1" si="31"/>
        <v>1</v>
      </c>
      <c r="X21" s="386">
        <f t="shared" ca="1" si="32"/>
        <v>0</v>
      </c>
      <c r="Y21" s="386">
        <f t="shared" ca="1" si="33"/>
        <v>0</v>
      </c>
      <c r="Z21" s="386">
        <f t="shared" ca="1" si="34"/>
        <v>0</v>
      </c>
      <c r="AA21" s="386">
        <f t="shared" ca="1" si="35"/>
        <v>0</v>
      </c>
      <c r="AB21" s="386">
        <f t="shared" ca="1" si="36"/>
        <v>0</v>
      </c>
      <c r="AD21" s="351">
        <f t="shared" si="37"/>
        <v>1</v>
      </c>
      <c r="AE21" s="351">
        <f t="shared" ca="1" si="38"/>
        <v>0</v>
      </c>
      <c r="AF21" s="351">
        <f t="shared" ca="1" si="38"/>
        <v>1</v>
      </c>
      <c r="AG21" s="351">
        <f t="shared" si="6"/>
        <v>1</v>
      </c>
      <c r="AH21" s="351">
        <f t="shared" si="7"/>
        <v>1</v>
      </c>
      <c r="AI21" s="351">
        <f t="shared" si="8"/>
        <v>1</v>
      </c>
      <c r="AJ21" s="351">
        <f t="shared" si="9"/>
        <v>1</v>
      </c>
      <c r="AK21" s="351">
        <f t="shared" si="10"/>
        <v>1</v>
      </c>
      <c r="AL21" s="351">
        <f t="shared" si="11"/>
        <v>1</v>
      </c>
      <c r="AM21" s="351">
        <f t="shared" si="12"/>
        <v>1</v>
      </c>
      <c r="AN21" s="351">
        <f t="shared" si="13"/>
        <v>1</v>
      </c>
      <c r="AO21" s="351">
        <f t="shared" si="14"/>
        <v>1</v>
      </c>
      <c r="AP21" s="351">
        <f t="shared" si="15"/>
        <v>1</v>
      </c>
      <c r="AQ21" s="351">
        <f t="shared" si="16"/>
        <v>1</v>
      </c>
      <c r="AR21" s="351">
        <f t="shared" si="17"/>
        <v>1</v>
      </c>
      <c r="AS21" s="351">
        <f t="shared" si="18"/>
        <v>1</v>
      </c>
      <c r="AT21" s="351">
        <f t="shared" si="19"/>
        <v>1</v>
      </c>
      <c r="AU21" s="351">
        <f t="shared" si="20"/>
        <v>1</v>
      </c>
      <c r="AV21" s="351">
        <f t="shared" si="21"/>
        <v>1</v>
      </c>
      <c r="AW21" s="351">
        <f t="shared" si="22"/>
        <v>1</v>
      </c>
      <c r="AX21" s="351">
        <f t="shared" si="23"/>
        <v>1</v>
      </c>
      <c r="AY21" s="351">
        <f t="shared" si="24"/>
        <v>1</v>
      </c>
      <c r="BD21" s="351">
        <f t="shared" ca="1" si="39"/>
        <v>0</v>
      </c>
      <c r="BE21" s="351">
        <f t="shared" ca="1" si="25"/>
        <v>0</v>
      </c>
      <c r="BF21" s="351" t="e">
        <f t="shared" ca="1" si="25"/>
        <v>#N/A</v>
      </c>
      <c r="BG21" s="351" t="e">
        <f t="shared" ca="1" si="25"/>
        <v>#N/A</v>
      </c>
      <c r="BH21" s="351" t="e">
        <f t="shared" ca="1" si="25"/>
        <v>#N/A</v>
      </c>
      <c r="BI21" s="351" t="e">
        <f t="shared" ca="1" si="25"/>
        <v>#N/A</v>
      </c>
      <c r="BJ21" s="351" t="e">
        <f t="shared" ca="1" si="25"/>
        <v>#N/A</v>
      </c>
      <c r="BK21" s="351" t="e">
        <f t="shared" ca="1" si="25"/>
        <v>#N/A</v>
      </c>
      <c r="BL21" s="351" t="e">
        <f t="shared" ca="1" si="25"/>
        <v>#N/A</v>
      </c>
      <c r="BM21" s="351" t="e">
        <f t="shared" ca="1" si="25"/>
        <v>#N/A</v>
      </c>
    </row>
    <row r="22" spans="1:65" ht="15" customHeight="1" x14ac:dyDescent="0.25">
      <c r="A22" s="379"/>
      <c r="B22" s="379">
        <f t="shared" ca="1" si="26"/>
        <v>12</v>
      </c>
      <c r="C22" s="380"/>
      <c r="D22" s="380"/>
      <c r="E22" s="380"/>
      <c r="F22" s="403" t="str">
        <f ca="1">'תנאי סף'!B22</f>
        <v>עתון 77 (אגודת סופרים ואמנים)</v>
      </c>
      <c r="G22" s="379"/>
      <c r="H22" s="379"/>
      <c r="I22" s="379"/>
      <c r="J22" s="379"/>
      <c r="K22" s="379"/>
      <c r="L22" s="379"/>
      <c r="M22" s="379"/>
      <c r="N22" s="379"/>
      <c r="O22" s="379"/>
      <c r="P22" s="379"/>
      <c r="Q22" s="379"/>
      <c r="R22" s="379">
        <f t="shared" ca="1" si="27"/>
        <v>6</v>
      </c>
      <c r="S22" s="379">
        <f t="shared" ca="1" si="28"/>
        <v>6</v>
      </c>
      <c r="T22" s="379">
        <f t="shared" ca="1" si="29"/>
        <v>6</v>
      </c>
      <c r="U22" s="398">
        <f t="shared" ca="1" si="30"/>
        <v>0.86746987951807231</v>
      </c>
      <c r="V22" s="423"/>
      <c r="W22" s="379">
        <f t="shared" ca="1" si="31"/>
        <v>1</v>
      </c>
      <c r="X22" s="386">
        <f t="shared" ca="1" si="32"/>
        <v>0</v>
      </c>
      <c r="Y22" s="386">
        <f t="shared" ca="1" si="33"/>
        <v>0</v>
      </c>
      <c r="Z22" s="386">
        <f t="shared" ca="1" si="34"/>
        <v>0</v>
      </c>
      <c r="AA22" s="386">
        <f t="shared" ca="1" si="35"/>
        <v>0</v>
      </c>
      <c r="AB22" s="386">
        <f t="shared" ca="1" si="36"/>
        <v>0</v>
      </c>
      <c r="AD22" s="351">
        <f t="shared" si="37"/>
        <v>1</v>
      </c>
      <c r="AE22" s="351">
        <f t="shared" ca="1" si="38"/>
        <v>0</v>
      </c>
      <c r="AF22" s="351">
        <f t="shared" ca="1" si="38"/>
        <v>1</v>
      </c>
      <c r="AG22" s="351">
        <f t="shared" si="6"/>
        <v>1</v>
      </c>
      <c r="AH22" s="351">
        <f t="shared" si="7"/>
        <v>1</v>
      </c>
      <c r="AI22" s="351">
        <f t="shared" si="8"/>
        <v>1</v>
      </c>
      <c r="AJ22" s="351">
        <f t="shared" si="9"/>
        <v>1</v>
      </c>
      <c r="AK22" s="351">
        <f t="shared" si="10"/>
        <v>1</v>
      </c>
      <c r="AL22" s="351">
        <f t="shared" si="11"/>
        <v>1</v>
      </c>
      <c r="AM22" s="351">
        <f t="shared" si="12"/>
        <v>1</v>
      </c>
      <c r="AN22" s="351">
        <f t="shared" si="13"/>
        <v>1</v>
      </c>
      <c r="AO22" s="351">
        <f t="shared" si="14"/>
        <v>1</v>
      </c>
      <c r="AP22" s="351">
        <f t="shared" si="15"/>
        <v>1</v>
      </c>
      <c r="AQ22" s="351">
        <f t="shared" si="16"/>
        <v>1</v>
      </c>
      <c r="AR22" s="351">
        <f t="shared" si="17"/>
        <v>1</v>
      </c>
      <c r="AS22" s="351">
        <f t="shared" si="18"/>
        <v>1</v>
      </c>
      <c r="AT22" s="351">
        <f t="shared" si="19"/>
        <v>1</v>
      </c>
      <c r="AU22" s="351">
        <f t="shared" si="20"/>
        <v>1</v>
      </c>
      <c r="AV22" s="351">
        <f t="shared" si="21"/>
        <v>1</v>
      </c>
      <c r="AW22" s="351">
        <f t="shared" si="22"/>
        <v>1</v>
      </c>
      <c r="AX22" s="351">
        <f t="shared" si="23"/>
        <v>1</v>
      </c>
      <c r="AY22" s="351">
        <f t="shared" si="24"/>
        <v>1</v>
      </c>
      <c r="BD22" s="351">
        <f t="shared" ca="1" si="39"/>
        <v>0</v>
      </c>
      <c r="BE22" s="351">
        <f t="shared" ca="1" si="25"/>
        <v>0</v>
      </c>
      <c r="BF22" s="351" t="e">
        <f t="shared" ca="1" si="25"/>
        <v>#N/A</v>
      </c>
      <c r="BG22" s="351" t="e">
        <f t="shared" ca="1" si="25"/>
        <v>#N/A</v>
      </c>
      <c r="BH22" s="351" t="e">
        <f t="shared" ca="1" si="25"/>
        <v>#N/A</v>
      </c>
      <c r="BI22" s="351" t="e">
        <f t="shared" ca="1" si="25"/>
        <v>#N/A</v>
      </c>
      <c r="BJ22" s="351" t="e">
        <f t="shared" ca="1" si="25"/>
        <v>#N/A</v>
      </c>
      <c r="BK22" s="351" t="e">
        <f t="shared" ca="1" si="25"/>
        <v>#N/A</v>
      </c>
      <c r="BL22" s="351" t="e">
        <f t="shared" ca="1" si="25"/>
        <v>#N/A</v>
      </c>
      <c r="BM22" s="351" t="e">
        <f t="shared" ca="1" si="25"/>
        <v>#N/A</v>
      </c>
    </row>
    <row r="23" spans="1:65" ht="15.75" customHeight="1" x14ac:dyDescent="0.25">
      <c r="A23" s="379"/>
      <c r="B23" s="379" t="str">
        <f t="shared" ca="1" si="26"/>
        <v/>
      </c>
      <c r="C23" s="380"/>
      <c r="D23" s="380"/>
      <c r="E23" s="380"/>
      <c r="F23" s="403" t="str">
        <f ca="1">'תנאי סף'!B23</f>
        <v/>
      </c>
      <c r="G23" s="379"/>
      <c r="H23" s="379"/>
      <c r="I23" s="379"/>
      <c r="J23" s="379"/>
      <c r="K23" s="379"/>
      <c r="L23" s="379"/>
      <c r="M23" s="379"/>
      <c r="N23" s="379"/>
      <c r="O23" s="379"/>
      <c r="P23" s="379"/>
      <c r="Q23" s="379"/>
      <c r="R23" s="379" t="str">
        <f t="shared" ca="1" si="27"/>
        <v/>
      </c>
      <c r="S23" s="379" t="str">
        <f t="shared" ca="1" si="28"/>
        <v/>
      </c>
      <c r="T23" s="379" t="str">
        <f t="shared" ca="1" si="29"/>
        <v/>
      </c>
      <c r="U23" s="398" t="str">
        <f t="shared" ca="1" si="30"/>
        <v/>
      </c>
      <c r="V23" s="423"/>
      <c r="W23" s="379" t="str">
        <f t="shared" ca="1" si="31"/>
        <v/>
      </c>
      <c r="X23" s="386" t="str">
        <f t="shared" ca="1" si="32"/>
        <v/>
      </c>
      <c r="Y23" s="386" t="str">
        <f t="shared" ca="1" si="33"/>
        <v/>
      </c>
      <c r="Z23" s="386" t="str">
        <f t="shared" ca="1" si="34"/>
        <v/>
      </c>
      <c r="AA23" s="386" t="str">
        <f t="shared" ca="1" si="35"/>
        <v/>
      </c>
      <c r="AB23" s="386" t="str">
        <f t="shared" ca="1" si="36"/>
        <v/>
      </c>
      <c r="AD23" s="351">
        <f t="shared" si="37"/>
        <v>1</v>
      </c>
      <c r="AE23" s="351" t="str">
        <f t="shared" ca="1" si="38"/>
        <v/>
      </c>
      <c r="AF23" s="351" t="str">
        <f t="shared" ca="1" si="38"/>
        <v/>
      </c>
      <c r="AG23" s="351">
        <f t="shared" si="6"/>
        <v>1</v>
      </c>
      <c r="AH23" s="351">
        <f t="shared" si="7"/>
        <v>1</v>
      </c>
      <c r="AI23" s="351">
        <f t="shared" si="8"/>
        <v>1</v>
      </c>
      <c r="AJ23" s="351">
        <f t="shared" si="9"/>
        <v>1</v>
      </c>
      <c r="AK23" s="351">
        <f t="shared" si="10"/>
        <v>1</v>
      </c>
      <c r="AL23" s="351">
        <f t="shared" si="11"/>
        <v>1</v>
      </c>
      <c r="AM23" s="351">
        <f t="shared" si="12"/>
        <v>1</v>
      </c>
      <c r="AN23" s="351">
        <f t="shared" si="13"/>
        <v>1</v>
      </c>
      <c r="AO23" s="351">
        <f t="shared" si="14"/>
        <v>1</v>
      </c>
      <c r="AP23" s="351">
        <f t="shared" si="15"/>
        <v>1</v>
      </c>
      <c r="AQ23" s="351">
        <f t="shared" si="16"/>
        <v>1</v>
      </c>
      <c r="AR23" s="351">
        <f t="shared" si="17"/>
        <v>1</v>
      </c>
      <c r="AS23" s="351">
        <f t="shared" si="18"/>
        <v>1</v>
      </c>
      <c r="AT23" s="351">
        <f t="shared" si="19"/>
        <v>1</v>
      </c>
      <c r="AU23" s="351">
        <f t="shared" si="20"/>
        <v>1</v>
      </c>
      <c r="AV23" s="351">
        <f t="shared" si="21"/>
        <v>1</v>
      </c>
      <c r="AW23" s="351">
        <f t="shared" si="22"/>
        <v>1</v>
      </c>
      <c r="AX23" s="351">
        <f t="shared" si="23"/>
        <v>1</v>
      </c>
      <c r="AY23" s="351">
        <f t="shared" si="24"/>
        <v>1</v>
      </c>
      <c r="BD23" s="351" t="str">
        <f t="shared" ca="1" si="39"/>
        <v/>
      </c>
      <c r="BE23" s="351" t="str">
        <f t="shared" ca="1" si="25"/>
        <v/>
      </c>
      <c r="BF23" s="351" t="str">
        <f t="shared" ca="1" si="25"/>
        <v/>
      </c>
      <c r="BG23" s="351" t="str">
        <f t="shared" ca="1" si="25"/>
        <v/>
      </c>
      <c r="BH23" s="351" t="str">
        <f t="shared" ca="1" si="25"/>
        <v/>
      </c>
      <c r="BI23" s="351" t="str">
        <f t="shared" ca="1" si="25"/>
        <v/>
      </c>
      <c r="BJ23" s="351" t="str">
        <f t="shared" ca="1" si="25"/>
        <v/>
      </c>
      <c r="BK23" s="351" t="str">
        <f t="shared" ca="1" si="25"/>
        <v/>
      </c>
      <c r="BL23" s="351" t="str">
        <f t="shared" ca="1" si="25"/>
        <v/>
      </c>
      <c r="BM23" s="351" t="str">
        <f t="shared" ca="1" si="25"/>
        <v/>
      </c>
    </row>
    <row r="24" spans="1:65" x14ac:dyDescent="0.25">
      <c r="A24" s="379"/>
      <c r="B24" s="379">
        <f t="shared" ca="1" si="26"/>
        <v>14</v>
      </c>
      <c r="C24" s="380"/>
      <c r="D24" s="380"/>
      <c r="E24" s="380"/>
      <c r="F24" s="403" t="str">
        <f ca="1">'תנאי סף'!B24</f>
        <v>פסיפס</v>
      </c>
      <c r="G24" s="379"/>
      <c r="H24" s="379"/>
      <c r="I24" s="379"/>
      <c r="J24" s="379"/>
      <c r="K24" s="379"/>
      <c r="L24" s="379"/>
      <c r="M24" s="379"/>
      <c r="N24" s="379"/>
      <c r="O24" s="379"/>
      <c r="P24" s="379"/>
      <c r="Q24" s="379"/>
      <c r="R24" s="379">
        <f t="shared" ca="1" si="27"/>
        <v>2</v>
      </c>
      <c r="S24" s="379">
        <f t="shared" ca="1" si="28"/>
        <v>2</v>
      </c>
      <c r="T24" s="379">
        <f t="shared" ca="1" si="29"/>
        <v>2</v>
      </c>
      <c r="U24" s="398">
        <f t="shared" ca="1" si="30"/>
        <v>1</v>
      </c>
      <c r="V24" s="423"/>
      <c r="W24" s="379">
        <f t="shared" ca="1" si="31"/>
        <v>1</v>
      </c>
      <c r="X24" s="386">
        <f t="shared" ca="1" si="32"/>
        <v>0</v>
      </c>
      <c r="Y24" s="386">
        <f t="shared" ca="1" si="33"/>
        <v>0</v>
      </c>
      <c r="Z24" s="386">
        <f t="shared" ca="1" si="34"/>
        <v>0</v>
      </c>
      <c r="AA24" s="386">
        <f t="shared" ca="1" si="35"/>
        <v>0</v>
      </c>
      <c r="AB24" s="386">
        <f t="shared" ca="1" si="36"/>
        <v>0</v>
      </c>
      <c r="AD24" s="351">
        <f t="shared" si="37"/>
        <v>1</v>
      </c>
      <c r="AE24" s="351">
        <f t="shared" ca="1" si="38"/>
        <v>0</v>
      </c>
      <c r="AF24" s="351">
        <f t="shared" ca="1" si="38"/>
        <v>1</v>
      </c>
      <c r="AG24" s="351">
        <f t="shared" si="6"/>
        <v>1</v>
      </c>
      <c r="AH24" s="351">
        <f t="shared" si="7"/>
        <v>1</v>
      </c>
      <c r="AI24" s="351">
        <f t="shared" si="8"/>
        <v>1</v>
      </c>
      <c r="AJ24" s="351">
        <f t="shared" si="9"/>
        <v>1</v>
      </c>
      <c r="AK24" s="351">
        <f t="shared" si="10"/>
        <v>1</v>
      </c>
      <c r="AL24" s="351">
        <f t="shared" si="11"/>
        <v>1</v>
      </c>
      <c r="AM24" s="351">
        <f t="shared" si="12"/>
        <v>1</v>
      </c>
      <c r="AN24" s="351">
        <f t="shared" si="13"/>
        <v>1</v>
      </c>
      <c r="AO24" s="351">
        <f t="shared" si="14"/>
        <v>1</v>
      </c>
      <c r="AP24" s="351">
        <f t="shared" si="15"/>
        <v>1</v>
      </c>
      <c r="AQ24" s="351">
        <f t="shared" si="16"/>
        <v>1</v>
      </c>
      <c r="AR24" s="351">
        <f t="shared" si="17"/>
        <v>1</v>
      </c>
      <c r="AS24" s="351">
        <f t="shared" si="18"/>
        <v>1</v>
      </c>
      <c r="AT24" s="351">
        <f t="shared" si="19"/>
        <v>1</v>
      </c>
      <c r="AU24" s="351">
        <f t="shared" si="20"/>
        <v>1</v>
      </c>
      <c r="AV24" s="351">
        <f t="shared" si="21"/>
        <v>1</v>
      </c>
      <c r="AW24" s="351">
        <f t="shared" si="22"/>
        <v>1</v>
      </c>
      <c r="AX24" s="351">
        <f t="shared" si="23"/>
        <v>1</v>
      </c>
      <c r="AY24" s="351">
        <f t="shared" si="24"/>
        <v>1</v>
      </c>
      <c r="BD24" s="351">
        <f t="shared" ca="1" si="39"/>
        <v>0</v>
      </c>
      <c r="BE24" s="351">
        <f t="shared" ca="1" si="25"/>
        <v>0</v>
      </c>
      <c r="BF24" s="351" t="e">
        <f t="shared" ca="1" si="25"/>
        <v>#N/A</v>
      </c>
      <c r="BG24" s="351" t="e">
        <f t="shared" ca="1" si="25"/>
        <v>#N/A</v>
      </c>
      <c r="BH24" s="351" t="e">
        <f t="shared" ca="1" si="25"/>
        <v>#N/A</v>
      </c>
      <c r="BI24" s="351" t="e">
        <f t="shared" ca="1" si="25"/>
        <v>#N/A</v>
      </c>
      <c r="BJ24" s="351" t="e">
        <f t="shared" ca="1" si="25"/>
        <v>#N/A</v>
      </c>
      <c r="BK24" s="351" t="e">
        <f t="shared" ca="1" si="25"/>
        <v>#N/A</v>
      </c>
      <c r="BL24" s="351" t="e">
        <f t="shared" ca="1" si="25"/>
        <v>#N/A</v>
      </c>
      <c r="BM24" s="351" t="e">
        <f t="shared" ca="1" si="25"/>
        <v>#N/A</v>
      </c>
    </row>
    <row r="25" spans="1:65" x14ac:dyDescent="0.25">
      <c r="A25" s="379"/>
      <c r="B25" s="379">
        <f t="shared" ca="1" si="26"/>
        <v>15</v>
      </c>
      <c r="C25" s="380"/>
      <c r="D25" s="380"/>
      <c r="E25" s="380"/>
      <c r="F25" s="403" t="str">
        <f ca="1">'תנאי סף'!B25</f>
        <v>קתרזיס ( עמותת מצרף)</v>
      </c>
      <c r="G25" s="379"/>
      <c r="H25" s="379"/>
      <c r="I25" s="379"/>
      <c r="J25" s="379"/>
      <c r="K25" s="379"/>
      <c r="L25" s="379"/>
      <c r="M25" s="379"/>
      <c r="N25" s="379"/>
      <c r="O25" s="379"/>
      <c r="P25" s="379"/>
      <c r="Q25" s="379"/>
      <c r="R25" s="379">
        <f t="shared" ca="1" si="27"/>
        <v>2</v>
      </c>
      <c r="S25" s="379">
        <f t="shared" ca="1" si="28"/>
        <v>2</v>
      </c>
      <c r="T25" s="379">
        <f t="shared" ca="1" si="29"/>
        <v>2</v>
      </c>
      <c r="U25" s="398">
        <f t="shared" ca="1" si="30"/>
        <v>0.70588235294117652</v>
      </c>
      <c r="V25" s="423"/>
      <c r="W25" s="379">
        <f t="shared" ca="1" si="31"/>
        <v>1</v>
      </c>
      <c r="X25" s="386">
        <f t="shared" ca="1" si="32"/>
        <v>0</v>
      </c>
      <c r="Y25" s="386">
        <f t="shared" ca="1" si="33"/>
        <v>0</v>
      </c>
      <c r="Z25" s="386">
        <f t="shared" ca="1" si="34"/>
        <v>0</v>
      </c>
      <c r="AA25" s="386">
        <f t="shared" ca="1" si="35"/>
        <v>0</v>
      </c>
      <c r="AB25" s="386">
        <f t="shared" ca="1" si="36"/>
        <v>0</v>
      </c>
      <c r="AD25" s="351">
        <f t="shared" si="37"/>
        <v>1</v>
      </c>
      <c r="AE25" s="351">
        <f t="shared" ca="1" si="38"/>
        <v>0</v>
      </c>
      <c r="AF25" s="351">
        <f t="shared" ca="1" si="38"/>
        <v>1</v>
      </c>
      <c r="AG25" s="351">
        <f t="shared" si="6"/>
        <v>1</v>
      </c>
      <c r="AH25" s="351">
        <f t="shared" si="7"/>
        <v>1</v>
      </c>
      <c r="AI25" s="351">
        <f t="shared" si="8"/>
        <v>1</v>
      </c>
      <c r="AJ25" s="351">
        <f t="shared" si="9"/>
        <v>1</v>
      </c>
      <c r="AK25" s="351">
        <f t="shared" si="10"/>
        <v>1</v>
      </c>
      <c r="AL25" s="351">
        <f t="shared" si="11"/>
        <v>1</v>
      </c>
      <c r="AM25" s="351">
        <f t="shared" si="12"/>
        <v>1</v>
      </c>
      <c r="AN25" s="351">
        <f t="shared" si="13"/>
        <v>1</v>
      </c>
      <c r="AO25" s="351">
        <f t="shared" si="14"/>
        <v>1</v>
      </c>
      <c r="AP25" s="351">
        <f t="shared" si="15"/>
        <v>1</v>
      </c>
      <c r="AQ25" s="351">
        <f t="shared" si="16"/>
        <v>1</v>
      </c>
      <c r="AR25" s="351">
        <f t="shared" si="17"/>
        <v>1</v>
      </c>
      <c r="AS25" s="351">
        <f t="shared" si="18"/>
        <v>1</v>
      </c>
      <c r="AT25" s="351">
        <f t="shared" si="19"/>
        <v>1</v>
      </c>
      <c r="AU25" s="351">
        <f t="shared" si="20"/>
        <v>1</v>
      </c>
      <c r="AV25" s="351">
        <f t="shared" si="21"/>
        <v>1</v>
      </c>
      <c r="AW25" s="351">
        <f t="shared" si="22"/>
        <v>1</v>
      </c>
      <c r="AX25" s="351">
        <f t="shared" si="23"/>
        <v>1</v>
      </c>
      <c r="AY25" s="351">
        <f t="shared" si="24"/>
        <v>1</v>
      </c>
      <c r="BD25" s="351">
        <f t="shared" ca="1" si="39"/>
        <v>0</v>
      </c>
      <c r="BE25" s="351">
        <f t="shared" ca="1" si="25"/>
        <v>0</v>
      </c>
      <c r="BF25" s="351" t="e">
        <f t="shared" ca="1" si="25"/>
        <v>#N/A</v>
      </c>
      <c r="BG25" s="351" t="e">
        <f t="shared" ca="1" si="25"/>
        <v>#N/A</v>
      </c>
      <c r="BH25" s="351" t="e">
        <f t="shared" ca="1" si="25"/>
        <v>#N/A</v>
      </c>
      <c r="BI25" s="351" t="e">
        <f t="shared" ca="1" si="25"/>
        <v>#N/A</v>
      </c>
      <c r="BJ25" s="351" t="e">
        <f t="shared" ca="1" si="25"/>
        <v>#N/A</v>
      </c>
      <c r="BK25" s="351" t="e">
        <f t="shared" ca="1" si="25"/>
        <v>#N/A</v>
      </c>
      <c r="BL25" s="351" t="e">
        <f t="shared" ca="1" si="25"/>
        <v>#N/A</v>
      </c>
      <c r="BM25" s="351" t="e">
        <f t="shared" ca="1" si="25"/>
        <v>#N/A</v>
      </c>
    </row>
    <row r="26" spans="1:65" x14ac:dyDescent="0.25">
      <c r="A26" s="379"/>
      <c r="B26" s="379" t="str">
        <f t="shared" ca="1" si="26"/>
        <v/>
      </c>
      <c r="C26" s="380"/>
      <c r="D26" s="380"/>
      <c r="E26" s="380"/>
      <c r="F26" s="403" t="str">
        <f ca="1">'תנאי סף'!B26</f>
        <v/>
      </c>
      <c r="G26" s="379"/>
      <c r="H26" s="379"/>
      <c r="I26" s="379"/>
      <c r="J26" s="379"/>
      <c r="K26" s="379"/>
      <c r="L26" s="379"/>
      <c r="M26" s="379"/>
      <c r="N26" s="379"/>
      <c r="O26" s="379"/>
      <c r="P26" s="379"/>
      <c r="Q26" s="379"/>
      <c r="R26" s="379" t="str">
        <f t="shared" ca="1" si="27"/>
        <v/>
      </c>
      <c r="S26" s="379" t="str">
        <f t="shared" ca="1" si="28"/>
        <v/>
      </c>
      <c r="T26" s="379" t="str">
        <f t="shared" ca="1" si="29"/>
        <v/>
      </c>
      <c r="U26" s="398" t="str">
        <f t="shared" ca="1" si="30"/>
        <v/>
      </c>
      <c r="V26" s="423"/>
      <c r="W26" s="379" t="str">
        <f t="shared" ca="1" si="31"/>
        <v/>
      </c>
      <c r="X26" s="386" t="str">
        <f t="shared" ca="1" si="32"/>
        <v/>
      </c>
      <c r="Y26" s="386" t="str">
        <f t="shared" ca="1" si="33"/>
        <v/>
      </c>
      <c r="Z26" s="386" t="str">
        <f t="shared" ca="1" si="34"/>
        <v/>
      </c>
      <c r="AA26" s="386" t="str">
        <f t="shared" ca="1" si="35"/>
        <v/>
      </c>
      <c r="AB26" s="386" t="str">
        <f t="shared" ca="1" si="36"/>
        <v/>
      </c>
      <c r="AD26" s="351">
        <f t="shared" si="37"/>
        <v>1</v>
      </c>
      <c r="AE26" s="351" t="str">
        <f t="shared" ca="1" si="38"/>
        <v/>
      </c>
      <c r="AF26" s="351" t="str">
        <f t="shared" ca="1" si="38"/>
        <v/>
      </c>
      <c r="AG26" s="351">
        <f t="shared" si="6"/>
        <v>1</v>
      </c>
      <c r="AH26" s="351">
        <f t="shared" si="7"/>
        <v>1</v>
      </c>
      <c r="AI26" s="351">
        <f t="shared" si="8"/>
        <v>1</v>
      </c>
      <c r="AJ26" s="351">
        <f t="shared" si="9"/>
        <v>1</v>
      </c>
      <c r="AK26" s="351">
        <f t="shared" si="10"/>
        <v>1</v>
      </c>
      <c r="AL26" s="351">
        <f t="shared" si="11"/>
        <v>1</v>
      </c>
      <c r="AM26" s="351">
        <f t="shared" si="12"/>
        <v>1</v>
      </c>
      <c r="AN26" s="351">
        <f t="shared" si="13"/>
        <v>1</v>
      </c>
      <c r="AO26" s="351">
        <f t="shared" si="14"/>
        <v>1</v>
      </c>
      <c r="AP26" s="351">
        <f t="shared" si="15"/>
        <v>1</v>
      </c>
      <c r="AQ26" s="351">
        <f t="shared" si="16"/>
        <v>1</v>
      </c>
      <c r="AR26" s="351">
        <f t="shared" si="17"/>
        <v>1</v>
      </c>
      <c r="AS26" s="351">
        <f t="shared" si="18"/>
        <v>1</v>
      </c>
      <c r="AT26" s="351">
        <f t="shared" si="19"/>
        <v>1</v>
      </c>
      <c r="AU26" s="351">
        <f t="shared" si="20"/>
        <v>1</v>
      </c>
      <c r="AV26" s="351">
        <f t="shared" si="21"/>
        <v>1</v>
      </c>
      <c r="AW26" s="351">
        <f t="shared" si="22"/>
        <v>1</v>
      </c>
      <c r="AX26" s="351">
        <f t="shared" si="23"/>
        <v>1</v>
      </c>
      <c r="AY26" s="351">
        <f t="shared" si="24"/>
        <v>1</v>
      </c>
      <c r="BD26" s="351" t="str">
        <f t="shared" ca="1" si="39"/>
        <v/>
      </c>
      <c r="BE26" s="351" t="str">
        <f t="shared" ca="1" si="25"/>
        <v/>
      </c>
      <c r="BF26" s="351" t="str">
        <f t="shared" ca="1" si="25"/>
        <v/>
      </c>
      <c r="BG26" s="351" t="str">
        <f t="shared" ca="1" si="25"/>
        <v/>
      </c>
      <c r="BH26" s="351" t="str">
        <f t="shared" ca="1" si="25"/>
        <v/>
      </c>
      <c r="BI26" s="351" t="str">
        <f t="shared" ca="1" si="25"/>
        <v/>
      </c>
      <c r="BJ26" s="351" t="str">
        <f t="shared" ca="1" si="25"/>
        <v/>
      </c>
      <c r="BK26" s="351" t="str">
        <f t="shared" ca="1" si="25"/>
        <v/>
      </c>
      <c r="BL26" s="351" t="str">
        <f t="shared" ca="1" si="25"/>
        <v/>
      </c>
      <c r="BM26" s="351" t="str">
        <f t="shared" ca="1" si="25"/>
        <v/>
      </c>
    </row>
    <row r="27" spans="1:65" x14ac:dyDescent="0.25">
      <c r="A27" s="379"/>
      <c r="B27" s="379">
        <f t="shared" ca="1" si="26"/>
        <v>17</v>
      </c>
      <c r="C27" s="380"/>
      <c r="D27" s="380"/>
      <c r="E27" s="380"/>
      <c r="F27" s="403" t="str">
        <f ca="1">'תנאי סף'!B27</f>
        <v>הכיוון מזרח (עמותת אחותי)</v>
      </c>
      <c r="G27" s="379"/>
      <c r="H27" s="379"/>
      <c r="I27" s="379"/>
      <c r="J27" s="379"/>
      <c r="K27" s="379"/>
      <c r="L27" s="379"/>
      <c r="M27" s="379"/>
      <c r="N27" s="379"/>
      <c r="O27" s="379"/>
      <c r="P27" s="379"/>
      <c r="Q27" s="379"/>
      <c r="R27" s="379">
        <f t="shared" ca="1" si="27"/>
        <v>2</v>
      </c>
      <c r="S27" s="379">
        <f t="shared" ca="1" si="28"/>
        <v>2</v>
      </c>
      <c r="T27" s="379">
        <f t="shared" ca="1" si="29"/>
        <v>2</v>
      </c>
      <c r="U27" s="398">
        <f t="shared" ca="1" si="30"/>
        <v>0.7279411764705882</v>
      </c>
      <c r="V27" s="423"/>
      <c r="W27" s="379">
        <f t="shared" ca="1" si="31"/>
        <v>1</v>
      </c>
      <c r="X27" s="386">
        <f t="shared" ca="1" si="32"/>
        <v>0</v>
      </c>
      <c r="Y27" s="386">
        <f t="shared" ca="1" si="33"/>
        <v>0</v>
      </c>
      <c r="Z27" s="386">
        <f t="shared" ca="1" si="34"/>
        <v>0</v>
      </c>
      <c r="AA27" s="386">
        <f t="shared" ca="1" si="35"/>
        <v>0</v>
      </c>
      <c r="AB27" s="386">
        <f t="shared" ca="1" si="36"/>
        <v>0</v>
      </c>
      <c r="AD27" s="351">
        <f t="shared" si="37"/>
        <v>1</v>
      </c>
      <c r="AE27" s="351">
        <f t="shared" ca="1" si="38"/>
        <v>0</v>
      </c>
      <c r="AF27" s="351">
        <f t="shared" ca="1" si="38"/>
        <v>1</v>
      </c>
      <c r="AG27" s="351">
        <f t="shared" si="6"/>
        <v>1</v>
      </c>
      <c r="AH27" s="351">
        <f t="shared" si="7"/>
        <v>1</v>
      </c>
      <c r="AI27" s="351">
        <f t="shared" si="8"/>
        <v>1</v>
      </c>
      <c r="AJ27" s="351">
        <f t="shared" si="9"/>
        <v>1</v>
      </c>
      <c r="AK27" s="351">
        <f t="shared" si="10"/>
        <v>1</v>
      </c>
      <c r="AL27" s="351">
        <f t="shared" si="11"/>
        <v>1</v>
      </c>
      <c r="AM27" s="351">
        <f t="shared" si="12"/>
        <v>1</v>
      </c>
      <c r="AN27" s="351">
        <f t="shared" si="13"/>
        <v>1</v>
      </c>
      <c r="AO27" s="351">
        <f t="shared" si="14"/>
        <v>1</v>
      </c>
      <c r="AP27" s="351">
        <f t="shared" si="15"/>
        <v>1</v>
      </c>
      <c r="AQ27" s="351">
        <f t="shared" si="16"/>
        <v>1</v>
      </c>
      <c r="AR27" s="351">
        <f t="shared" si="17"/>
        <v>1</v>
      </c>
      <c r="AS27" s="351">
        <f t="shared" si="18"/>
        <v>1</v>
      </c>
      <c r="AT27" s="351">
        <f t="shared" si="19"/>
        <v>1</v>
      </c>
      <c r="AU27" s="351">
        <f t="shared" si="20"/>
        <v>1</v>
      </c>
      <c r="AV27" s="351">
        <f t="shared" si="21"/>
        <v>1</v>
      </c>
      <c r="AW27" s="351">
        <f t="shared" si="22"/>
        <v>1</v>
      </c>
      <c r="AX27" s="351">
        <f t="shared" si="23"/>
        <v>1</v>
      </c>
      <c r="AY27" s="351">
        <f t="shared" si="24"/>
        <v>1</v>
      </c>
      <c r="BD27" s="351">
        <f t="shared" ca="1" si="39"/>
        <v>0</v>
      </c>
      <c r="BE27" s="351">
        <f t="shared" ca="1" si="39"/>
        <v>0</v>
      </c>
      <c r="BF27" s="351" t="e">
        <f t="shared" ca="1" si="39"/>
        <v>#N/A</v>
      </c>
      <c r="BG27" s="351" t="e">
        <f t="shared" ca="1" si="39"/>
        <v>#N/A</v>
      </c>
      <c r="BH27" s="351" t="e">
        <f t="shared" ca="1" si="39"/>
        <v>#N/A</v>
      </c>
      <c r="BI27" s="351" t="e">
        <f t="shared" ca="1" si="39"/>
        <v>#N/A</v>
      </c>
      <c r="BJ27" s="351" t="e">
        <f t="shared" ca="1" si="39"/>
        <v>#N/A</v>
      </c>
      <c r="BK27" s="351" t="e">
        <f t="shared" ca="1" si="39"/>
        <v>#N/A</v>
      </c>
      <c r="BL27" s="351" t="e">
        <f t="shared" ca="1" si="39"/>
        <v>#N/A</v>
      </c>
      <c r="BM27" s="351" t="e">
        <f t="shared" ca="1" si="39"/>
        <v>#N/A</v>
      </c>
    </row>
    <row r="28" spans="1:65" x14ac:dyDescent="0.25">
      <c r="A28" s="379"/>
      <c r="B28" s="379" t="str">
        <f t="shared" ca="1" si="26"/>
        <v/>
      </c>
      <c r="C28" s="380"/>
      <c r="D28" s="380"/>
      <c r="E28" s="380"/>
      <c r="F28" s="403" t="str">
        <f ca="1">'תנאי סף'!B28</f>
        <v/>
      </c>
      <c r="G28" s="379"/>
      <c r="H28" s="379"/>
      <c r="I28" s="379"/>
      <c r="J28" s="379"/>
      <c r="K28" s="379"/>
      <c r="L28" s="379"/>
      <c r="M28" s="379"/>
      <c r="N28" s="379"/>
      <c r="O28" s="379"/>
      <c r="P28" s="379"/>
      <c r="Q28" s="379"/>
      <c r="R28" s="379" t="str">
        <f t="shared" ca="1" si="27"/>
        <v/>
      </c>
      <c r="S28" s="379" t="str">
        <f t="shared" ca="1" si="28"/>
        <v/>
      </c>
      <c r="T28" s="379" t="str">
        <f t="shared" ca="1" si="29"/>
        <v/>
      </c>
      <c r="U28" s="398" t="str">
        <f t="shared" ca="1" si="30"/>
        <v/>
      </c>
      <c r="V28" s="423"/>
      <c r="W28" s="379" t="str">
        <f t="shared" ca="1" si="31"/>
        <v/>
      </c>
      <c r="X28" s="386" t="str">
        <f t="shared" ca="1" si="32"/>
        <v/>
      </c>
      <c r="Y28" s="386" t="str">
        <f t="shared" ca="1" si="33"/>
        <v/>
      </c>
      <c r="Z28" s="386" t="str">
        <f t="shared" ca="1" si="34"/>
        <v/>
      </c>
      <c r="AA28" s="386" t="str">
        <f t="shared" ca="1" si="35"/>
        <v/>
      </c>
      <c r="AB28" s="386" t="str">
        <f t="shared" ca="1" si="36"/>
        <v/>
      </c>
      <c r="AD28" s="351">
        <f t="shared" si="37"/>
        <v>1</v>
      </c>
      <c r="AE28" s="351" t="str">
        <f t="shared" ca="1" si="38"/>
        <v/>
      </c>
      <c r="AF28" s="351" t="str">
        <f t="shared" ca="1" si="38"/>
        <v/>
      </c>
      <c r="AG28" s="351">
        <f t="shared" si="6"/>
        <v>1</v>
      </c>
      <c r="AH28" s="351">
        <f t="shared" si="7"/>
        <v>1</v>
      </c>
      <c r="AI28" s="351">
        <f t="shared" si="8"/>
        <v>1</v>
      </c>
      <c r="AJ28" s="351">
        <f t="shared" si="9"/>
        <v>1</v>
      </c>
      <c r="AK28" s="351">
        <f t="shared" si="10"/>
        <v>1</v>
      </c>
      <c r="AL28" s="351">
        <f t="shared" si="11"/>
        <v>1</v>
      </c>
      <c r="AM28" s="351">
        <f t="shared" si="12"/>
        <v>1</v>
      </c>
      <c r="AN28" s="351">
        <f t="shared" si="13"/>
        <v>1</v>
      </c>
      <c r="AO28" s="351">
        <f t="shared" si="14"/>
        <v>1</v>
      </c>
      <c r="AP28" s="351">
        <f t="shared" si="15"/>
        <v>1</v>
      </c>
      <c r="AQ28" s="351">
        <f t="shared" si="16"/>
        <v>1</v>
      </c>
      <c r="AR28" s="351">
        <f t="shared" si="17"/>
        <v>1</v>
      </c>
      <c r="AS28" s="351">
        <f t="shared" si="18"/>
        <v>1</v>
      </c>
      <c r="AT28" s="351">
        <f t="shared" si="19"/>
        <v>1</v>
      </c>
      <c r="AU28" s="351">
        <f t="shared" si="20"/>
        <v>1</v>
      </c>
      <c r="AV28" s="351">
        <f t="shared" si="21"/>
        <v>1</v>
      </c>
      <c r="AW28" s="351">
        <f t="shared" si="22"/>
        <v>1</v>
      </c>
      <c r="AX28" s="351">
        <f t="shared" si="23"/>
        <v>1</v>
      </c>
      <c r="AY28" s="351">
        <f t="shared" si="24"/>
        <v>1</v>
      </c>
      <c r="BD28" s="351" t="str">
        <f t="shared" ca="1" si="39"/>
        <v/>
      </c>
      <c r="BE28" s="351" t="str">
        <f t="shared" ca="1" si="39"/>
        <v/>
      </c>
      <c r="BF28" s="351" t="str">
        <f t="shared" ca="1" si="39"/>
        <v/>
      </c>
      <c r="BG28" s="351" t="str">
        <f t="shared" ca="1" si="39"/>
        <v/>
      </c>
      <c r="BH28" s="351" t="str">
        <f t="shared" ca="1" si="39"/>
        <v/>
      </c>
      <c r="BI28" s="351" t="str">
        <f t="shared" ca="1" si="39"/>
        <v/>
      </c>
      <c r="BJ28" s="351" t="str">
        <f t="shared" ca="1" si="39"/>
        <v/>
      </c>
      <c r="BK28" s="351" t="str">
        <f t="shared" ca="1" si="39"/>
        <v/>
      </c>
      <c r="BL28" s="351" t="str">
        <f t="shared" ca="1" si="39"/>
        <v/>
      </c>
      <c r="BM28" s="351" t="str">
        <f t="shared" ca="1" si="39"/>
        <v/>
      </c>
    </row>
    <row r="29" spans="1:65" x14ac:dyDescent="0.25">
      <c r="A29" s="379"/>
      <c r="B29" s="379">
        <f t="shared" ca="1" si="26"/>
        <v>19</v>
      </c>
      <c r="C29" s="380"/>
      <c r="D29" s="380"/>
      <c r="E29" s="380"/>
      <c r="F29" s="403" t="str">
        <f ca="1">'תנאי סף'!B29</f>
        <v>הו</v>
      </c>
      <c r="G29" s="379"/>
      <c r="H29" s="379"/>
      <c r="I29" s="379"/>
      <c r="J29" s="379"/>
      <c r="K29" s="379"/>
      <c r="L29" s="379"/>
      <c r="M29" s="379"/>
      <c r="N29" s="379"/>
      <c r="O29" s="379"/>
      <c r="P29" s="379"/>
      <c r="Q29" s="379"/>
      <c r="R29" s="379">
        <f t="shared" ca="1" si="27"/>
        <v>2</v>
      </c>
      <c r="S29" s="379">
        <f t="shared" ca="1" si="28"/>
        <v>2</v>
      </c>
      <c r="T29" s="379">
        <f t="shared" ca="1" si="29"/>
        <v>2</v>
      </c>
      <c r="U29" s="398">
        <f t="shared" ca="1" si="30"/>
        <v>1</v>
      </c>
      <c r="V29" s="423"/>
      <c r="W29" s="379">
        <f t="shared" ca="1" si="31"/>
        <v>1</v>
      </c>
      <c r="X29" s="386">
        <f t="shared" ca="1" si="32"/>
        <v>0</v>
      </c>
      <c r="Y29" s="386">
        <f t="shared" ca="1" si="33"/>
        <v>0</v>
      </c>
      <c r="Z29" s="386">
        <f t="shared" ca="1" si="34"/>
        <v>0</v>
      </c>
      <c r="AA29" s="386">
        <f t="shared" ca="1" si="35"/>
        <v>0</v>
      </c>
      <c r="AB29" s="386">
        <f t="shared" ca="1" si="36"/>
        <v>0</v>
      </c>
      <c r="AD29" s="351">
        <f t="shared" si="37"/>
        <v>1</v>
      </c>
      <c r="AE29" s="351">
        <f t="shared" ca="1" si="38"/>
        <v>0</v>
      </c>
      <c r="AF29" s="351">
        <f t="shared" ca="1" si="38"/>
        <v>1</v>
      </c>
      <c r="AG29" s="351">
        <f t="shared" si="6"/>
        <v>1</v>
      </c>
      <c r="AH29" s="351">
        <f t="shared" si="7"/>
        <v>1</v>
      </c>
      <c r="AI29" s="351">
        <f t="shared" si="8"/>
        <v>1</v>
      </c>
      <c r="AJ29" s="351">
        <f t="shared" si="9"/>
        <v>1</v>
      </c>
      <c r="AK29" s="351">
        <f t="shared" si="10"/>
        <v>1</v>
      </c>
      <c r="AL29" s="351">
        <f t="shared" si="11"/>
        <v>1</v>
      </c>
      <c r="AM29" s="351">
        <f t="shared" si="12"/>
        <v>1</v>
      </c>
      <c r="AN29" s="351">
        <f t="shared" si="13"/>
        <v>1</v>
      </c>
      <c r="AO29" s="351">
        <f t="shared" si="14"/>
        <v>1</v>
      </c>
      <c r="AP29" s="351">
        <f t="shared" si="15"/>
        <v>1</v>
      </c>
      <c r="AQ29" s="351">
        <f t="shared" si="16"/>
        <v>1</v>
      </c>
      <c r="AR29" s="351">
        <f t="shared" si="17"/>
        <v>1</v>
      </c>
      <c r="AS29" s="351">
        <f t="shared" si="18"/>
        <v>1</v>
      </c>
      <c r="AT29" s="351">
        <f t="shared" si="19"/>
        <v>1</v>
      </c>
      <c r="AU29" s="351">
        <f t="shared" si="20"/>
        <v>1</v>
      </c>
      <c r="AV29" s="351">
        <f t="shared" si="21"/>
        <v>1</v>
      </c>
      <c r="AW29" s="351">
        <f t="shared" si="22"/>
        <v>1</v>
      </c>
      <c r="AX29" s="351">
        <f t="shared" si="23"/>
        <v>1</v>
      </c>
      <c r="AY29" s="351">
        <f t="shared" si="24"/>
        <v>1</v>
      </c>
      <c r="BD29" s="351">
        <f t="shared" ca="1" si="39"/>
        <v>0</v>
      </c>
      <c r="BE29" s="351">
        <f t="shared" ca="1" si="39"/>
        <v>0</v>
      </c>
      <c r="BF29" s="351" t="e">
        <f t="shared" ca="1" si="39"/>
        <v>#N/A</v>
      </c>
      <c r="BG29" s="351" t="e">
        <f t="shared" ca="1" si="39"/>
        <v>#N/A</v>
      </c>
      <c r="BH29" s="351" t="e">
        <f t="shared" ca="1" si="39"/>
        <v>#N/A</v>
      </c>
      <c r="BI29" s="351" t="e">
        <f t="shared" ca="1" si="39"/>
        <v>#N/A</v>
      </c>
      <c r="BJ29" s="351" t="e">
        <f t="shared" ca="1" si="39"/>
        <v>#N/A</v>
      </c>
      <c r="BK29" s="351" t="e">
        <f t="shared" ca="1" si="39"/>
        <v>#N/A</v>
      </c>
      <c r="BL29" s="351" t="e">
        <f t="shared" ca="1" si="39"/>
        <v>#N/A</v>
      </c>
      <c r="BM29" s="351" t="e">
        <f t="shared" ca="1" si="39"/>
        <v>#N/A</v>
      </c>
    </row>
    <row r="30" spans="1:65" x14ac:dyDescent="0.25">
      <c r="A30" s="379"/>
      <c r="B30" s="379">
        <f t="shared" ca="1" si="26"/>
        <v>20</v>
      </c>
      <c r="C30" s="380"/>
      <c r="D30" s="380"/>
      <c r="E30" s="380"/>
      <c r="F30" s="403" t="str">
        <f ca="1">'תנאי סף'!B30</f>
        <v>הבא להבא (עמותת מקום לשירה)</v>
      </c>
      <c r="G30" s="379"/>
      <c r="H30" s="379"/>
      <c r="I30" s="379"/>
      <c r="J30" s="379"/>
      <c r="K30" s="379"/>
      <c r="L30" s="379"/>
      <c r="M30" s="379"/>
      <c r="N30" s="379"/>
      <c r="O30" s="379"/>
      <c r="P30" s="379"/>
      <c r="Q30" s="379"/>
      <c r="R30" s="379">
        <f t="shared" ca="1" si="27"/>
        <v>3</v>
      </c>
      <c r="S30" s="379">
        <f t="shared" ca="1" si="28"/>
        <v>3</v>
      </c>
      <c r="T30" s="379">
        <f t="shared" ca="1" si="29"/>
        <v>3</v>
      </c>
      <c r="U30" s="398">
        <f t="shared" ca="1" si="30"/>
        <v>0.98734177215189878</v>
      </c>
      <c r="V30" s="423"/>
      <c r="W30" s="379">
        <f t="shared" ca="1" si="31"/>
        <v>1</v>
      </c>
      <c r="X30" s="386">
        <f t="shared" ca="1" si="32"/>
        <v>0</v>
      </c>
      <c r="Y30" s="386">
        <f t="shared" ca="1" si="33"/>
        <v>0</v>
      </c>
      <c r="Z30" s="386">
        <f t="shared" ca="1" si="34"/>
        <v>0</v>
      </c>
      <c r="AA30" s="386">
        <f t="shared" ca="1" si="35"/>
        <v>0</v>
      </c>
      <c r="AB30" s="386">
        <f t="shared" ca="1" si="36"/>
        <v>0</v>
      </c>
      <c r="AD30" s="351">
        <f t="shared" si="37"/>
        <v>1</v>
      </c>
      <c r="AE30" s="351">
        <f t="shared" ca="1" si="38"/>
        <v>0</v>
      </c>
      <c r="AF30" s="351">
        <f t="shared" ca="1" si="38"/>
        <v>1</v>
      </c>
      <c r="AG30" s="351">
        <f t="shared" si="6"/>
        <v>1</v>
      </c>
      <c r="AH30" s="351">
        <f t="shared" si="7"/>
        <v>1</v>
      </c>
      <c r="AI30" s="351">
        <f t="shared" si="8"/>
        <v>1</v>
      </c>
      <c r="AJ30" s="351">
        <f t="shared" si="9"/>
        <v>1</v>
      </c>
      <c r="AK30" s="351">
        <f t="shared" si="10"/>
        <v>1</v>
      </c>
      <c r="AL30" s="351">
        <f t="shared" si="11"/>
        <v>1</v>
      </c>
      <c r="AM30" s="351">
        <f t="shared" si="12"/>
        <v>1</v>
      </c>
      <c r="AN30" s="351">
        <f t="shared" si="13"/>
        <v>1</v>
      </c>
      <c r="AO30" s="351">
        <f t="shared" si="14"/>
        <v>1</v>
      </c>
      <c r="AP30" s="351">
        <f t="shared" si="15"/>
        <v>1</v>
      </c>
      <c r="AQ30" s="351">
        <f t="shared" si="16"/>
        <v>1</v>
      </c>
      <c r="AR30" s="351">
        <f t="shared" si="17"/>
        <v>1</v>
      </c>
      <c r="AS30" s="351">
        <f t="shared" si="18"/>
        <v>1</v>
      </c>
      <c r="AT30" s="351">
        <f t="shared" si="19"/>
        <v>1</v>
      </c>
      <c r="AU30" s="351">
        <f t="shared" si="20"/>
        <v>1</v>
      </c>
      <c r="AV30" s="351">
        <f t="shared" si="21"/>
        <v>1</v>
      </c>
      <c r="AW30" s="351">
        <f t="shared" si="22"/>
        <v>1</v>
      </c>
      <c r="AX30" s="351">
        <f t="shared" si="23"/>
        <v>1</v>
      </c>
      <c r="AY30" s="351">
        <f t="shared" si="24"/>
        <v>1</v>
      </c>
      <c r="BD30" s="351">
        <f t="shared" ca="1" si="39"/>
        <v>0</v>
      </c>
      <c r="BE30" s="351">
        <f t="shared" ca="1" si="39"/>
        <v>0</v>
      </c>
      <c r="BF30" s="351" t="e">
        <f t="shared" ca="1" si="39"/>
        <v>#N/A</v>
      </c>
      <c r="BG30" s="351" t="e">
        <f t="shared" ca="1" si="39"/>
        <v>#N/A</v>
      </c>
      <c r="BH30" s="351" t="e">
        <f t="shared" ca="1" si="39"/>
        <v>#N/A</v>
      </c>
      <c r="BI30" s="351" t="e">
        <f t="shared" ca="1" si="39"/>
        <v>#N/A</v>
      </c>
      <c r="BJ30" s="351" t="e">
        <f t="shared" ca="1" si="39"/>
        <v>#N/A</v>
      </c>
      <c r="BK30" s="351" t="e">
        <f t="shared" ca="1" si="39"/>
        <v>#N/A</v>
      </c>
      <c r="BL30" s="351" t="e">
        <f t="shared" ca="1" si="39"/>
        <v>#N/A</v>
      </c>
      <c r="BM30" s="351" t="e">
        <f t="shared" ca="1" si="39"/>
        <v>#N/A</v>
      </c>
    </row>
    <row r="31" spans="1:65" x14ac:dyDescent="0.25">
      <c r="A31" s="379"/>
      <c r="B31" s="379">
        <f t="shared" ca="1" si="26"/>
        <v>21</v>
      </c>
      <c r="C31" s="380"/>
      <c r="D31" s="380"/>
      <c r="E31" s="380"/>
      <c r="F31" s="403" t="str">
        <f ca="1">'תנאי סף'!B31</f>
        <v>היסטוריה (החברה ההיסטורית הישרא</v>
      </c>
      <c r="G31" s="379"/>
      <c r="H31" s="379"/>
      <c r="I31" s="379"/>
      <c r="J31" s="379"/>
      <c r="K31" s="379"/>
      <c r="L31" s="379"/>
      <c r="M31" s="379"/>
      <c r="N31" s="379"/>
      <c r="O31" s="379"/>
      <c r="P31" s="379"/>
      <c r="Q31" s="379"/>
      <c r="R31" s="379">
        <f t="shared" ca="1" si="27"/>
        <v>2</v>
      </c>
      <c r="S31" s="379">
        <f t="shared" ca="1" si="28"/>
        <v>2</v>
      </c>
      <c r="T31" s="379">
        <f t="shared" ca="1" si="29"/>
        <v>2</v>
      </c>
      <c r="U31" s="398">
        <f t="shared" ca="1" si="30"/>
        <v>1</v>
      </c>
      <c r="V31" s="423"/>
      <c r="W31" s="379">
        <f t="shared" ca="1" si="31"/>
        <v>1</v>
      </c>
      <c r="X31" s="386">
        <f t="shared" ca="1" si="32"/>
        <v>0</v>
      </c>
      <c r="Y31" s="386">
        <f t="shared" ca="1" si="33"/>
        <v>0</v>
      </c>
      <c r="Z31" s="386">
        <f t="shared" ca="1" si="34"/>
        <v>0</v>
      </c>
      <c r="AA31" s="386">
        <f t="shared" ca="1" si="35"/>
        <v>0</v>
      </c>
      <c r="AB31" s="386">
        <f t="shared" ca="1" si="36"/>
        <v>0</v>
      </c>
      <c r="AD31" s="351">
        <f t="shared" si="37"/>
        <v>1</v>
      </c>
      <c r="AE31" s="351">
        <f t="shared" ca="1" si="38"/>
        <v>0</v>
      </c>
      <c r="AF31" s="351">
        <f t="shared" ca="1" si="38"/>
        <v>1</v>
      </c>
      <c r="AG31" s="351">
        <f t="shared" si="6"/>
        <v>1</v>
      </c>
      <c r="AH31" s="351">
        <f t="shared" si="7"/>
        <v>1</v>
      </c>
      <c r="AI31" s="351">
        <f t="shared" si="8"/>
        <v>1</v>
      </c>
      <c r="AJ31" s="351">
        <f t="shared" si="9"/>
        <v>1</v>
      </c>
      <c r="AK31" s="351">
        <f t="shared" si="10"/>
        <v>1</v>
      </c>
      <c r="AL31" s="351">
        <f t="shared" si="11"/>
        <v>1</v>
      </c>
      <c r="AM31" s="351">
        <f t="shared" si="12"/>
        <v>1</v>
      </c>
      <c r="AN31" s="351">
        <f t="shared" si="13"/>
        <v>1</v>
      </c>
      <c r="AO31" s="351">
        <f t="shared" si="14"/>
        <v>1</v>
      </c>
      <c r="AP31" s="351">
        <f t="shared" si="15"/>
        <v>1</v>
      </c>
      <c r="AQ31" s="351">
        <f t="shared" si="16"/>
        <v>1</v>
      </c>
      <c r="AR31" s="351">
        <f t="shared" si="17"/>
        <v>1</v>
      </c>
      <c r="AS31" s="351">
        <f t="shared" si="18"/>
        <v>1</v>
      </c>
      <c r="AT31" s="351">
        <f t="shared" si="19"/>
        <v>1</v>
      </c>
      <c r="AU31" s="351">
        <f t="shared" si="20"/>
        <v>1</v>
      </c>
      <c r="AV31" s="351">
        <f t="shared" si="21"/>
        <v>1</v>
      </c>
      <c r="AW31" s="351">
        <f t="shared" si="22"/>
        <v>1</v>
      </c>
      <c r="AX31" s="351">
        <f t="shared" si="23"/>
        <v>1</v>
      </c>
      <c r="AY31" s="351">
        <f t="shared" si="24"/>
        <v>1</v>
      </c>
      <c r="BD31" s="351">
        <f t="shared" ca="1" si="39"/>
        <v>0</v>
      </c>
      <c r="BE31" s="351">
        <f t="shared" ca="1" si="39"/>
        <v>0</v>
      </c>
      <c r="BF31" s="351" t="e">
        <f t="shared" ca="1" si="39"/>
        <v>#N/A</v>
      </c>
      <c r="BG31" s="351" t="e">
        <f t="shared" ca="1" si="39"/>
        <v>#N/A</v>
      </c>
      <c r="BH31" s="351" t="e">
        <f t="shared" ca="1" si="39"/>
        <v>#N/A</v>
      </c>
      <c r="BI31" s="351" t="e">
        <f t="shared" ca="1" si="39"/>
        <v>#N/A</v>
      </c>
      <c r="BJ31" s="351" t="e">
        <f t="shared" ca="1" si="39"/>
        <v>#N/A</v>
      </c>
      <c r="BK31" s="351" t="e">
        <f t="shared" ca="1" si="39"/>
        <v>#N/A</v>
      </c>
      <c r="BL31" s="351" t="e">
        <f t="shared" ca="1" si="39"/>
        <v>#N/A</v>
      </c>
      <c r="BM31" s="351" t="e">
        <f t="shared" ca="1" si="39"/>
        <v>#N/A</v>
      </c>
    </row>
    <row r="32" spans="1:65" x14ac:dyDescent="0.25">
      <c r="A32" s="379"/>
      <c r="B32" s="379">
        <f t="shared" ca="1" si="26"/>
        <v>22</v>
      </c>
      <c r="C32" s="380"/>
      <c r="D32" s="380"/>
      <c r="E32" s="380"/>
      <c r="F32" s="403" t="str">
        <f ca="1">'תנאי סף'!B32</f>
        <v>מחול עכשיו (תמונע)</v>
      </c>
      <c r="G32" s="379"/>
      <c r="H32" s="379"/>
      <c r="I32" s="379"/>
      <c r="J32" s="379"/>
      <c r="K32" s="379"/>
      <c r="L32" s="379"/>
      <c r="M32" s="379"/>
      <c r="N32" s="379"/>
      <c r="O32" s="379"/>
      <c r="P32" s="379"/>
      <c r="Q32" s="379"/>
      <c r="R32" s="379">
        <f t="shared" ca="1" si="27"/>
        <v>2</v>
      </c>
      <c r="S32" s="379">
        <f t="shared" ca="1" si="28"/>
        <v>2</v>
      </c>
      <c r="T32" s="379">
        <f t="shared" ca="1" si="29"/>
        <v>2</v>
      </c>
      <c r="U32" s="398">
        <f t="shared" ca="1" si="30"/>
        <v>1</v>
      </c>
      <c r="V32" s="423"/>
      <c r="W32" s="379">
        <f t="shared" ca="1" si="31"/>
        <v>1</v>
      </c>
      <c r="X32" s="386">
        <f t="shared" ca="1" si="32"/>
        <v>0</v>
      </c>
      <c r="Y32" s="386">
        <f t="shared" ca="1" si="33"/>
        <v>0</v>
      </c>
      <c r="Z32" s="386">
        <f t="shared" ca="1" si="34"/>
        <v>0</v>
      </c>
      <c r="AA32" s="386">
        <f t="shared" ca="1" si="35"/>
        <v>0</v>
      </c>
      <c r="AB32" s="386">
        <f t="shared" ca="1" si="36"/>
        <v>0</v>
      </c>
      <c r="AD32" s="351">
        <f t="shared" si="37"/>
        <v>1</v>
      </c>
      <c r="AE32" s="351">
        <f t="shared" ca="1" si="38"/>
        <v>0</v>
      </c>
      <c r="AF32" s="351">
        <f t="shared" ca="1" si="38"/>
        <v>1</v>
      </c>
      <c r="AG32" s="351">
        <f t="shared" si="6"/>
        <v>1</v>
      </c>
      <c r="AH32" s="351">
        <f t="shared" si="7"/>
        <v>1</v>
      </c>
      <c r="AI32" s="351">
        <f t="shared" si="8"/>
        <v>1</v>
      </c>
      <c r="AJ32" s="351">
        <f t="shared" si="9"/>
        <v>1</v>
      </c>
      <c r="AK32" s="351">
        <f t="shared" si="10"/>
        <v>1</v>
      </c>
      <c r="AL32" s="351">
        <f t="shared" si="11"/>
        <v>1</v>
      </c>
      <c r="AM32" s="351">
        <f t="shared" si="12"/>
        <v>1</v>
      </c>
      <c r="AN32" s="351">
        <f t="shared" si="13"/>
        <v>1</v>
      </c>
      <c r="AO32" s="351">
        <f t="shared" si="14"/>
        <v>1</v>
      </c>
      <c r="AP32" s="351">
        <f t="shared" si="15"/>
        <v>1</v>
      </c>
      <c r="AQ32" s="351">
        <f t="shared" si="16"/>
        <v>1</v>
      </c>
      <c r="AR32" s="351">
        <f t="shared" si="17"/>
        <v>1</v>
      </c>
      <c r="AS32" s="351">
        <f t="shared" si="18"/>
        <v>1</v>
      </c>
      <c r="AT32" s="351">
        <f t="shared" si="19"/>
        <v>1</v>
      </c>
      <c r="AU32" s="351">
        <f t="shared" si="20"/>
        <v>1</v>
      </c>
      <c r="AV32" s="351">
        <f t="shared" si="21"/>
        <v>1</v>
      </c>
      <c r="AW32" s="351">
        <f t="shared" si="22"/>
        <v>1</v>
      </c>
      <c r="AX32" s="351">
        <f t="shared" si="23"/>
        <v>1</v>
      </c>
      <c r="AY32" s="351">
        <f t="shared" si="24"/>
        <v>1</v>
      </c>
      <c r="BD32" s="351">
        <f t="shared" ca="1" si="39"/>
        <v>0</v>
      </c>
      <c r="BE32" s="351">
        <f t="shared" ca="1" si="39"/>
        <v>0</v>
      </c>
      <c r="BF32" s="351" t="e">
        <f t="shared" ca="1" si="39"/>
        <v>#N/A</v>
      </c>
      <c r="BG32" s="351" t="e">
        <f t="shared" ca="1" si="39"/>
        <v>#N/A</v>
      </c>
      <c r="BH32" s="351" t="e">
        <f t="shared" ca="1" si="39"/>
        <v>#N/A</v>
      </c>
      <c r="BI32" s="351" t="e">
        <f t="shared" ca="1" si="39"/>
        <v>#N/A</v>
      </c>
      <c r="BJ32" s="351" t="e">
        <f t="shared" ca="1" si="39"/>
        <v>#N/A</v>
      </c>
      <c r="BK32" s="351" t="e">
        <f t="shared" ca="1" si="39"/>
        <v>#N/A</v>
      </c>
      <c r="BL32" s="351" t="e">
        <f t="shared" ca="1" si="39"/>
        <v>#N/A</v>
      </c>
      <c r="BM32" s="351" t="e">
        <f t="shared" ca="1" si="39"/>
        <v>#N/A</v>
      </c>
    </row>
    <row r="33" spans="1:65" x14ac:dyDescent="0.25">
      <c r="A33" s="379"/>
      <c r="B33" s="379">
        <f t="shared" ca="1" si="26"/>
        <v>23</v>
      </c>
      <c r="C33" s="380"/>
      <c r="D33" s="380"/>
      <c r="E33" s="380"/>
      <c r="F33" s="403" t="str">
        <f ca="1">'תנאי סף'!B33</f>
        <v>קול אישה שירה (תואר)</v>
      </c>
      <c r="G33" s="379"/>
      <c r="H33" s="379"/>
      <c r="I33" s="379"/>
      <c r="J33" s="379"/>
      <c r="K33" s="379"/>
      <c r="L33" s="379"/>
      <c r="M33" s="379"/>
      <c r="N33" s="379"/>
      <c r="O33" s="379"/>
      <c r="P33" s="379"/>
      <c r="Q33" s="379"/>
      <c r="R33" s="379">
        <f t="shared" ca="1" si="27"/>
        <v>2</v>
      </c>
      <c r="S33" s="379">
        <f t="shared" ca="1" si="28"/>
        <v>2</v>
      </c>
      <c r="T33" s="379">
        <f t="shared" ca="1" si="29"/>
        <v>2</v>
      </c>
      <c r="U33" s="398">
        <f t="shared" ca="1" si="30"/>
        <v>0.94339622641509435</v>
      </c>
      <c r="V33" s="423"/>
      <c r="W33" s="379">
        <f t="shared" ca="1" si="31"/>
        <v>1</v>
      </c>
      <c r="X33" s="386">
        <f t="shared" ca="1" si="32"/>
        <v>0</v>
      </c>
      <c r="Y33" s="386">
        <f t="shared" ca="1" si="33"/>
        <v>0</v>
      </c>
      <c r="Z33" s="386">
        <f t="shared" ca="1" si="34"/>
        <v>0</v>
      </c>
      <c r="AA33" s="386">
        <f t="shared" ca="1" si="35"/>
        <v>0</v>
      </c>
      <c r="AB33" s="386">
        <f t="shared" ca="1" si="36"/>
        <v>0</v>
      </c>
      <c r="AD33" s="351">
        <f t="shared" si="37"/>
        <v>1</v>
      </c>
      <c r="AE33" s="351">
        <f t="shared" ca="1" si="38"/>
        <v>0</v>
      </c>
      <c r="AF33" s="351">
        <f t="shared" ca="1" si="38"/>
        <v>1</v>
      </c>
      <c r="AG33" s="351">
        <f t="shared" si="6"/>
        <v>1</v>
      </c>
      <c r="AH33" s="351">
        <f t="shared" si="7"/>
        <v>1</v>
      </c>
      <c r="AI33" s="351">
        <f t="shared" si="8"/>
        <v>1</v>
      </c>
      <c r="AJ33" s="351">
        <f t="shared" si="9"/>
        <v>1</v>
      </c>
      <c r="AK33" s="351">
        <f t="shared" si="10"/>
        <v>1</v>
      </c>
      <c r="AL33" s="351">
        <f t="shared" si="11"/>
        <v>1</v>
      </c>
      <c r="AM33" s="351">
        <f t="shared" si="12"/>
        <v>1</v>
      </c>
      <c r="AN33" s="351">
        <f t="shared" si="13"/>
        <v>1</v>
      </c>
      <c r="AO33" s="351">
        <f t="shared" si="14"/>
        <v>1</v>
      </c>
      <c r="AP33" s="351">
        <f t="shared" si="15"/>
        <v>1</v>
      </c>
      <c r="AQ33" s="351">
        <f t="shared" si="16"/>
        <v>1</v>
      </c>
      <c r="AR33" s="351">
        <f t="shared" si="17"/>
        <v>1</v>
      </c>
      <c r="AS33" s="351">
        <f t="shared" si="18"/>
        <v>1</v>
      </c>
      <c r="AT33" s="351">
        <f t="shared" si="19"/>
        <v>1</v>
      </c>
      <c r="AU33" s="351">
        <f t="shared" si="20"/>
        <v>1</v>
      </c>
      <c r="AV33" s="351">
        <f t="shared" si="21"/>
        <v>1</v>
      </c>
      <c r="AW33" s="351">
        <f t="shared" si="22"/>
        <v>1</v>
      </c>
      <c r="AX33" s="351">
        <f t="shared" si="23"/>
        <v>1</v>
      </c>
      <c r="AY33" s="351">
        <f t="shared" si="24"/>
        <v>1</v>
      </c>
      <c r="BD33" s="351">
        <f t="shared" ca="1" si="39"/>
        <v>0</v>
      </c>
      <c r="BE33" s="351">
        <f t="shared" ca="1" si="39"/>
        <v>0</v>
      </c>
      <c r="BF33" s="351" t="e">
        <f t="shared" ca="1" si="39"/>
        <v>#N/A</v>
      </c>
      <c r="BG33" s="351" t="e">
        <f t="shared" ca="1" si="39"/>
        <v>#N/A</v>
      </c>
      <c r="BH33" s="351" t="e">
        <f t="shared" ca="1" si="39"/>
        <v>#N/A</v>
      </c>
      <c r="BI33" s="351" t="e">
        <f t="shared" ca="1" si="39"/>
        <v>#N/A</v>
      </c>
      <c r="BJ33" s="351" t="e">
        <f t="shared" ca="1" si="39"/>
        <v>#N/A</v>
      </c>
      <c r="BK33" s="351" t="e">
        <f t="shared" ca="1" si="39"/>
        <v>#N/A</v>
      </c>
      <c r="BL33" s="351" t="e">
        <f t="shared" ca="1" si="39"/>
        <v>#N/A</v>
      </c>
      <c r="BM33" s="351" t="e">
        <f t="shared" ca="1" si="39"/>
        <v>#N/A</v>
      </c>
    </row>
    <row r="34" spans="1:65" x14ac:dyDescent="0.25">
      <c r="A34" s="379"/>
      <c r="B34" s="379">
        <f t="shared" ca="1" si="26"/>
        <v>24</v>
      </c>
      <c r="C34" s="380"/>
      <c r="D34" s="380"/>
      <c r="E34" s="380"/>
      <c r="F34" s="403" t="str">
        <f ca="1">'תנאי סף'!B34</f>
        <v>האיגוד העולמי למדעי היהדות</v>
      </c>
      <c r="G34" s="379"/>
      <c r="H34" s="379"/>
      <c r="I34" s="379"/>
      <c r="J34" s="379"/>
      <c r="K34" s="379"/>
      <c r="L34" s="379"/>
      <c r="M34" s="379"/>
      <c r="N34" s="379"/>
      <c r="O34" s="379"/>
      <c r="P34" s="379"/>
      <c r="Q34" s="379"/>
      <c r="R34" s="379">
        <f t="shared" ca="1" si="27"/>
        <v>2</v>
      </c>
      <c r="S34" s="379">
        <f t="shared" ca="1" si="28"/>
        <v>2</v>
      </c>
      <c r="T34" s="379">
        <f t="shared" ca="1" si="29"/>
        <v>2</v>
      </c>
      <c r="U34" s="398">
        <f t="shared" ca="1" si="30"/>
        <v>1</v>
      </c>
      <c r="V34" s="423"/>
      <c r="W34" s="379">
        <f t="shared" ca="1" si="31"/>
        <v>1</v>
      </c>
      <c r="X34" s="386">
        <f t="shared" ca="1" si="32"/>
        <v>0</v>
      </c>
      <c r="Y34" s="386">
        <f t="shared" ca="1" si="33"/>
        <v>0</v>
      </c>
      <c r="Z34" s="386">
        <f t="shared" ca="1" si="34"/>
        <v>0</v>
      </c>
      <c r="AA34" s="386">
        <f t="shared" ca="1" si="35"/>
        <v>0</v>
      </c>
      <c r="AB34" s="386">
        <f t="shared" ca="1" si="36"/>
        <v>0</v>
      </c>
      <c r="AD34" s="351">
        <f t="shared" si="37"/>
        <v>1</v>
      </c>
      <c r="AE34" s="351">
        <f t="shared" ca="1" si="38"/>
        <v>0</v>
      </c>
      <c r="AF34" s="351">
        <f t="shared" ca="1" si="38"/>
        <v>1</v>
      </c>
      <c r="AG34" s="351">
        <f t="shared" si="6"/>
        <v>1</v>
      </c>
      <c r="AH34" s="351">
        <f t="shared" si="7"/>
        <v>1</v>
      </c>
      <c r="AI34" s="351">
        <f t="shared" si="8"/>
        <v>1</v>
      </c>
      <c r="AJ34" s="351">
        <f t="shared" si="9"/>
        <v>1</v>
      </c>
      <c r="AK34" s="351">
        <f t="shared" si="10"/>
        <v>1</v>
      </c>
      <c r="AL34" s="351">
        <f t="shared" si="11"/>
        <v>1</v>
      </c>
      <c r="AM34" s="351">
        <f t="shared" si="12"/>
        <v>1</v>
      </c>
      <c r="AN34" s="351">
        <f t="shared" si="13"/>
        <v>1</v>
      </c>
      <c r="AO34" s="351">
        <f t="shared" si="14"/>
        <v>1</v>
      </c>
      <c r="AP34" s="351">
        <f t="shared" si="15"/>
        <v>1</v>
      </c>
      <c r="AQ34" s="351">
        <f t="shared" si="16"/>
        <v>1</v>
      </c>
      <c r="AR34" s="351">
        <f t="shared" si="17"/>
        <v>1</v>
      </c>
      <c r="AS34" s="351">
        <f t="shared" si="18"/>
        <v>1</v>
      </c>
      <c r="AT34" s="351">
        <f t="shared" si="19"/>
        <v>1</v>
      </c>
      <c r="AU34" s="351">
        <f t="shared" si="20"/>
        <v>1</v>
      </c>
      <c r="AV34" s="351">
        <f t="shared" si="21"/>
        <v>1</v>
      </c>
      <c r="AW34" s="351">
        <f t="shared" si="22"/>
        <v>1</v>
      </c>
      <c r="AX34" s="351">
        <f t="shared" si="23"/>
        <v>1</v>
      </c>
      <c r="AY34" s="351">
        <f t="shared" si="24"/>
        <v>1</v>
      </c>
      <c r="BD34" s="351">
        <f t="shared" ca="1" si="39"/>
        <v>0</v>
      </c>
      <c r="BE34" s="351">
        <f t="shared" ca="1" si="39"/>
        <v>0</v>
      </c>
      <c r="BF34" s="351" t="e">
        <f t="shared" ca="1" si="39"/>
        <v>#N/A</v>
      </c>
      <c r="BG34" s="351" t="e">
        <f t="shared" ca="1" si="39"/>
        <v>#N/A</v>
      </c>
      <c r="BH34" s="351" t="e">
        <f t="shared" ca="1" si="39"/>
        <v>#N/A</v>
      </c>
      <c r="BI34" s="351" t="e">
        <f t="shared" ca="1" si="39"/>
        <v>#N/A</v>
      </c>
      <c r="BJ34" s="351" t="e">
        <f t="shared" ca="1" si="39"/>
        <v>#N/A</v>
      </c>
      <c r="BK34" s="351" t="e">
        <f t="shared" ca="1" si="39"/>
        <v>#N/A</v>
      </c>
      <c r="BL34" s="351" t="e">
        <f t="shared" ca="1" si="39"/>
        <v>#N/A</v>
      </c>
      <c r="BM34" s="351" t="e">
        <f t="shared" ca="1" si="39"/>
        <v>#N/A</v>
      </c>
    </row>
    <row r="35" spans="1:65" x14ac:dyDescent="0.25">
      <c r="A35" s="379"/>
      <c r="B35" s="379" t="str">
        <f t="shared" ca="1" si="26"/>
        <v/>
      </c>
      <c r="C35" s="380"/>
      <c r="D35" s="380"/>
      <c r="E35" s="380"/>
      <c r="F35" s="403" t="str">
        <f ca="1">'תנאי סף'!B35</f>
        <v/>
      </c>
      <c r="G35" s="379"/>
      <c r="H35" s="379"/>
      <c r="I35" s="379"/>
      <c r="J35" s="379"/>
      <c r="K35" s="379"/>
      <c r="L35" s="379"/>
      <c r="M35" s="379"/>
      <c r="N35" s="379"/>
      <c r="O35" s="379"/>
      <c r="P35" s="379"/>
      <c r="Q35" s="379"/>
      <c r="R35" s="379" t="str">
        <f t="shared" ca="1" si="27"/>
        <v/>
      </c>
      <c r="S35" s="379" t="str">
        <f t="shared" ca="1" si="28"/>
        <v/>
      </c>
      <c r="T35" s="379" t="str">
        <f t="shared" ca="1" si="29"/>
        <v/>
      </c>
      <c r="U35" s="398" t="str">
        <f t="shared" ca="1" si="30"/>
        <v/>
      </c>
      <c r="V35" s="423"/>
      <c r="W35" s="379" t="str">
        <f t="shared" ca="1" si="31"/>
        <v/>
      </c>
      <c r="X35" s="386" t="str">
        <f t="shared" ca="1" si="32"/>
        <v/>
      </c>
      <c r="Y35" s="386" t="str">
        <f t="shared" ca="1" si="33"/>
        <v/>
      </c>
      <c r="Z35" s="386" t="str">
        <f t="shared" ca="1" si="34"/>
        <v/>
      </c>
      <c r="AA35" s="386" t="str">
        <f t="shared" ca="1" si="35"/>
        <v/>
      </c>
      <c r="AB35" s="386" t="str">
        <f t="shared" ca="1" si="36"/>
        <v/>
      </c>
      <c r="AD35" s="351">
        <f t="shared" si="37"/>
        <v>1</v>
      </c>
      <c r="AE35" s="351" t="str">
        <f t="shared" ca="1" si="38"/>
        <v/>
      </c>
      <c r="AF35" s="351" t="str">
        <f t="shared" ca="1" si="38"/>
        <v/>
      </c>
      <c r="AG35" s="351">
        <f t="shared" si="6"/>
        <v>1</v>
      </c>
      <c r="AH35" s="351">
        <f t="shared" si="7"/>
        <v>1</v>
      </c>
      <c r="AI35" s="351">
        <f t="shared" si="8"/>
        <v>1</v>
      </c>
      <c r="AJ35" s="351">
        <f t="shared" si="9"/>
        <v>1</v>
      </c>
      <c r="AK35" s="351">
        <f t="shared" si="10"/>
        <v>1</v>
      </c>
      <c r="AL35" s="351">
        <f t="shared" si="11"/>
        <v>1</v>
      </c>
      <c r="AM35" s="351">
        <f t="shared" si="12"/>
        <v>1</v>
      </c>
      <c r="AN35" s="351">
        <f t="shared" si="13"/>
        <v>1</v>
      </c>
      <c r="AO35" s="351">
        <f t="shared" si="14"/>
        <v>1</v>
      </c>
      <c r="AP35" s="351">
        <f t="shared" si="15"/>
        <v>1</v>
      </c>
      <c r="AQ35" s="351">
        <f t="shared" si="16"/>
        <v>1</v>
      </c>
      <c r="AR35" s="351">
        <f t="shared" si="17"/>
        <v>1</v>
      </c>
      <c r="AS35" s="351">
        <f t="shared" si="18"/>
        <v>1</v>
      </c>
      <c r="AT35" s="351">
        <f t="shared" si="19"/>
        <v>1</v>
      </c>
      <c r="AU35" s="351">
        <f t="shared" si="20"/>
        <v>1</v>
      </c>
      <c r="AV35" s="351">
        <f t="shared" si="21"/>
        <v>1</v>
      </c>
      <c r="AW35" s="351">
        <f t="shared" si="22"/>
        <v>1</v>
      </c>
      <c r="AX35" s="351">
        <f t="shared" si="23"/>
        <v>1</v>
      </c>
      <c r="AY35" s="351">
        <f t="shared" si="24"/>
        <v>1</v>
      </c>
      <c r="BD35" s="351" t="str">
        <f t="shared" ca="1" si="39"/>
        <v/>
      </c>
      <c r="BE35" s="351" t="str">
        <f t="shared" ca="1" si="39"/>
        <v/>
      </c>
      <c r="BF35" s="351" t="str">
        <f t="shared" ca="1" si="39"/>
        <v/>
      </c>
      <c r="BG35" s="351" t="str">
        <f t="shared" ca="1" si="39"/>
        <v/>
      </c>
      <c r="BH35" s="351" t="str">
        <f t="shared" ca="1" si="39"/>
        <v/>
      </c>
      <c r="BI35" s="351" t="str">
        <f t="shared" ca="1" si="39"/>
        <v/>
      </c>
      <c r="BJ35" s="351" t="str">
        <f t="shared" ca="1" si="39"/>
        <v/>
      </c>
      <c r="BK35" s="351" t="str">
        <f t="shared" ca="1" si="39"/>
        <v/>
      </c>
      <c r="BL35" s="351" t="str">
        <f t="shared" ca="1" si="39"/>
        <v/>
      </c>
      <c r="BM35" s="351" t="str">
        <f t="shared" ca="1" si="39"/>
        <v/>
      </c>
    </row>
    <row r="36" spans="1:65" x14ac:dyDescent="0.25">
      <c r="A36" s="379"/>
      <c r="B36" s="379" t="str">
        <f t="shared" ca="1" si="26"/>
        <v/>
      </c>
      <c r="C36" s="380"/>
      <c r="D36" s="380"/>
      <c r="E36" s="380"/>
      <c r="F36" s="403" t="str">
        <f ca="1">'תנאי סף'!B36</f>
        <v/>
      </c>
      <c r="G36" s="379"/>
      <c r="H36" s="379"/>
      <c r="I36" s="379"/>
      <c r="J36" s="379"/>
      <c r="K36" s="379"/>
      <c r="L36" s="379"/>
      <c r="M36" s="379"/>
      <c r="N36" s="379"/>
      <c r="O36" s="379"/>
      <c r="P36" s="379"/>
      <c r="Q36" s="379"/>
      <c r="R36" s="379" t="str">
        <f t="shared" ca="1" si="27"/>
        <v/>
      </c>
      <c r="S36" s="379" t="str">
        <f t="shared" ca="1" si="28"/>
        <v/>
      </c>
      <c r="T36" s="379" t="str">
        <f t="shared" ca="1" si="29"/>
        <v/>
      </c>
      <c r="U36" s="398" t="str">
        <f t="shared" ca="1" si="30"/>
        <v/>
      </c>
      <c r="V36" s="423"/>
      <c r="W36" s="379" t="str">
        <f t="shared" ca="1" si="31"/>
        <v/>
      </c>
      <c r="X36" s="386" t="str">
        <f t="shared" ca="1" si="32"/>
        <v/>
      </c>
      <c r="Y36" s="386" t="str">
        <f t="shared" ca="1" si="33"/>
        <v/>
      </c>
      <c r="Z36" s="386" t="str">
        <f t="shared" ca="1" si="34"/>
        <v/>
      </c>
      <c r="AA36" s="386" t="str">
        <f t="shared" ca="1" si="35"/>
        <v/>
      </c>
      <c r="AB36" s="386" t="str">
        <f t="shared" ca="1" si="36"/>
        <v/>
      </c>
      <c r="AD36" s="351">
        <f t="shared" si="37"/>
        <v>1</v>
      </c>
      <c r="AE36" s="351" t="str">
        <f t="shared" ca="1" si="38"/>
        <v/>
      </c>
      <c r="AF36" s="351" t="str">
        <f t="shared" ca="1" si="38"/>
        <v/>
      </c>
      <c r="AG36" s="351">
        <f t="shared" si="6"/>
        <v>1</v>
      </c>
      <c r="AH36" s="351">
        <f t="shared" si="7"/>
        <v>1</v>
      </c>
      <c r="AI36" s="351">
        <f t="shared" si="8"/>
        <v>1</v>
      </c>
      <c r="AJ36" s="351">
        <f t="shared" si="9"/>
        <v>1</v>
      </c>
      <c r="AK36" s="351">
        <f t="shared" si="10"/>
        <v>1</v>
      </c>
      <c r="AL36" s="351">
        <f t="shared" si="11"/>
        <v>1</v>
      </c>
      <c r="AM36" s="351">
        <f t="shared" si="12"/>
        <v>1</v>
      </c>
      <c r="AN36" s="351">
        <f t="shared" si="13"/>
        <v>1</v>
      </c>
      <c r="AO36" s="351">
        <f t="shared" si="14"/>
        <v>1</v>
      </c>
      <c r="AP36" s="351">
        <f t="shared" si="15"/>
        <v>1</v>
      </c>
      <c r="AQ36" s="351">
        <f t="shared" si="16"/>
        <v>1</v>
      </c>
      <c r="AR36" s="351">
        <f t="shared" si="17"/>
        <v>1</v>
      </c>
      <c r="AS36" s="351">
        <f t="shared" si="18"/>
        <v>1</v>
      </c>
      <c r="AT36" s="351">
        <f t="shared" si="19"/>
        <v>1</v>
      </c>
      <c r="AU36" s="351">
        <f t="shared" si="20"/>
        <v>1</v>
      </c>
      <c r="AV36" s="351">
        <f t="shared" si="21"/>
        <v>1</v>
      </c>
      <c r="AW36" s="351">
        <f t="shared" si="22"/>
        <v>1</v>
      </c>
      <c r="AX36" s="351">
        <f t="shared" si="23"/>
        <v>1</v>
      </c>
      <c r="AY36" s="351">
        <f t="shared" si="24"/>
        <v>1</v>
      </c>
      <c r="BD36" s="351" t="str">
        <f t="shared" ca="1" si="39"/>
        <v/>
      </c>
      <c r="BE36" s="351" t="str">
        <f t="shared" ca="1" si="39"/>
        <v/>
      </c>
      <c r="BF36" s="351" t="str">
        <f t="shared" ca="1" si="39"/>
        <v/>
      </c>
      <c r="BG36" s="351" t="str">
        <f t="shared" ca="1" si="39"/>
        <v/>
      </c>
      <c r="BH36" s="351" t="str">
        <f t="shared" ca="1" si="39"/>
        <v/>
      </c>
      <c r="BI36" s="351" t="str">
        <f t="shared" ca="1" si="39"/>
        <v/>
      </c>
      <c r="BJ36" s="351" t="str">
        <f t="shared" ca="1" si="39"/>
        <v/>
      </c>
      <c r="BK36" s="351" t="str">
        <f t="shared" ca="1" si="39"/>
        <v/>
      </c>
      <c r="BL36" s="351" t="str">
        <f t="shared" ca="1" si="39"/>
        <v/>
      </c>
      <c r="BM36" s="351" t="str">
        <f t="shared" ca="1" si="39"/>
        <v/>
      </c>
    </row>
    <row r="37" spans="1:65" x14ac:dyDescent="0.25">
      <c r="A37" s="379"/>
      <c r="B37" s="379" t="str">
        <f t="shared" ca="1" si="26"/>
        <v/>
      </c>
      <c r="C37" s="380"/>
      <c r="D37" s="380"/>
      <c r="E37" s="380"/>
      <c r="F37" s="403" t="str">
        <f ca="1">'תנאי סף'!B37</f>
        <v/>
      </c>
      <c r="G37" s="379"/>
      <c r="H37" s="379"/>
      <c r="I37" s="379"/>
      <c r="J37" s="379"/>
      <c r="K37" s="379"/>
      <c r="L37" s="379"/>
      <c r="M37" s="379"/>
      <c r="N37" s="379"/>
      <c r="O37" s="379"/>
      <c r="P37" s="379"/>
      <c r="Q37" s="379"/>
      <c r="R37" s="379" t="str">
        <f t="shared" ca="1" si="27"/>
        <v/>
      </c>
      <c r="S37" s="379" t="str">
        <f t="shared" ca="1" si="28"/>
        <v/>
      </c>
      <c r="T37" s="379" t="str">
        <f t="shared" ca="1" si="29"/>
        <v/>
      </c>
      <c r="U37" s="398" t="str">
        <f t="shared" ca="1" si="30"/>
        <v/>
      </c>
      <c r="V37" s="423"/>
      <c r="W37" s="379" t="str">
        <f t="shared" ca="1" si="31"/>
        <v/>
      </c>
      <c r="X37" s="386" t="str">
        <f t="shared" ca="1" si="32"/>
        <v/>
      </c>
      <c r="Y37" s="386" t="str">
        <f t="shared" ca="1" si="33"/>
        <v/>
      </c>
      <c r="Z37" s="386" t="str">
        <f t="shared" ca="1" si="34"/>
        <v/>
      </c>
      <c r="AA37" s="386" t="str">
        <f t="shared" ca="1" si="35"/>
        <v/>
      </c>
      <c r="AB37" s="386" t="str">
        <f t="shared" ca="1" si="36"/>
        <v/>
      </c>
      <c r="AD37" s="351">
        <f t="shared" si="37"/>
        <v>1</v>
      </c>
      <c r="AE37" s="351" t="str">
        <f t="shared" ca="1" si="38"/>
        <v/>
      </c>
      <c r="AF37" s="351" t="str">
        <f t="shared" ca="1" si="38"/>
        <v/>
      </c>
      <c r="AG37" s="351">
        <f t="shared" si="6"/>
        <v>1</v>
      </c>
      <c r="AH37" s="351">
        <f t="shared" si="7"/>
        <v>1</v>
      </c>
      <c r="AI37" s="351">
        <f t="shared" si="8"/>
        <v>1</v>
      </c>
      <c r="AJ37" s="351">
        <f t="shared" si="9"/>
        <v>1</v>
      </c>
      <c r="AK37" s="351">
        <f t="shared" si="10"/>
        <v>1</v>
      </c>
      <c r="AL37" s="351">
        <f t="shared" si="11"/>
        <v>1</v>
      </c>
      <c r="AM37" s="351">
        <f t="shared" si="12"/>
        <v>1</v>
      </c>
      <c r="AN37" s="351">
        <f t="shared" si="13"/>
        <v>1</v>
      </c>
      <c r="AO37" s="351">
        <f t="shared" si="14"/>
        <v>1</v>
      </c>
      <c r="AP37" s="351">
        <f t="shared" si="15"/>
        <v>1</v>
      </c>
      <c r="AQ37" s="351">
        <f t="shared" si="16"/>
        <v>1</v>
      </c>
      <c r="AR37" s="351">
        <f t="shared" si="17"/>
        <v>1</v>
      </c>
      <c r="AS37" s="351">
        <f t="shared" si="18"/>
        <v>1</v>
      </c>
      <c r="AT37" s="351">
        <f t="shared" si="19"/>
        <v>1</v>
      </c>
      <c r="AU37" s="351">
        <f t="shared" si="20"/>
        <v>1</v>
      </c>
      <c r="AV37" s="351">
        <f t="shared" si="21"/>
        <v>1</v>
      </c>
      <c r="AW37" s="351">
        <f t="shared" si="22"/>
        <v>1</v>
      </c>
      <c r="AX37" s="351">
        <f t="shared" si="23"/>
        <v>1</v>
      </c>
      <c r="AY37" s="351">
        <f t="shared" si="24"/>
        <v>1</v>
      </c>
      <c r="BD37" s="351" t="str">
        <f t="shared" ca="1" si="39"/>
        <v/>
      </c>
      <c r="BE37" s="351" t="str">
        <f t="shared" ca="1" si="39"/>
        <v/>
      </c>
      <c r="BF37" s="351" t="str">
        <f t="shared" ca="1" si="39"/>
        <v/>
      </c>
      <c r="BG37" s="351" t="str">
        <f t="shared" ca="1" si="39"/>
        <v/>
      </c>
      <c r="BH37" s="351" t="str">
        <f t="shared" ca="1" si="39"/>
        <v/>
      </c>
      <c r="BI37" s="351" t="str">
        <f t="shared" ca="1" si="39"/>
        <v/>
      </c>
      <c r="BJ37" s="351" t="str">
        <f t="shared" ca="1" si="39"/>
        <v/>
      </c>
      <c r="BK37" s="351" t="str">
        <f t="shared" ca="1" si="39"/>
        <v/>
      </c>
      <c r="BL37" s="351" t="str">
        <f t="shared" ca="1" si="39"/>
        <v/>
      </c>
      <c r="BM37" s="351" t="str">
        <f t="shared" ca="1" si="39"/>
        <v/>
      </c>
    </row>
    <row r="38" spans="1:65" x14ac:dyDescent="0.25">
      <c r="A38" s="379"/>
      <c r="B38" s="379" t="str">
        <f t="shared" ca="1" si="26"/>
        <v/>
      </c>
      <c r="C38" s="380"/>
      <c r="D38" s="380"/>
      <c r="E38" s="380"/>
      <c r="F38" s="403" t="str">
        <f ca="1">'תנאי סף'!B38</f>
        <v/>
      </c>
      <c r="G38" s="379"/>
      <c r="H38" s="379"/>
      <c r="I38" s="379"/>
      <c r="J38" s="379"/>
      <c r="K38" s="379"/>
      <c r="L38" s="379"/>
      <c r="M38" s="379"/>
      <c r="N38" s="379"/>
      <c r="O38" s="379"/>
      <c r="P38" s="379"/>
      <c r="Q38" s="379"/>
      <c r="R38" s="379" t="str">
        <f t="shared" ca="1" si="27"/>
        <v/>
      </c>
      <c r="S38" s="379" t="str">
        <f t="shared" ca="1" si="28"/>
        <v/>
      </c>
      <c r="T38" s="379" t="str">
        <f t="shared" ca="1" si="29"/>
        <v/>
      </c>
      <c r="U38" s="398" t="str">
        <f t="shared" ca="1" si="30"/>
        <v/>
      </c>
      <c r="V38" s="423"/>
      <c r="W38" s="379" t="str">
        <f t="shared" ca="1" si="31"/>
        <v/>
      </c>
      <c r="X38" s="386" t="str">
        <f t="shared" ca="1" si="32"/>
        <v/>
      </c>
      <c r="Y38" s="386" t="str">
        <f t="shared" ca="1" si="33"/>
        <v/>
      </c>
      <c r="Z38" s="386" t="str">
        <f t="shared" ca="1" si="34"/>
        <v/>
      </c>
      <c r="AA38" s="386" t="str">
        <f t="shared" ca="1" si="35"/>
        <v/>
      </c>
      <c r="AB38" s="386" t="str">
        <f t="shared" ca="1" si="36"/>
        <v/>
      </c>
      <c r="AD38" s="351">
        <f t="shared" si="37"/>
        <v>1</v>
      </c>
      <c r="AE38" s="351" t="str">
        <f t="shared" ca="1" si="38"/>
        <v/>
      </c>
      <c r="AF38" s="351" t="str">
        <f t="shared" ca="1" si="38"/>
        <v/>
      </c>
      <c r="AG38" s="351">
        <f t="shared" si="6"/>
        <v>1</v>
      </c>
      <c r="AH38" s="351">
        <f t="shared" si="7"/>
        <v>1</v>
      </c>
      <c r="AI38" s="351">
        <f t="shared" si="8"/>
        <v>1</v>
      </c>
      <c r="AJ38" s="351">
        <f t="shared" si="9"/>
        <v>1</v>
      </c>
      <c r="AK38" s="351">
        <f t="shared" si="10"/>
        <v>1</v>
      </c>
      <c r="AL38" s="351">
        <f t="shared" si="11"/>
        <v>1</v>
      </c>
      <c r="AM38" s="351">
        <f t="shared" si="12"/>
        <v>1</v>
      </c>
      <c r="AN38" s="351">
        <f t="shared" si="13"/>
        <v>1</v>
      </c>
      <c r="AO38" s="351">
        <f t="shared" si="14"/>
        <v>1</v>
      </c>
      <c r="AP38" s="351">
        <f t="shared" si="15"/>
        <v>1</v>
      </c>
      <c r="AQ38" s="351">
        <f t="shared" si="16"/>
        <v>1</v>
      </c>
      <c r="AR38" s="351">
        <f t="shared" si="17"/>
        <v>1</v>
      </c>
      <c r="AS38" s="351">
        <f t="shared" si="18"/>
        <v>1</v>
      </c>
      <c r="AT38" s="351">
        <f t="shared" si="19"/>
        <v>1</v>
      </c>
      <c r="AU38" s="351">
        <f t="shared" si="20"/>
        <v>1</v>
      </c>
      <c r="AV38" s="351">
        <f t="shared" si="21"/>
        <v>1</v>
      </c>
      <c r="AW38" s="351">
        <f t="shared" si="22"/>
        <v>1</v>
      </c>
      <c r="AX38" s="351">
        <f t="shared" si="23"/>
        <v>1</v>
      </c>
      <c r="AY38" s="351">
        <f t="shared" si="24"/>
        <v>1</v>
      </c>
      <c r="BD38" s="351" t="str">
        <f t="shared" ca="1" si="39"/>
        <v/>
      </c>
      <c r="BE38" s="351" t="str">
        <f t="shared" ca="1" si="39"/>
        <v/>
      </c>
      <c r="BF38" s="351" t="str">
        <f t="shared" ca="1" si="39"/>
        <v/>
      </c>
      <c r="BG38" s="351" t="str">
        <f t="shared" ca="1" si="39"/>
        <v/>
      </c>
      <c r="BH38" s="351" t="str">
        <f t="shared" ca="1" si="39"/>
        <v/>
      </c>
      <c r="BI38" s="351" t="str">
        <f t="shared" ca="1" si="39"/>
        <v/>
      </c>
      <c r="BJ38" s="351" t="str">
        <f t="shared" ca="1" si="39"/>
        <v/>
      </c>
      <c r="BK38" s="351" t="str">
        <f t="shared" ca="1" si="39"/>
        <v/>
      </c>
      <c r="BL38" s="351" t="str">
        <f t="shared" ca="1" si="39"/>
        <v/>
      </c>
      <c r="BM38" s="351" t="str">
        <f t="shared" ca="1" si="39"/>
        <v/>
      </c>
    </row>
    <row r="39" spans="1:65" x14ac:dyDescent="0.25">
      <c r="A39" s="379"/>
      <c r="B39" s="379">
        <f t="shared" ca="1" si="26"/>
        <v>29</v>
      </c>
      <c r="C39" s="380"/>
      <c r="D39" s="380"/>
      <c r="E39" s="380"/>
      <c r="F39" s="403" t="str">
        <f ca="1">'תנאי סף'!B39</f>
        <v>גופא (נתיב האומן )</v>
      </c>
      <c r="G39" s="379"/>
      <c r="H39" s="379"/>
      <c r="I39" s="379"/>
      <c r="J39" s="379"/>
      <c r="K39" s="379"/>
      <c r="L39" s="379"/>
      <c r="M39" s="379"/>
      <c r="N39" s="379"/>
      <c r="O39" s="379"/>
      <c r="P39" s="379"/>
      <c r="Q39" s="379"/>
      <c r="R39" s="379">
        <f t="shared" ca="1" si="27"/>
        <v>2</v>
      </c>
      <c r="S39" s="379">
        <f t="shared" ca="1" si="28"/>
        <v>2</v>
      </c>
      <c r="T39" s="379">
        <f t="shared" ca="1" si="29"/>
        <v>2</v>
      </c>
      <c r="U39" s="398">
        <f t="shared" ca="1" si="30"/>
        <v>1</v>
      </c>
      <c r="V39" s="423"/>
      <c r="W39" s="379">
        <f t="shared" ca="1" si="31"/>
        <v>1</v>
      </c>
      <c r="X39" s="386">
        <f t="shared" ca="1" si="32"/>
        <v>0</v>
      </c>
      <c r="Y39" s="386">
        <f t="shared" ca="1" si="33"/>
        <v>0</v>
      </c>
      <c r="Z39" s="386">
        <f t="shared" ca="1" si="34"/>
        <v>0</v>
      </c>
      <c r="AA39" s="386">
        <f t="shared" ca="1" si="35"/>
        <v>0</v>
      </c>
      <c r="AB39" s="386">
        <f t="shared" ca="1" si="36"/>
        <v>0</v>
      </c>
      <c r="AD39" s="351">
        <f t="shared" si="37"/>
        <v>1</v>
      </c>
      <c r="AE39" s="351">
        <f t="shared" ca="1" si="38"/>
        <v>0</v>
      </c>
      <c r="AF39" s="351">
        <f t="shared" ca="1" si="38"/>
        <v>1</v>
      </c>
      <c r="AG39" s="351">
        <f t="shared" si="6"/>
        <v>1</v>
      </c>
      <c r="AH39" s="351">
        <f t="shared" si="7"/>
        <v>1</v>
      </c>
      <c r="AI39" s="351">
        <f t="shared" si="8"/>
        <v>1</v>
      </c>
      <c r="AJ39" s="351">
        <f t="shared" si="9"/>
        <v>1</v>
      </c>
      <c r="AK39" s="351">
        <f t="shared" si="10"/>
        <v>1</v>
      </c>
      <c r="AL39" s="351">
        <f t="shared" si="11"/>
        <v>1</v>
      </c>
      <c r="AM39" s="351">
        <f t="shared" si="12"/>
        <v>1</v>
      </c>
      <c r="AN39" s="351">
        <f t="shared" si="13"/>
        <v>1</v>
      </c>
      <c r="AO39" s="351">
        <f t="shared" si="14"/>
        <v>1</v>
      </c>
      <c r="AP39" s="351">
        <f t="shared" si="15"/>
        <v>1</v>
      </c>
      <c r="AQ39" s="351">
        <f t="shared" si="16"/>
        <v>1</v>
      </c>
      <c r="AR39" s="351">
        <f t="shared" si="17"/>
        <v>1</v>
      </c>
      <c r="AS39" s="351">
        <f t="shared" si="18"/>
        <v>1</v>
      </c>
      <c r="AT39" s="351">
        <f t="shared" si="19"/>
        <v>1</v>
      </c>
      <c r="AU39" s="351">
        <f t="shared" si="20"/>
        <v>1</v>
      </c>
      <c r="AV39" s="351">
        <f t="shared" si="21"/>
        <v>1</v>
      </c>
      <c r="AW39" s="351">
        <f t="shared" si="22"/>
        <v>1</v>
      </c>
      <c r="AX39" s="351">
        <f t="shared" si="23"/>
        <v>1</v>
      </c>
      <c r="AY39" s="351">
        <f t="shared" si="24"/>
        <v>1</v>
      </c>
      <c r="BD39" s="351">
        <f t="shared" ca="1" si="39"/>
        <v>0</v>
      </c>
      <c r="BE39" s="351">
        <f t="shared" ca="1" si="39"/>
        <v>0</v>
      </c>
      <c r="BF39" s="351" t="e">
        <f t="shared" ca="1" si="39"/>
        <v>#N/A</v>
      </c>
      <c r="BG39" s="351" t="e">
        <f t="shared" ca="1" si="39"/>
        <v>#N/A</v>
      </c>
      <c r="BH39" s="351" t="e">
        <f t="shared" ca="1" si="39"/>
        <v>#N/A</v>
      </c>
      <c r="BI39" s="351" t="e">
        <f t="shared" ca="1" si="39"/>
        <v>#N/A</v>
      </c>
      <c r="BJ39" s="351" t="e">
        <f t="shared" ca="1" si="39"/>
        <v>#N/A</v>
      </c>
      <c r="BK39" s="351" t="e">
        <f t="shared" ca="1" si="39"/>
        <v>#N/A</v>
      </c>
      <c r="BL39" s="351" t="e">
        <f t="shared" ca="1" si="39"/>
        <v>#N/A</v>
      </c>
      <c r="BM39" s="351" t="e">
        <f t="shared" ca="1" si="39"/>
        <v>#N/A</v>
      </c>
    </row>
    <row r="40" spans="1:65" x14ac:dyDescent="0.25">
      <c r="A40" s="379"/>
      <c r="B40" s="379">
        <f t="shared" ca="1" si="26"/>
        <v>30</v>
      </c>
      <c r="C40" s="380"/>
      <c r="D40" s="380"/>
      <c r="E40" s="380"/>
      <c r="F40" s="403" t="str">
        <f ca="1">'תנאי סף'!B40</f>
        <v>ערב רב (בר קיימא)</v>
      </c>
      <c r="G40" s="379"/>
      <c r="H40" s="379"/>
      <c r="I40" s="379"/>
      <c r="J40" s="379"/>
      <c r="K40" s="379"/>
      <c r="L40" s="379"/>
      <c r="M40" s="379"/>
      <c r="N40" s="379"/>
      <c r="O40" s="379"/>
      <c r="P40" s="379"/>
      <c r="Q40" s="379"/>
      <c r="R40" s="379">
        <f t="shared" ca="1" si="27"/>
        <v>2</v>
      </c>
      <c r="S40" s="379">
        <f t="shared" ca="1" si="28"/>
        <v>2</v>
      </c>
      <c r="T40" s="379">
        <f t="shared" ca="1" si="29"/>
        <v>2</v>
      </c>
      <c r="U40" s="398">
        <f t="shared" ca="1" si="30"/>
        <v>0.76923076923076927</v>
      </c>
      <c r="V40" s="423"/>
      <c r="W40" s="379">
        <f t="shared" ca="1" si="31"/>
        <v>1</v>
      </c>
      <c r="X40" s="386">
        <f t="shared" ca="1" si="32"/>
        <v>0</v>
      </c>
      <c r="Y40" s="386">
        <f t="shared" ca="1" si="33"/>
        <v>0</v>
      </c>
      <c r="Z40" s="386">
        <f t="shared" ca="1" si="34"/>
        <v>0</v>
      </c>
      <c r="AA40" s="386">
        <f t="shared" ca="1" si="35"/>
        <v>0</v>
      </c>
      <c r="AB40" s="386">
        <f t="shared" ca="1" si="36"/>
        <v>0</v>
      </c>
      <c r="AD40" s="351">
        <f t="shared" si="37"/>
        <v>1</v>
      </c>
      <c r="AE40" s="351">
        <f t="shared" ca="1" si="38"/>
        <v>0</v>
      </c>
      <c r="AF40" s="351">
        <f t="shared" ca="1" si="38"/>
        <v>1</v>
      </c>
      <c r="AG40" s="351">
        <f t="shared" si="6"/>
        <v>1</v>
      </c>
      <c r="AH40" s="351">
        <f t="shared" si="7"/>
        <v>1</v>
      </c>
      <c r="AI40" s="351">
        <f t="shared" si="8"/>
        <v>1</v>
      </c>
      <c r="AJ40" s="351">
        <f t="shared" si="9"/>
        <v>1</v>
      </c>
      <c r="AK40" s="351">
        <f t="shared" si="10"/>
        <v>1</v>
      </c>
      <c r="AL40" s="351">
        <f t="shared" si="11"/>
        <v>1</v>
      </c>
      <c r="AM40" s="351">
        <f t="shared" si="12"/>
        <v>1</v>
      </c>
      <c r="AN40" s="351">
        <f t="shared" si="13"/>
        <v>1</v>
      </c>
      <c r="AO40" s="351">
        <f t="shared" si="14"/>
        <v>1</v>
      </c>
      <c r="AP40" s="351">
        <f t="shared" si="15"/>
        <v>1</v>
      </c>
      <c r="AQ40" s="351">
        <f t="shared" si="16"/>
        <v>1</v>
      </c>
      <c r="AR40" s="351">
        <f t="shared" si="17"/>
        <v>1</v>
      </c>
      <c r="AS40" s="351">
        <f t="shared" si="18"/>
        <v>1</v>
      </c>
      <c r="AT40" s="351">
        <f t="shared" si="19"/>
        <v>1</v>
      </c>
      <c r="AU40" s="351">
        <f t="shared" si="20"/>
        <v>1</v>
      </c>
      <c r="AV40" s="351">
        <f t="shared" si="21"/>
        <v>1</v>
      </c>
      <c r="AW40" s="351">
        <f t="shared" si="22"/>
        <v>1</v>
      </c>
      <c r="AX40" s="351">
        <f t="shared" si="23"/>
        <v>1</v>
      </c>
      <c r="AY40" s="351">
        <f t="shared" si="24"/>
        <v>1</v>
      </c>
      <c r="BD40" s="351">
        <f t="shared" ca="1" si="39"/>
        <v>0</v>
      </c>
      <c r="BE40" s="351">
        <f t="shared" ca="1" si="39"/>
        <v>0</v>
      </c>
      <c r="BF40" s="351" t="e">
        <f t="shared" ca="1" si="39"/>
        <v>#N/A</v>
      </c>
      <c r="BG40" s="351" t="e">
        <f t="shared" ca="1" si="39"/>
        <v>#N/A</v>
      </c>
      <c r="BH40" s="351" t="e">
        <f t="shared" ca="1" si="39"/>
        <v>#N/A</v>
      </c>
      <c r="BI40" s="351" t="e">
        <f t="shared" ca="1" si="39"/>
        <v>#N/A</v>
      </c>
      <c r="BJ40" s="351" t="e">
        <f t="shared" ca="1" si="39"/>
        <v>#N/A</v>
      </c>
      <c r="BK40" s="351" t="e">
        <f t="shared" ca="1" si="39"/>
        <v>#N/A</v>
      </c>
      <c r="BL40" s="351" t="e">
        <f t="shared" ca="1" si="39"/>
        <v>#N/A</v>
      </c>
      <c r="BM40" s="351" t="e">
        <f t="shared" ca="1" si="39"/>
        <v>#N/A</v>
      </c>
    </row>
    <row r="41" spans="1:65" x14ac:dyDescent="0.25">
      <c r="A41" s="379"/>
      <c r="B41" s="379" t="str">
        <f t="shared" ca="1" si="26"/>
        <v/>
      </c>
      <c r="C41" s="380"/>
      <c r="D41" s="380"/>
      <c r="E41" s="380"/>
      <c r="F41" s="403" t="str">
        <f ca="1">'תנאי סף'!B41</f>
        <v/>
      </c>
      <c r="G41" s="379"/>
      <c r="H41" s="379"/>
      <c r="I41" s="379"/>
      <c r="J41" s="379"/>
      <c r="K41" s="379"/>
      <c r="L41" s="379"/>
      <c r="M41" s="379"/>
      <c r="N41" s="379"/>
      <c r="O41" s="379"/>
      <c r="P41" s="379"/>
      <c r="Q41" s="379"/>
      <c r="R41" s="379" t="str">
        <f t="shared" ca="1" si="27"/>
        <v/>
      </c>
      <c r="S41" s="379" t="str">
        <f t="shared" ca="1" si="28"/>
        <v/>
      </c>
      <c r="T41" s="379" t="str">
        <f t="shared" ca="1" si="29"/>
        <v/>
      </c>
      <c r="U41" s="398" t="str">
        <f t="shared" ca="1" si="30"/>
        <v/>
      </c>
      <c r="V41" s="423"/>
      <c r="W41" s="379" t="str">
        <f t="shared" ca="1" si="31"/>
        <v/>
      </c>
      <c r="X41" s="386" t="str">
        <f t="shared" ca="1" si="32"/>
        <v/>
      </c>
      <c r="Y41" s="386" t="str">
        <f t="shared" ca="1" si="33"/>
        <v/>
      </c>
      <c r="Z41" s="386" t="str">
        <f t="shared" ca="1" si="34"/>
        <v/>
      </c>
      <c r="AA41" s="386" t="str">
        <f t="shared" ca="1" si="35"/>
        <v/>
      </c>
      <c r="AB41" s="386" t="str">
        <f t="shared" ca="1" si="36"/>
        <v/>
      </c>
      <c r="AD41" s="351">
        <f t="shared" si="37"/>
        <v>1</v>
      </c>
      <c r="AE41" s="351" t="str">
        <f t="shared" ca="1" si="38"/>
        <v/>
      </c>
      <c r="AF41" s="351" t="str">
        <f t="shared" ca="1" si="38"/>
        <v/>
      </c>
      <c r="AG41" s="351">
        <f t="shared" si="6"/>
        <v>1</v>
      </c>
      <c r="AH41" s="351">
        <f t="shared" si="7"/>
        <v>1</v>
      </c>
      <c r="AI41" s="351">
        <f t="shared" si="8"/>
        <v>1</v>
      </c>
      <c r="AJ41" s="351">
        <f t="shared" si="9"/>
        <v>1</v>
      </c>
      <c r="AK41" s="351">
        <f t="shared" si="10"/>
        <v>1</v>
      </c>
      <c r="AL41" s="351">
        <f t="shared" si="11"/>
        <v>1</v>
      </c>
      <c r="AM41" s="351">
        <f t="shared" si="12"/>
        <v>1</v>
      </c>
      <c r="AN41" s="351">
        <f t="shared" si="13"/>
        <v>1</v>
      </c>
      <c r="AO41" s="351">
        <f t="shared" si="14"/>
        <v>1</v>
      </c>
      <c r="AP41" s="351">
        <f t="shared" si="15"/>
        <v>1</v>
      </c>
      <c r="AQ41" s="351">
        <f t="shared" si="16"/>
        <v>1</v>
      </c>
      <c r="AR41" s="351">
        <f t="shared" si="17"/>
        <v>1</v>
      </c>
      <c r="AS41" s="351">
        <f t="shared" si="18"/>
        <v>1</v>
      </c>
      <c r="AT41" s="351">
        <f t="shared" si="19"/>
        <v>1</v>
      </c>
      <c r="AU41" s="351">
        <f t="shared" si="20"/>
        <v>1</v>
      </c>
      <c r="AV41" s="351">
        <f t="shared" si="21"/>
        <v>1</v>
      </c>
      <c r="AW41" s="351">
        <f t="shared" si="22"/>
        <v>1</v>
      </c>
      <c r="AX41" s="351">
        <f t="shared" si="23"/>
        <v>1</v>
      </c>
      <c r="AY41" s="351">
        <f t="shared" si="24"/>
        <v>1</v>
      </c>
      <c r="BD41" s="351" t="str">
        <f t="shared" ca="1" si="39"/>
        <v/>
      </c>
      <c r="BE41" s="351" t="str">
        <f t="shared" ca="1" si="39"/>
        <v/>
      </c>
      <c r="BF41" s="351" t="str">
        <f t="shared" ca="1" si="39"/>
        <v/>
      </c>
      <c r="BG41" s="351" t="str">
        <f t="shared" ca="1" si="39"/>
        <v/>
      </c>
      <c r="BH41" s="351" t="str">
        <f t="shared" ca="1" si="39"/>
        <v/>
      </c>
      <c r="BI41" s="351" t="str">
        <f t="shared" ca="1" si="39"/>
        <v/>
      </c>
      <c r="BJ41" s="351" t="str">
        <f t="shared" ca="1" si="39"/>
        <v/>
      </c>
      <c r="BK41" s="351" t="str">
        <f t="shared" ca="1" si="39"/>
        <v/>
      </c>
      <c r="BL41" s="351" t="str">
        <f t="shared" ca="1" si="39"/>
        <v/>
      </c>
      <c r="BM41" s="351" t="str">
        <f t="shared" ca="1" si="39"/>
        <v/>
      </c>
    </row>
    <row r="42" spans="1:65" x14ac:dyDescent="0.25">
      <c r="A42" s="379"/>
      <c r="B42" s="379">
        <f t="shared" ca="1" si="26"/>
        <v>32</v>
      </c>
      <c r="C42" s="380"/>
      <c r="D42" s="380"/>
      <c r="E42" s="380"/>
      <c r="F42" s="403" t="str">
        <f ca="1">'תנאי סף'!B42</f>
        <v>מעלה</v>
      </c>
      <c r="G42" s="379"/>
      <c r="H42" s="379"/>
      <c r="I42" s="379"/>
      <c r="J42" s="379"/>
      <c r="K42" s="379"/>
      <c r="L42" s="379"/>
      <c r="M42" s="379"/>
      <c r="N42" s="379"/>
      <c r="O42" s="379"/>
      <c r="P42" s="379"/>
      <c r="Q42" s="379"/>
      <c r="R42" s="379">
        <f t="shared" ca="1" si="27"/>
        <v>4</v>
      </c>
      <c r="S42" s="379">
        <f t="shared" ca="1" si="28"/>
        <v>4</v>
      </c>
      <c r="T42" s="379">
        <f t="shared" ca="1" si="29"/>
        <v>4</v>
      </c>
      <c r="U42" s="398">
        <f t="shared" ca="1" si="30"/>
        <v>1</v>
      </c>
      <c r="V42" s="423"/>
      <c r="W42" s="379">
        <f t="shared" ca="1" si="31"/>
        <v>1</v>
      </c>
      <c r="X42" s="386">
        <f t="shared" ca="1" si="32"/>
        <v>0</v>
      </c>
      <c r="Y42" s="386">
        <f t="shared" ca="1" si="33"/>
        <v>0</v>
      </c>
      <c r="Z42" s="386">
        <f t="shared" ca="1" si="34"/>
        <v>0</v>
      </c>
      <c r="AA42" s="386">
        <f t="shared" ca="1" si="35"/>
        <v>0</v>
      </c>
      <c r="AB42" s="386">
        <f t="shared" ca="1" si="36"/>
        <v>0</v>
      </c>
      <c r="AD42" s="351">
        <f t="shared" si="37"/>
        <v>1</v>
      </c>
      <c r="AE42" s="351">
        <f t="shared" ca="1" si="38"/>
        <v>0</v>
      </c>
      <c r="AF42" s="351">
        <f t="shared" ca="1" si="38"/>
        <v>1</v>
      </c>
      <c r="AG42" s="351">
        <f t="shared" si="6"/>
        <v>1</v>
      </c>
      <c r="AH42" s="351">
        <f t="shared" si="7"/>
        <v>1</v>
      </c>
      <c r="AI42" s="351">
        <f t="shared" si="8"/>
        <v>1</v>
      </c>
      <c r="AJ42" s="351">
        <f t="shared" si="9"/>
        <v>1</v>
      </c>
      <c r="AK42" s="351">
        <f t="shared" si="10"/>
        <v>1</v>
      </c>
      <c r="AL42" s="351">
        <f t="shared" si="11"/>
        <v>1</v>
      </c>
      <c r="AM42" s="351">
        <f t="shared" si="12"/>
        <v>1</v>
      </c>
      <c r="AN42" s="351">
        <f t="shared" si="13"/>
        <v>1</v>
      </c>
      <c r="AO42" s="351">
        <f t="shared" si="14"/>
        <v>1</v>
      </c>
      <c r="AP42" s="351">
        <f t="shared" si="15"/>
        <v>1</v>
      </c>
      <c r="AQ42" s="351">
        <f t="shared" si="16"/>
        <v>1</v>
      </c>
      <c r="AR42" s="351">
        <f t="shared" si="17"/>
        <v>1</v>
      </c>
      <c r="AS42" s="351">
        <f t="shared" si="18"/>
        <v>1</v>
      </c>
      <c r="AT42" s="351">
        <f t="shared" si="19"/>
        <v>1</v>
      </c>
      <c r="AU42" s="351">
        <f t="shared" si="20"/>
        <v>1</v>
      </c>
      <c r="AV42" s="351">
        <f t="shared" si="21"/>
        <v>1</v>
      </c>
      <c r="AW42" s="351">
        <f t="shared" si="22"/>
        <v>1</v>
      </c>
      <c r="AX42" s="351">
        <f t="shared" si="23"/>
        <v>1</v>
      </c>
      <c r="AY42" s="351">
        <f t="shared" si="24"/>
        <v>1</v>
      </c>
      <c r="BD42" s="351">
        <f t="shared" ca="1" si="39"/>
        <v>0</v>
      </c>
      <c r="BE42" s="351">
        <f t="shared" ca="1" si="39"/>
        <v>0</v>
      </c>
      <c r="BF42" s="351" t="e">
        <f t="shared" ca="1" si="39"/>
        <v>#N/A</v>
      </c>
      <c r="BG42" s="351" t="e">
        <f t="shared" ca="1" si="39"/>
        <v>#N/A</v>
      </c>
      <c r="BH42" s="351" t="e">
        <f t="shared" ca="1" si="39"/>
        <v>#N/A</v>
      </c>
      <c r="BI42" s="351" t="e">
        <f t="shared" ca="1" si="39"/>
        <v>#N/A</v>
      </c>
      <c r="BJ42" s="351" t="e">
        <f t="shared" ca="1" si="39"/>
        <v>#N/A</v>
      </c>
      <c r="BK42" s="351" t="e">
        <f t="shared" ca="1" si="39"/>
        <v>#N/A</v>
      </c>
      <c r="BL42" s="351" t="e">
        <f t="shared" ca="1" si="39"/>
        <v>#N/A</v>
      </c>
      <c r="BM42" s="351" t="e">
        <f t="shared" ca="1" si="39"/>
        <v>#N/A</v>
      </c>
    </row>
    <row r="43" spans="1:65" x14ac:dyDescent="0.25">
      <c r="A43" s="379"/>
      <c r="B43" s="379" t="str">
        <f t="shared" ca="1" si="26"/>
        <v/>
      </c>
      <c r="C43" s="380"/>
      <c r="D43" s="380"/>
      <c r="E43" s="380"/>
      <c r="F43" s="403" t="str">
        <f ca="1">'תנאי סף'!B43</f>
        <v/>
      </c>
      <c r="G43" s="379"/>
      <c r="H43" s="379"/>
      <c r="I43" s="379"/>
      <c r="J43" s="379"/>
      <c r="K43" s="379"/>
      <c r="L43" s="379"/>
      <c r="M43" s="379"/>
      <c r="N43" s="379"/>
      <c r="O43" s="379"/>
      <c r="P43" s="379"/>
      <c r="Q43" s="379"/>
      <c r="R43" s="379" t="str">
        <f t="shared" ca="1" si="27"/>
        <v/>
      </c>
      <c r="S43" s="379" t="str">
        <f t="shared" ca="1" si="28"/>
        <v/>
      </c>
      <c r="T43" s="379" t="str">
        <f t="shared" ca="1" si="29"/>
        <v/>
      </c>
      <c r="U43" s="398" t="str">
        <f t="shared" ca="1" si="30"/>
        <v/>
      </c>
      <c r="V43" s="423"/>
      <c r="W43" s="379" t="str">
        <f t="shared" ca="1" si="31"/>
        <v/>
      </c>
      <c r="X43" s="386" t="str">
        <f t="shared" ca="1" si="32"/>
        <v/>
      </c>
      <c r="Y43" s="386" t="str">
        <f t="shared" ca="1" si="33"/>
        <v/>
      </c>
      <c r="Z43" s="386" t="str">
        <f t="shared" ca="1" si="34"/>
        <v/>
      </c>
      <c r="AA43" s="386" t="str">
        <f t="shared" ca="1" si="35"/>
        <v/>
      </c>
      <c r="AB43" s="386" t="str">
        <f t="shared" ca="1" si="36"/>
        <v/>
      </c>
      <c r="AD43" s="351">
        <f t="shared" si="37"/>
        <v>1</v>
      </c>
      <c r="AE43" s="351" t="str">
        <f t="shared" ca="1" si="38"/>
        <v/>
      </c>
      <c r="AF43" s="351" t="str">
        <f t="shared" ca="1" si="38"/>
        <v/>
      </c>
      <c r="AG43" s="351">
        <f t="shared" si="6"/>
        <v>1</v>
      </c>
      <c r="AH43" s="351">
        <f t="shared" si="7"/>
        <v>1</v>
      </c>
      <c r="AI43" s="351">
        <f t="shared" si="8"/>
        <v>1</v>
      </c>
      <c r="AJ43" s="351">
        <f t="shared" si="9"/>
        <v>1</v>
      </c>
      <c r="AK43" s="351">
        <f t="shared" si="10"/>
        <v>1</v>
      </c>
      <c r="AL43" s="351">
        <f t="shared" si="11"/>
        <v>1</v>
      </c>
      <c r="AM43" s="351">
        <f t="shared" si="12"/>
        <v>1</v>
      </c>
      <c r="AN43" s="351">
        <f t="shared" si="13"/>
        <v>1</v>
      </c>
      <c r="AO43" s="351">
        <f t="shared" si="14"/>
        <v>1</v>
      </c>
      <c r="AP43" s="351">
        <f t="shared" si="15"/>
        <v>1</v>
      </c>
      <c r="AQ43" s="351">
        <f t="shared" si="16"/>
        <v>1</v>
      </c>
      <c r="AR43" s="351">
        <f t="shared" si="17"/>
        <v>1</v>
      </c>
      <c r="AS43" s="351">
        <f t="shared" si="18"/>
        <v>1</v>
      </c>
      <c r="AT43" s="351">
        <f t="shared" si="19"/>
        <v>1</v>
      </c>
      <c r="AU43" s="351">
        <f t="shared" si="20"/>
        <v>1</v>
      </c>
      <c r="AV43" s="351">
        <f t="shared" si="21"/>
        <v>1</v>
      </c>
      <c r="AW43" s="351">
        <f t="shared" si="22"/>
        <v>1</v>
      </c>
      <c r="AX43" s="351">
        <f t="shared" si="23"/>
        <v>1</v>
      </c>
      <c r="AY43" s="351">
        <f t="shared" si="24"/>
        <v>1</v>
      </c>
      <c r="BD43" s="351" t="str">
        <f t="shared" ca="1" si="39"/>
        <v/>
      </c>
      <c r="BE43" s="351" t="str">
        <f t="shared" ca="1" si="39"/>
        <v/>
      </c>
      <c r="BF43" s="351" t="str">
        <f t="shared" ca="1" si="39"/>
        <v/>
      </c>
      <c r="BG43" s="351" t="str">
        <f t="shared" ca="1" si="39"/>
        <v/>
      </c>
      <c r="BH43" s="351" t="str">
        <f t="shared" ca="1" si="39"/>
        <v/>
      </c>
      <c r="BI43" s="351" t="str">
        <f t="shared" ca="1" si="39"/>
        <v/>
      </c>
      <c r="BJ43" s="351" t="str">
        <f t="shared" ca="1" si="39"/>
        <v/>
      </c>
      <c r="BK43" s="351" t="str">
        <f t="shared" ca="1" si="39"/>
        <v/>
      </c>
      <c r="BL43" s="351" t="str">
        <f t="shared" ca="1" si="39"/>
        <v/>
      </c>
      <c r="BM43" s="351" t="str">
        <f t="shared" ca="1" si="39"/>
        <v/>
      </c>
    </row>
    <row r="44" spans="1:65" x14ac:dyDescent="0.25">
      <c r="A44" s="379"/>
      <c r="B44" s="379">
        <f t="shared" ca="1" si="26"/>
        <v>34</v>
      </c>
      <c r="C44" s="380"/>
      <c r="D44" s="380"/>
      <c r="E44" s="380"/>
      <c r="F44" s="403" t="str">
        <f ca="1">'תנאי סף'!B44</f>
        <v>כתב עת ירושלמי</v>
      </c>
      <c r="G44" s="379"/>
      <c r="H44" s="379"/>
      <c r="I44" s="379"/>
      <c r="J44" s="379"/>
      <c r="K44" s="379"/>
      <c r="L44" s="379"/>
      <c r="M44" s="379"/>
      <c r="N44" s="379"/>
      <c r="O44" s="379"/>
      <c r="P44" s="379"/>
      <c r="Q44" s="379"/>
      <c r="R44" s="379">
        <f t="shared" ca="1" si="27"/>
        <v>2</v>
      </c>
      <c r="S44" s="379">
        <f t="shared" ca="1" si="28"/>
        <v>2</v>
      </c>
      <c r="T44" s="379">
        <f t="shared" ca="1" si="29"/>
        <v>2</v>
      </c>
      <c r="U44" s="398">
        <f t="shared" ca="1" si="30"/>
        <v>1</v>
      </c>
      <c r="V44" s="423"/>
      <c r="W44" s="379">
        <f t="shared" ca="1" si="31"/>
        <v>1</v>
      </c>
      <c r="X44" s="386">
        <f t="shared" ca="1" si="32"/>
        <v>0</v>
      </c>
      <c r="Y44" s="386">
        <f t="shared" ca="1" si="33"/>
        <v>0</v>
      </c>
      <c r="Z44" s="386">
        <f t="shared" ca="1" si="34"/>
        <v>0</v>
      </c>
      <c r="AA44" s="386">
        <f t="shared" ca="1" si="35"/>
        <v>0</v>
      </c>
      <c r="AB44" s="386">
        <f t="shared" ca="1" si="36"/>
        <v>0</v>
      </c>
      <c r="AD44" s="351">
        <f t="shared" si="37"/>
        <v>1</v>
      </c>
      <c r="AE44" s="351">
        <f t="shared" ref="AE44:AF50" ca="1" si="40">IF($F44="","",AE$10)</f>
        <v>0</v>
      </c>
      <c r="AF44" s="351">
        <f t="shared" ca="1" si="40"/>
        <v>1</v>
      </c>
      <c r="AG44" s="351">
        <f t="shared" si="6"/>
        <v>1</v>
      </c>
      <c r="AH44" s="351">
        <f t="shared" si="7"/>
        <v>1</v>
      </c>
      <c r="AI44" s="351">
        <f t="shared" si="8"/>
        <v>1</v>
      </c>
      <c r="AJ44" s="351">
        <f t="shared" si="9"/>
        <v>1</v>
      </c>
      <c r="AK44" s="351">
        <f t="shared" si="10"/>
        <v>1</v>
      </c>
      <c r="AL44" s="351">
        <f t="shared" si="11"/>
        <v>1</v>
      </c>
      <c r="AM44" s="351">
        <f t="shared" si="12"/>
        <v>1</v>
      </c>
      <c r="AN44" s="351">
        <f t="shared" si="13"/>
        <v>1</v>
      </c>
      <c r="AO44" s="351">
        <f t="shared" si="14"/>
        <v>1</v>
      </c>
      <c r="AP44" s="351">
        <f t="shared" si="15"/>
        <v>1</v>
      </c>
      <c r="AQ44" s="351">
        <f t="shared" si="16"/>
        <v>1</v>
      </c>
      <c r="AR44" s="351">
        <f t="shared" si="17"/>
        <v>1</v>
      </c>
      <c r="AS44" s="351">
        <f t="shared" si="18"/>
        <v>1</v>
      </c>
      <c r="AT44" s="351">
        <f t="shared" si="19"/>
        <v>1</v>
      </c>
      <c r="AU44" s="351">
        <f t="shared" si="20"/>
        <v>1</v>
      </c>
      <c r="AV44" s="351">
        <f t="shared" si="21"/>
        <v>1</v>
      </c>
      <c r="AW44" s="351">
        <f t="shared" si="22"/>
        <v>1</v>
      </c>
      <c r="AX44" s="351">
        <f t="shared" si="23"/>
        <v>1</v>
      </c>
      <c r="AY44" s="351">
        <f t="shared" si="24"/>
        <v>1</v>
      </c>
      <c r="BD44" s="351">
        <f t="shared" ref="BD44:BM50" ca="1" si="41">IF($F44="","",BD$10)</f>
        <v>0</v>
      </c>
      <c r="BE44" s="351">
        <f t="shared" ca="1" si="41"/>
        <v>0</v>
      </c>
      <c r="BF44" s="351" t="e">
        <f t="shared" ca="1" si="41"/>
        <v>#N/A</v>
      </c>
      <c r="BG44" s="351" t="e">
        <f t="shared" ca="1" si="41"/>
        <v>#N/A</v>
      </c>
      <c r="BH44" s="351" t="e">
        <f t="shared" ca="1" si="41"/>
        <v>#N/A</v>
      </c>
      <c r="BI44" s="351" t="e">
        <f t="shared" ca="1" si="41"/>
        <v>#N/A</v>
      </c>
      <c r="BJ44" s="351" t="e">
        <f t="shared" ca="1" si="41"/>
        <v>#N/A</v>
      </c>
      <c r="BK44" s="351" t="e">
        <f t="shared" ca="1" si="41"/>
        <v>#N/A</v>
      </c>
      <c r="BL44" s="351" t="e">
        <f t="shared" ca="1" si="41"/>
        <v>#N/A</v>
      </c>
      <c r="BM44" s="351" t="e">
        <f t="shared" ca="1" si="41"/>
        <v>#N/A</v>
      </c>
    </row>
    <row r="45" spans="1:65" x14ac:dyDescent="0.25">
      <c r="A45" s="379"/>
      <c r="B45" s="379" t="str">
        <f t="shared" ca="1" si="26"/>
        <v/>
      </c>
      <c r="C45" s="380"/>
      <c r="D45" s="380"/>
      <c r="E45" s="380"/>
      <c r="F45" s="403" t="str">
        <f ca="1">'תנאי סף'!B45</f>
        <v/>
      </c>
      <c r="G45" s="379"/>
      <c r="H45" s="379"/>
      <c r="I45" s="379"/>
      <c r="J45" s="379"/>
      <c r="K45" s="379"/>
      <c r="L45" s="379"/>
      <c r="M45" s="379"/>
      <c r="N45" s="379"/>
      <c r="O45" s="379"/>
      <c r="P45" s="379"/>
      <c r="Q45" s="379"/>
      <c r="R45" s="379" t="str">
        <f t="shared" ca="1" si="27"/>
        <v/>
      </c>
      <c r="S45" s="379" t="str">
        <f t="shared" ca="1" si="28"/>
        <v/>
      </c>
      <c r="T45" s="379" t="str">
        <f t="shared" ca="1" si="29"/>
        <v/>
      </c>
      <c r="U45" s="398" t="str">
        <f t="shared" ca="1" si="30"/>
        <v/>
      </c>
      <c r="V45" s="423"/>
      <c r="W45" s="379" t="str">
        <f t="shared" ca="1" si="31"/>
        <v/>
      </c>
      <c r="X45" s="386" t="str">
        <f t="shared" ca="1" si="32"/>
        <v/>
      </c>
      <c r="Y45" s="386" t="str">
        <f t="shared" ca="1" si="33"/>
        <v/>
      </c>
      <c r="Z45" s="386" t="str">
        <f t="shared" ca="1" si="34"/>
        <v/>
      </c>
      <c r="AA45" s="386" t="str">
        <f t="shared" ca="1" si="35"/>
        <v/>
      </c>
      <c r="AB45" s="386" t="str">
        <f t="shared" ca="1" si="36"/>
        <v/>
      </c>
      <c r="AD45" s="351">
        <f t="shared" si="37"/>
        <v>1</v>
      </c>
      <c r="AE45" s="351" t="str">
        <f t="shared" ca="1" si="40"/>
        <v/>
      </c>
      <c r="AF45" s="351" t="str">
        <f t="shared" ca="1" si="40"/>
        <v/>
      </c>
      <c r="AG45" s="351">
        <f t="shared" si="6"/>
        <v>1</v>
      </c>
      <c r="AH45" s="351">
        <f t="shared" si="7"/>
        <v>1</v>
      </c>
      <c r="AI45" s="351">
        <f t="shared" si="8"/>
        <v>1</v>
      </c>
      <c r="AJ45" s="351">
        <f t="shared" si="9"/>
        <v>1</v>
      </c>
      <c r="AK45" s="351">
        <f t="shared" si="10"/>
        <v>1</v>
      </c>
      <c r="AL45" s="351">
        <f t="shared" si="11"/>
        <v>1</v>
      </c>
      <c r="AM45" s="351">
        <f t="shared" si="12"/>
        <v>1</v>
      </c>
      <c r="AN45" s="351">
        <f t="shared" si="13"/>
        <v>1</v>
      </c>
      <c r="AO45" s="351">
        <f t="shared" si="14"/>
        <v>1</v>
      </c>
      <c r="AP45" s="351">
        <f t="shared" si="15"/>
        <v>1</v>
      </c>
      <c r="AQ45" s="351">
        <f t="shared" si="16"/>
        <v>1</v>
      </c>
      <c r="AR45" s="351">
        <f t="shared" si="17"/>
        <v>1</v>
      </c>
      <c r="AS45" s="351">
        <f t="shared" si="18"/>
        <v>1</v>
      </c>
      <c r="AT45" s="351">
        <f t="shared" si="19"/>
        <v>1</v>
      </c>
      <c r="AU45" s="351">
        <f t="shared" si="20"/>
        <v>1</v>
      </c>
      <c r="AV45" s="351">
        <f t="shared" si="21"/>
        <v>1</v>
      </c>
      <c r="AW45" s="351">
        <f t="shared" si="22"/>
        <v>1</v>
      </c>
      <c r="AX45" s="351">
        <f t="shared" si="23"/>
        <v>1</v>
      </c>
      <c r="AY45" s="351">
        <f t="shared" si="24"/>
        <v>1</v>
      </c>
      <c r="BD45" s="351" t="str">
        <f t="shared" ca="1" si="41"/>
        <v/>
      </c>
      <c r="BE45" s="351" t="str">
        <f t="shared" ca="1" si="41"/>
        <v/>
      </c>
      <c r="BF45" s="351" t="str">
        <f t="shared" ca="1" si="41"/>
        <v/>
      </c>
      <c r="BG45" s="351" t="str">
        <f t="shared" ca="1" si="41"/>
        <v/>
      </c>
      <c r="BH45" s="351" t="str">
        <f t="shared" ca="1" si="41"/>
        <v/>
      </c>
      <c r="BI45" s="351" t="str">
        <f t="shared" ca="1" si="41"/>
        <v/>
      </c>
      <c r="BJ45" s="351" t="str">
        <f t="shared" ca="1" si="41"/>
        <v/>
      </c>
      <c r="BK45" s="351" t="str">
        <f t="shared" ca="1" si="41"/>
        <v/>
      </c>
      <c r="BL45" s="351" t="str">
        <f t="shared" ca="1" si="41"/>
        <v/>
      </c>
      <c r="BM45" s="351" t="str">
        <f t="shared" ca="1" si="41"/>
        <v/>
      </c>
    </row>
    <row r="46" spans="1:65" x14ac:dyDescent="0.25">
      <c r="A46" s="379"/>
      <c r="B46" s="379">
        <f t="shared" ca="1" si="26"/>
        <v>36</v>
      </c>
      <c r="C46" s="380"/>
      <c r="D46" s="380"/>
      <c r="E46" s="380"/>
      <c r="F46" s="403" t="str">
        <f ca="1">'תנאי סף'!B46</f>
        <v>העמותה ליצירה פנטסטית- אוטופיה</v>
      </c>
      <c r="G46" s="379"/>
      <c r="H46" s="379"/>
      <c r="I46" s="379"/>
      <c r="J46" s="379"/>
      <c r="K46" s="379"/>
      <c r="L46" s="379"/>
      <c r="M46" s="379"/>
      <c r="N46" s="379"/>
      <c r="O46" s="379"/>
      <c r="P46" s="379"/>
      <c r="Q46" s="379"/>
      <c r="R46" s="379">
        <f t="shared" ca="1" si="27"/>
        <v>2</v>
      </c>
      <c r="S46" s="379">
        <f t="shared" ca="1" si="28"/>
        <v>2</v>
      </c>
      <c r="T46" s="379">
        <f t="shared" ca="1" si="29"/>
        <v>0</v>
      </c>
      <c r="U46" s="398">
        <f t="shared" ca="1" si="30"/>
        <v>0</v>
      </c>
      <c r="V46" s="423"/>
      <c r="W46" s="379">
        <f t="shared" ca="1" si="31"/>
        <v>0</v>
      </c>
      <c r="X46" s="386">
        <f t="shared" ca="1" si="32"/>
        <v>0</v>
      </c>
      <c r="Y46" s="386">
        <f t="shared" ca="1" si="33"/>
        <v>0</v>
      </c>
      <c r="Z46" s="386">
        <f t="shared" ca="1" si="34"/>
        <v>0</v>
      </c>
      <c r="AA46" s="386">
        <f t="shared" ca="1" si="35"/>
        <v>0</v>
      </c>
      <c r="AB46" s="386">
        <f t="shared" ca="1" si="36"/>
        <v>0</v>
      </c>
      <c r="AD46" s="351">
        <f t="shared" si="37"/>
        <v>1</v>
      </c>
      <c r="AE46" s="351">
        <f t="shared" ca="1" si="40"/>
        <v>0</v>
      </c>
      <c r="AF46" s="351">
        <f t="shared" ca="1" si="40"/>
        <v>1</v>
      </c>
      <c r="AG46" s="351">
        <f t="shared" si="6"/>
        <v>1</v>
      </c>
      <c r="AH46" s="351">
        <f t="shared" si="7"/>
        <v>1</v>
      </c>
      <c r="AI46" s="351">
        <f t="shared" si="8"/>
        <v>1</v>
      </c>
      <c r="AJ46" s="351">
        <f t="shared" si="9"/>
        <v>1</v>
      </c>
      <c r="AK46" s="351">
        <f t="shared" si="10"/>
        <v>1</v>
      </c>
      <c r="AL46" s="351">
        <f t="shared" si="11"/>
        <v>1</v>
      </c>
      <c r="AM46" s="351">
        <f t="shared" si="12"/>
        <v>1</v>
      </c>
      <c r="AN46" s="351">
        <f t="shared" si="13"/>
        <v>1</v>
      </c>
      <c r="AO46" s="351">
        <f t="shared" si="14"/>
        <v>1</v>
      </c>
      <c r="AP46" s="351">
        <f t="shared" si="15"/>
        <v>1</v>
      </c>
      <c r="AQ46" s="351">
        <f t="shared" si="16"/>
        <v>1</v>
      </c>
      <c r="AR46" s="351">
        <f t="shared" si="17"/>
        <v>1</v>
      </c>
      <c r="AS46" s="351">
        <f t="shared" si="18"/>
        <v>1</v>
      </c>
      <c r="AT46" s="351">
        <f t="shared" si="19"/>
        <v>1</v>
      </c>
      <c r="AU46" s="351">
        <f t="shared" si="20"/>
        <v>1</v>
      </c>
      <c r="AV46" s="351">
        <f t="shared" si="21"/>
        <v>1</v>
      </c>
      <c r="AW46" s="351">
        <f t="shared" si="22"/>
        <v>1</v>
      </c>
      <c r="AX46" s="351">
        <f t="shared" si="23"/>
        <v>1</v>
      </c>
      <c r="AY46" s="351">
        <f t="shared" si="24"/>
        <v>1</v>
      </c>
      <c r="BD46" s="351">
        <f t="shared" ca="1" si="41"/>
        <v>0</v>
      </c>
      <c r="BE46" s="351">
        <f t="shared" ca="1" si="41"/>
        <v>0</v>
      </c>
      <c r="BF46" s="351" t="e">
        <f t="shared" ca="1" si="41"/>
        <v>#N/A</v>
      </c>
      <c r="BG46" s="351" t="e">
        <f t="shared" ca="1" si="41"/>
        <v>#N/A</v>
      </c>
      <c r="BH46" s="351" t="e">
        <f t="shared" ca="1" si="41"/>
        <v>#N/A</v>
      </c>
      <c r="BI46" s="351" t="e">
        <f t="shared" ca="1" si="41"/>
        <v>#N/A</v>
      </c>
      <c r="BJ46" s="351" t="e">
        <f t="shared" ca="1" si="41"/>
        <v>#N/A</v>
      </c>
      <c r="BK46" s="351" t="e">
        <f t="shared" ca="1" si="41"/>
        <v>#N/A</v>
      </c>
      <c r="BL46" s="351" t="e">
        <f t="shared" ca="1" si="41"/>
        <v>#N/A</v>
      </c>
      <c r="BM46" s="351" t="e">
        <f t="shared" ca="1" si="41"/>
        <v>#N/A</v>
      </c>
    </row>
    <row r="47" spans="1:65" x14ac:dyDescent="0.25">
      <c r="A47" s="379"/>
      <c r="B47" s="379" t="str">
        <f t="shared" ca="1" si="26"/>
        <v/>
      </c>
      <c r="C47" s="380"/>
      <c r="D47" s="380"/>
      <c r="E47" s="380"/>
      <c r="F47" s="403" t="str">
        <f ca="1">'תנאי סף'!B47</f>
        <v/>
      </c>
      <c r="G47" s="379"/>
      <c r="H47" s="379"/>
      <c r="I47" s="379"/>
      <c r="J47" s="379"/>
      <c r="K47" s="379"/>
      <c r="L47" s="379"/>
      <c r="M47" s="379"/>
      <c r="N47" s="379"/>
      <c r="O47" s="379"/>
      <c r="P47" s="379"/>
      <c r="Q47" s="379"/>
      <c r="R47" s="379" t="str">
        <f t="shared" ca="1" si="27"/>
        <v/>
      </c>
      <c r="S47" s="379" t="str">
        <f t="shared" ca="1" si="28"/>
        <v/>
      </c>
      <c r="T47" s="379" t="str">
        <f t="shared" ca="1" si="29"/>
        <v/>
      </c>
      <c r="U47" s="398" t="str">
        <f t="shared" ca="1" si="30"/>
        <v/>
      </c>
      <c r="V47" s="423"/>
      <c r="W47" s="379" t="str">
        <f t="shared" ca="1" si="31"/>
        <v/>
      </c>
      <c r="X47" s="386" t="str">
        <f t="shared" ca="1" si="32"/>
        <v/>
      </c>
      <c r="Y47" s="386" t="str">
        <f t="shared" ca="1" si="33"/>
        <v/>
      </c>
      <c r="Z47" s="386" t="str">
        <f t="shared" ca="1" si="34"/>
        <v/>
      </c>
      <c r="AA47" s="386" t="str">
        <f t="shared" ca="1" si="35"/>
        <v/>
      </c>
      <c r="AB47" s="386" t="str">
        <f t="shared" ca="1" si="36"/>
        <v/>
      </c>
      <c r="AD47" s="351">
        <f t="shared" si="37"/>
        <v>1</v>
      </c>
      <c r="AE47" s="351" t="str">
        <f t="shared" ca="1" si="40"/>
        <v/>
      </c>
      <c r="AF47" s="351" t="str">
        <f t="shared" ca="1" si="40"/>
        <v/>
      </c>
      <c r="AG47" s="351">
        <f t="shared" si="6"/>
        <v>1</v>
      </c>
      <c r="AH47" s="351">
        <f t="shared" si="7"/>
        <v>1</v>
      </c>
      <c r="AI47" s="351">
        <f t="shared" si="8"/>
        <v>1</v>
      </c>
      <c r="AJ47" s="351">
        <f t="shared" si="9"/>
        <v>1</v>
      </c>
      <c r="AK47" s="351">
        <f t="shared" si="10"/>
        <v>1</v>
      </c>
      <c r="AL47" s="351">
        <f t="shared" si="11"/>
        <v>1</v>
      </c>
      <c r="AM47" s="351">
        <f t="shared" si="12"/>
        <v>1</v>
      </c>
      <c r="AN47" s="351">
        <f t="shared" si="13"/>
        <v>1</v>
      </c>
      <c r="AO47" s="351">
        <f t="shared" si="14"/>
        <v>1</v>
      </c>
      <c r="AP47" s="351">
        <f t="shared" si="15"/>
        <v>1</v>
      </c>
      <c r="AQ47" s="351">
        <f t="shared" si="16"/>
        <v>1</v>
      </c>
      <c r="AR47" s="351">
        <f t="shared" si="17"/>
        <v>1</v>
      </c>
      <c r="AS47" s="351">
        <f t="shared" si="18"/>
        <v>1</v>
      </c>
      <c r="AT47" s="351">
        <f t="shared" si="19"/>
        <v>1</v>
      </c>
      <c r="AU47" s="351">
        <f t="shared" si="20"/>
        <v>1</v>
      </c>
      <c r="AV47" s="351">
        <f t="shared" si="21"/>
        <v>1</v>
      </c>
      <c r="AW47" s="351">
        <f t="shared" si="22"/>
        <v>1</v>
      </c>
      <c r="AX47" s="351">
        <f t="shared" si="23"/>
        <v>1</v>
      </c>
      <c r="AY47" s="351">
        <f t="shared" si="24"/>
        <v>1</v>
      </c>
      <c r="BD47" s="351" t="str">
        <f t="shared" ca="1" si="41"/>
        <v/>
      </c>
      <c r="BE47" s="351" t="str">
        <f t="shared" ca="1" si="41"/>
        <v/>
      </c>
      <c r="BF47" s="351" t="str">
        <f t="shared" ca="1" si="41"/>
        <v/>
      </c>
      <c r="BG47" s="351" t="str">
        <f t="shared" ca="1" si="41"/>
        <v/>
      </c>
      <c r="BH47" s="351" t="str">
        <f t="shared" ca="1" si="41"/>
        <v/>
      </c>
      <c r="BI47" s="351" t="str">
        <f t="shared" ca="1" si="41"/>
        <v/>
      </c>
      <c r="BJ47" s="351" t="str">
        <f t="shared" ca="1" si="41"/>
        <v/>
      </c>
      <c r="BK47" s="351" t="str">
        <f t="shared" ca="1" si="41"/>
        <v/>
      </c>
      <c r="BL47" s="351" t="str">
        <f t="shared" ca="1" si="41"/>
        <v/>
      </c>
      <c r="BM47" s="351" t="str">
        <f t="shared" ca="1" si="41"/>
        <v/>
      </c>
    </row>
    <row r="48" spans="1:65" x14ac:dyDescent="0.25">
      <c r="A48" s="379"/>
      <c r="B48" s="379" t="str">
        <f t="shared" ca="1" si="26"/>
        <v/>
      </c>
      <c r="C48" s="380"/>
      <c r="D48" s="380"/>
      <c r="E48" s="380"/>
      <c r="F48" s="403" t="str">
        <f ca="1">'תנאי סף'!B48</f>
        <v/>
      </c>
      <c r="G48" s="379"/>
      <c r="H48" s="379"/>
      <c r="I48" s="379"/>
      <c r="J48" s="379"/>
      <c r="K48" s="379"/>
      <c r="L48" s="379"/>
      <c r="M48" s="379"/>
      <c r="N48" s="379"/>
      <c r="O48" s="379"/>
      <c r="P48" s="379"/>
      <c r="Q48" s="379"/>
      <c r="R48" s="379" t="str">
        <f t="shared" ca="1" si="27"/>
        <v/>
      </c>
      <c r="S48" s="379" t="str">
        <f t="shared" ca="1" si="28"/>
        <v/>
      </c>
      <c r="T48" s="379" t="str">
        <f t="shared" ca="1" si="29"/>
        <v/>
      </c>
      <c r="U48" s="398" t="str">
        <f t="shared" ca="1" si="30"/>
        <v/>
      </c>
      <c r="V48" s="423"/>
      <c r="W48" s="379" t="str">
        <f t="shared" ca="1" si="31"/>
        <v/>
      </c>
      <c r="X48" s="386" t="str">
        <f t="shared" ca="1" si="32"/>
        <v/>
      </c>
      <c r="Y48" s="386" t="str">
        <f t="shared" ca="1" si="33"/>
        <v/>
      </c>
      <c r="Z48" s="386" t="str">
        <f t="shared" ca="1" si="34"/>
        <v/>
      </c>
      <c r="AA48" s="386" t="str">
        <f t="shared" ca="1" si="35"/>
        <v/>
      </c>
      <c r="AB48" s="386" t="str">
        <f t="shared" ca="1" si="36"/>
        <v/>
      </c>
      <c r="AD48" s="351">
        <f t="shared" si="37"/>
        <v>1</v>
      </c>
      <c r="AE48" s="351" t="str">
        <f t="shared" ca="1" si="40"/>
        <v/>
      </c>
      <c r="AF48" s="351" t="str">
        <f t="shared" ca="1" si="40"/>
        <v/>
      </c>
      <c r="AG48" s="351">
        <f t="shared" si="6"/>
        <v>1</v>
      </c>
      <c r="AH48" s="351">
        <f t="shared" si="7"/>
        <v>1</v>
      </c>
      <c r="AI48" s="351">
        <f t="shared" si="8"/>
        <v>1</v>
      </c>
      <c r="AJ48" s="351">
        <f t="shared" si="9"/>
        <v>1</v>
      </c>
      <c r="AK48" s="351">
        <f t="shared" si="10"/>
        <v>1</v>
      </c>
      <c r="AL48" s="351">
        <f t="shared" si="11"/>
        <v>1</v>
      </c>
      <c r="AM48" s="351">
        <f t="shared" si="12"/>
        <v>1</v>
      </c>
      <c r="AN48" s="351">
        <f t="shared" si="13"/>
        <v>1</v>
      </c>
      <c r="AO48" s="351">
        <f t="shared" si="14"/>
        <v>1</v>
      </c>
      <c r="AP48" s="351">
        <f t="shared" si="15"/>
        <v>1</v>
      </c>
      <c r="AQ48" s="351">
        <f t="shared" si="16"/>
        <v>1</v>
      </c>
      <c r="AR48" s="351">
        <f t="shared" si="17"/>
        <v>1</v>
      </c>
      <c r="AS48" s="351">
        <f t="shared" si="18"/>
        <v>1</v>
      </c>
      <c r="AT48" s="351">
        <f t="shared" si="19"/>
        <v>1</v>
      </c>
      <c r="AU48" s="351">
        <f t="shared" si="20"/>
        <v>1</v>
      </c>
      <c r="AV48" s="351">
        <f t="shared" si="21"/>
        <v>1</v>
      </c>
      <c r="AW48" s="351">
        <f t="shared" si="22"/>
        <v>1</v>
      </c>
      <c r="AX48" s="351">
        <f t="shared" si="23"/>
        <v>1</v>
      </c>
      <c r="AY48" s="351">
        <f t="shared" si="24"/>
        <v>1</v>
      </c>
      <c r="BD48" s="351" t="str">
        <f t="shared" ca="1" si="41"/>
        <v/>
      </c>
      <c r="BE48" s="351" t="str">
        <f t="shared" ca="1" si="41"/>
        <v/>
      </c>
      <c r="BF48" s="351" t="str">
        <f t="shared" ca="1" si="41"/>
        <v/>
      </c>
      <c r="BG48" s="351" t="str">
        <f t="shared" ca="1" si="41"/>
        <v/>
      </c>
      <c r="BH48" s="351" t="str">
        <f t="shared" ca="1" si="41"/>
        <v/>
      </c>
      <c r="BI48" s="351" t="str">
        <f t="shared" ca="1" si="41"/>
        <v/>
      </c>
      <c r="BJ48" s="351" t="str">
        <f t="shared" ca="1" si="41"/>
        <v/>
      </c>
      <c r="BK48" s="351" t="str">
        <f t="shared" ca="1" si="41"/>
        <v/>
      </c>
      <c r="BL48" s="351" t="str">
        <f t="shared" ca="1" si="41"/>
        <v/>
      </c>
      <c r="BM48" s="351" t="str">
        <f t="shared" ca="1" si="41"/>
        <v/>
      </c>
    </row>
    <row r="49" spans="1:65" x14ac:dyDescent="0.25">
      <c r="A49" s="379"/>
      <c r="B49" s="379" t="str">
        <f t="shared" ca="1" si="26"/>
        <v/>
      </c>
      <c r="C49" s="380"/>
      <c r="D49" s="380"/>
      <c r="E49" s="380"/>
      <c r="F49" s="403" t="str">
        <f ca="1">'תנאי סף'!B49</f>
        <v/>
      </c>
      <c r="G49" s="379"/>
      <c r="H49" s="379"/>
      <c r="I49" s="379"/>
      <c r="J49" s="379"/>
      <c r="K49" s="379"/>
      <c r="L49" s="379"/>
      <c r="M49" s="379"/>
      <c r="N49" s="379"/>
      <c r="O49" s="379"/>
      <c r="P49" s="379"/>
      <c r="Q49" s="379"/>
      <c r="R49" s="379" t="str">
        <f t="shared" ca="1" si="27"/>
        <v/>
      </c>
      <c r="S49" s="379" t="str">
        <f t="shared" ca="1" si="28"/>
        <v/>
      </c>
      <c r="T49" s="379" t="str">
        <f t="shared" ca="1" si="29"/>
        <v/>
      </c>
      <c r="U49" s="398" t="str">
        <f t="shared" ca="1" si="30"/>
        <v/>
      </c>
      <c r="V49" s="423"/>
      <c r="W49" s="379" t="str">
        <f t="shared" ca="1" si="31"/>
        <v/>
      </c>
      <c r="X49" s="386" t="str">
        <f t="shared" ca="1" si="32"/>
        <v/>
      </c>
      <c r="Y49" s="386" t="str">
        <f t="shared" ca="1" si="33"/>
        <v/>
      </c>
      <c r="Z49" s="386" t="str">
        <f t="shared" ca="1" si="34"/>
        <v/>
      </c>
      <c r="AA49" s="386" t="str">
        <f t="shared" ca="1" si="35"/>
        <v/>
      </c>
      <c r="AB49" s="386" t="str">
        <f t="shared" ca="1" si="36"/>
        <v/>
      </c>
      <c r="AD49" s="351">
        <f t="shared" si="37"/>
        <v>1</v>
      </c>
      <c r="AE49" s="351" t="str">
        <f t="shared" ca="1" si="40"/>
        <v/>
      </c>
      <c r="AF49" s="351" t="str">
        <f t="shared" ca="1" si="40"/>
        <v/>
      </c>
      <c r="AG49" s="351">
        <f t="shared" si="6"/>
        <v>1</v>
      </c>
      <c r="AH49" s="351">
        <f t="shared" si="7"/>
        <v>1</v>
      </c>
      <c r="AI49" s="351">
        <f t="shared" si="8"/>
        <v>1</v>
      </c>
      <c r="AJ49" s="351">
        <f t="shared" si="9"/>
        <v>1</v>
      </c>
      <c r="AK49" s="351">
        <f t="shared" si="10"/>
        <v>1</v>
      </c>
      <c r="AL49" s="351">
        <f t="shared" si="11"/>
        <v>1</v>
      </c>
      <c r="AM49" s="351">
        <f t="shared" si="12"/>
        <v>1</v>
      </c>
      <c r="AN49" s="351">
        <f t="shared" si="13"/>
        <v>1</v>
      </c>
      <c r="AO49" s="351">
        <f t="shared" si="14"/>
        <v>1</v>
      </c>
      <c r="AP49" s="351">
        <f t="shared" si="15"/>
        <v>1</v>
      </c>
      <c r="AQ49" s="351">
        <f t="shared" si="16"/>
        <v>1</v>
      </c>
      <c r="AR49" s="351">
        <f t="shared" si="17"/>
        <v>1</v>
      </c>
      <c r="AS49" s="351">
        <f t="shared" si="18"/>
        <v>1</v>
      </c>
      <c r="AT49" s="351">
        <f t="shared" si="19"/>
        <v>1</v>
      </c>
      <c r="AU49" s="351">
        <f t="shared" si="20"/>
        <v>1</v>
      </c>
      <c r="AV49" s="351">
        <f t="shared" si="21"/>
        <v>1</v>
      </c>
      <c r="AW49" s="351">
        <f t="shared" si="22"/>
        <v>1</v>
      </c>
      <c r="AX49" s="351">
        <f t="shared" si="23"/>
        <v>1</v>
      </c>
      <c r="AY49" s="351">
        <f t="shared" si="24"/>
        <v>1</v>
      </c>
      <c r="BD49" s="351" t="str">
        <f t="shared" ca="1" si="41"/>
        <v/>
      </c>
      <c r="BE49" s="351" t="str">
        <f t="shared" ca="1" si="41"/>
        <v/>
      </c>
      <c r="BF49" s="351" t="str">
        <f t="shared" ca="1" si="41"/>
        <v/>
      </c>
      <c r="BG49" s="351" t="str">
        <f t="shared" ca="1" si="41"/>
        <v/>
      </c>
      <c r="BH49" s="351" t="str">
        <f t="shared" ca="1" si="41"/>
        <v/>
      </c>
      <c r="BI49" s="351" t="str">
        <f t="shared" ca="1" si="41"/>
        <v/>
      </c>
      <c r="BJ49" s="351" t="str">
        <f t="shared" ca="1" si="41"/>
        <v/>
      </c>
      <c r="BK49" s="351" t="str">
        <f t="shared" ca="1" si="41"/>
        <v/>
      </c>
      <c r="BL49" s="351" t="str">
        <f t="shared" ca="1" si="41"/>
        <v/>
      </c>
      <c r="BM49" s="351" t="str">
        <f t="shared" ca="1" si="41"/>
        <v/>
      </c>
    </row>
    <row r="50" spans="1:65" ht="16.5" thickBot="1" x14ac:dyDescent="0.3">
      <c r="A50" s="379"/>
      <c r="B50" s="379" t="str">
        <f t="shared" ca="1" si="26"/>
        <v/>
      </c>
      <c r="C50" s="380"/>
      <c r="D50" s="380"/>
      <c r="E50" s="380"/>
      <c r="F50" s="403" t="str">
        <f ca="1">'תנאי סף'!B50</f>
        <v/>
      </c>
      <c r="G50" s="379"/>
      <c r="H50" s="379"/>
      <c r="I50" s="379"/>
      <c r="J50" s="379"/>
      <c r="K50" s="379"/>
      <c r="L50" s="379"/>
      <c r="M50" s="379"/>
      <c r="N50" s="379"/>
      <c r="O50" s="379"/>
      <c r="P50" s="379"/>
      <c r="Q50" s="379"/>
      <c r="R50" s="379" t="str">
        <f t="shared" ca="1" si="27"/>
        <v/>
      </c>
      <c r="S50" s="379" t="str">
        <f t="shared" ca="1" si="28"/>
        <v/>
      </c>
      <c r="T50" s="379" t="str">
        <f t="shared" ca="1" si="29"/>
        <v/>
      </c>
      <c r="U50" s="398" t="str">
        <f t="shared" ca="1" si="30"/>
        <v/>
      </c>
      <c r="V50" s="423"/>
      <c r="W50" s="379" t="str">
        <f t="shared" ca="1" si="31"/>
        <v/>
      </c>
      <c r="X50" s="386" t="str">
        <f t="shared" ca="1" si="32"/>
        <v/>
      </c>
      <c r="Y50" s="386" t="str">
        <f t="shared" ca="1" si="33"/>
        <v/>
      </c>
      <c r="Z50" s="386" t="str">
        <f t="shared" ca="1" si="34"/>
        <v/>
      </c>
      <c r="AA50" s="386" t="str">
        <f t="shared" ca="1" si="35"/>
        <v/>
      </c>
      <c r="AB50" s="386" t="str">
        <f t="shared" ca="1" si="36"/>
        <v/>
      </c>
      <c r="AD50" s="351">
        <f t="shared" si="37"/>
        <v>1</v>
      </c>
      <c r="AE50" s="351" t="str">
        <f t="shared" ca="1" si="40"/>
        <v/>
      </c>
      <c r="AF50" s="351" t="str">
        <f t="shared" ca="1" si="40"/>
        <v/>
      </c>
      <c r="AG50" s="351">
        <f t="shared" si="6"/>
        <v>1</v>
      </c>
      <c r="AH50" s="351">
        <f t="shared" si="7"/>
        <v>1</v>
      </c>
      <c r="AI50" s="351">
        <f t="shared" si="8"/>
        <v>1</v>
      </c>
      <c r="AJ50" s="351">
        <f t="shared" si="9"/>
        <v>1</v>
      </c>
      <c r="AK50" s="351">
        <f t="shared" si="10"/>
        <v>1</v>
      </c>
      <c r="AL50" s="351">
        <f t="shared" si="11"/>
        <v>1</v>
      </c>
      <c r="AM50" s="351">
        <f t="shared" si="12"/>
        <v>1</v>
      </c>
      <c r="AN50" s="351">
        <f t="shared" si="13"/>
        <v>1</v>
      </c>
      <c r="AO50" s="351">
        <f t="shared" si="14"/>
        <v>1</v>
      </c>
      <c r="AP50" s="351">
        <f t="shared" si="15"/>
        <v>1</v>
      </c>
      <c r="AQ50" s="351">
        <f t="shared" si="16"/>
        <v>1</v>
      </c>
      <c r="AR50" s="351">
        <f t="shared" si="17"/>
        <v>1</v>
      </c>
      <c r="AS50" s="351">
        <f t="shared" si="18"/>
        <v>1</v>
      </c>
      <c r="AT50" s="351">
        <f t="shared" si="19"/>
        <v>1</v>
      </c>
      <c r="AU50" s="351">
        <f t="shared" si="20"/>
        <v>1</v>
      </c>
      <c r="AV50" s="351">
        <f t="shared" si="21"/>
        <v>1</v>
      </c>
      <c r="AW50" s="351">
        <f t="shared" si="22"/>
        <v>1</v>
      </c>
      <c r="AX50" s="351">
        <f t="shared" si="23"/>
        <v>1</v>
      </c>
      <c r="AY50" s="351">
        <f t="shared" si="24"/>
        <v>1</v>
      </c>
      <c r="BD50" s="351" t="str">
        <f t="shared" ca="1" si="41"/>
        <v/>
      </c>
      <c r="BE50" s="351" t="str">
        <f t="shared" ca="1" si="41"/>
        <v/>
      </c>
      <c r="BF50" s="351" t="str">
        <f t="shared" ca="1" si="41"/>
        <v/>
      </c>
      <c r="BG50" s="351" t="str">
        <f t="shared" ca="1" si="41"/>
        <v/>
      </c>
      <c r="BH50" s="351" t="str">
        <f t="shared" ca="1" si="41"/>
        <v/>
      </c>
      <c r="BI50" s="351" t="str">
        <f t="shared" ca="1" si="41"/>
        <v/>
      </c>
      <c r="BJ50" s="351" t="str">
        <f t="shared" ca="1" si="41"/>
        <v/>
      </c>
      <c r="BK50" s="351" t="str">
        <f t="shared" ca="1" si="41"/>
        <v/>
      </c>
      <c r="BL50" s="351" t="str">
        <f t="shared" ca="1" si="41"/>
        <v/>
      </c>
      <c r="BM50" s="351" t="str">
        <f t="shared" ca="1" si="41"/>
        <v/>
      </c>
    </row>
    <row r="51" spans="1:65" ht="19.5" thickBot="1" x14ac:dyDescent="0.35">
      <c r="B51" s="705" t="s">
        <v>54</v>
      </c>
      <c r="C51" s="706"/>
      <c r="D51" s="706"/>
      <c r="E51" s="706"/>
      <c r="F51" s="706"/>
      <c r="G51" s="387"/>
      <c r="H51" s="387"/>
      <c r="I51" s="387"/>
      <c r="J51" s="387"/>
      <c r="K51" s="387"/>
      <c r="L51" s="387"/>
      <c r="M51" s="387"/>
      <c r="N51" s="387"/>
      <c r="O51" s="387"/>
      <c r="P51" s="387"/>
      <c r="Q51" s="387"/>
      <c r="R51" s="387">
        <f t="shared" ref="R51:T51" ca="1" si="42">SUM(R11:R50)</f>
        <v>65</v>
      </c>
      <c r="S51" s="387">
        <f t="shared" ca="1" si="42"/>
        <v>65</v>
      </c>
      <c r="T51" s="387">
        <f t="shared" ca="1" si="42"/>
        <v>63</v>
      </c>
      <c r="U51" s="387"/>
      <c r="V51" s="387"/>
      <c r="W51" s="387">
        <f t="shared" ref="W51:AB51" ca="1" si="43">SUM(W11:W50)</f>
        <v>22</v>
      </c>
      <c r="X51" s="387">
        <f t="shared" ca="1" si="43"/>
        <v>0</v>
      </c>
      <c r="Y51" s="387">
        <f t="shared" ca="1" si="43"/>
        <v>0</v>
      </c>
      <c r="Z51" s="387">
        <f t="shared" ca="1" si="43"/>
        <v>0</v>
      </c>
      <c r="AA51" s="387">
        <f t="shared" ca="1" si="43"/>
        <v>0</v>
      </c>
      <c r="AB51" s="387">
        <f t="shared" ca="1" si="43"/>
        <v>0</v>
      </c>
    </row>
  </sheetData>
  <sheetProtection algorithmName="SHA-512" hashValue="9GayYJRmhpqaoMLXUMVSa3sYmt3me3OP5rknIZEamgayJq1CgwJPTBW9opmQiXVn2Xa5HDGIDgEvr+FQ8nhCbg==" saltValue="cgTbAyuWqxRvi497TAJTrA==" spinCount="100000" sheet="1" scenarios="1" formatColumns="0" formatRows="0"/>
  <mergeCells count="25">
    <mergeCell ref="A1:AB1"/>
    <mergeCell ref="B9:B10"/>
    <mergeCell ref="C9:C10"/>
    <mergeCell ref="D9:D10"/>
    <mergeCell ref="E9:E10"/>
    <mergeCell ref="F9:F10"/>
    <mergeCell ref="Y9:Y10"/>
    <mergeCell ref="Z9:Z10"/>
    <mergeCell ref="AA9:AA10"/>
    <mergeCell ref="AB9:AB10"/>
    <mergeCell ref="U9:U10"/>
    <mergeCell ref="W9:W10"/>
    <mergeCell ref="V9:V10"/>
    <mergeCell ref="X9:X10"/>
    <mergeCell ref="O9:O10"/>
    <mergeCell ref="M8:Q8"/>
    <mergeCell ref="R8:U8"/>
    <mergeCell ref="B51:F51"/>
    <mergeCell ref="P9:P10"/>
    <mergeCell ref="Q9:Q10"/>
    <mergeCell ref="R9:R10"/>
    <mergeCell ref="T9:T10"/>
    <mergeCell ref="M9:M10"/>
    <mergeCell ref="N9:N10"/>
    <mergeCell ref="S9:S10"/>
  </mergeCells>
  <conditionalFormatting sqref="A11:AB50">
    <cfRule type="expression" dxfId="967" priority="5" stopIfTrue="1">
      <formula>AND($F11="",A11&lt;&gt;"")</formula>
    </cfRule>
    <cfRule type="expression" dxfId="966" priority="6">
      <formula>$F11=""</formula>
    </cfRule>
    <cfRule type="expression" dxfId="965" priority="7">
      <formula>A$10&lt;&gt;""</formula>
    </cfRule>
  </conditionalFormatting>
  <dataValidations disablePrompts="1" count="1">
    <dataValidation allowBlank="1" showInputMessage="1" showErrorMessage="1" errorTitle="נתון שגוי." error="ניתן להזין רק 0 או 1._x000a_0 = לא עומד בתנאי._x000a_1 = עומד בתנאי." sqref="C11:E50" xr:uid="{00000000-0002-0000-1900-000000000000}"/>
  </dataValidations>
  <printOptions horizontalCentered="1"/>
  <pageMargins left="0.51181102362204722" right="0.51181102362204722" top="0.74803149606299213" bottom="0.74803149606299213" header="0.31496062992125984" footer="0.31496062992125984"/>
  <pageSetup paperSize="9" scale="26" orientation="portrait"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E96F53E1-B04A-4EEB-A27B-A8DF8FE9F363}">
            <xm:f>NOT(ISERROR(SEARCH($AE$1,A11)))</xm:f>
            <xm:f>$AE$1</xm:f>
            <x14:dxf>
              <fill>
                <patternFill>
                  <bgColor rgb="FFFF0000"/>
                </patternFill>
              </fill>
            </x14:dxf>
          </x14:cfRule>
          <xm:sqref>A11:AB50</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DB112-27B6-477F-90AB-EACEB36965C1}">
  <sheetPr>
    <tabColor rgb="FFFFFF00"/>
  </sheetPr>
  <dimension ref="A1:K689"/>
  <sheetViews>
    <sheetView rightToLeft="1" workbookViewId="0">
      <pane ySplit="1" topLeftCell="A83" activePane="bottomLeft" state="frozen"/>
      <selection pane="bottomLeft" activeCell="B9" sqref="B9"/>
    </sheetView>
  </sheetViews>
  <sheetFormatPr defaultColWidth="9.140625" defaultRowHeight="15" x14ac:dyDescent="0.25"/>
  <cols>
    <col min="1" max="1" width="18.28515625" style="531" bestFit="1" customWidth="1"/>
    <col min="2" max="2" width="43.5703125" style="523" bestFit="1" customWidth="1"/>
    <col min="3" max="3" width="6.7109375" style="523" bestFit="1" customWidth="1"/>
    <col min="4" max="4" width="15.5703125" style="523" bestFit="1" customWidth="1"/>
    <col min="5" max="5" width="13.5703125" style="523" bestFit="1" customWidth="1"/>
    <col min="6" max="6" width="36.85546875" style="523" bestFit="1" customWidth="1"/>
    <col min="7" max="7" width="9.140625" style="523" bestFit="1" customWidth="1"/>
    <col min="8" max="9" width="14.140625" style="532" bestFit="1" customWidth="1"/>
    <col min="10" max="10" width="12.28515625" style="523" bestFit="1" customWidth="1"/>
    <col min="11" max="11" width="16.28515625" style="523" bestFit="1" customWidth="1"/>
    <col min="12" max="16384" width="9.140625" style="523"/>
  </cols>
  <sheetData>
    <row r="1" spans="1:11" x14ac:dyDescent="0.25">
      <c r="A1" s="520" t="s">
        <v>407</v>
      </c>
      <c r="B1" s="521" t="s">
        <v>408</v>
      </c>
      <c r="C1" s="521" t="s">
        <v>409</v>
      </c>
      <c r="D1" s="521" t="s">
        <v>410</v>
      </c>
      <c r="E1" s="521" t="s">
        <v>411</v>
      </c>
      <c r="F1" s="521" t="s">
        <v>412</v>
      </c>
      <c r="G1" s="521" t="s">
        <v>413</v>
      </c>
      <c r="H1" s="522" t="s">
        <v>226</v>
      </c>
      <c r="I1" s="522" t="s">
        <v>414</v>
      </c>
      <c r="J1" s="521" t="s">
        <v>415</v>
      </c>
      <c r="K1" s="521" t="s">
        <v>416</v>
      </c>
    </row>
    <row r="2" spans="1:11" x14ac:dyDescent="0.25">
      <c r="A2" s="524">
        <v>1001719708</v>
      </c>
      <c r="B2" s="525" t="s">
        <v>436</v>
      </c>
      <c r="C2" s="525" t="s">
        <v>417</v>
      </c>
      <c r="D2" s="525">
        <v>580392280</v>
      </c>
      <c r="E2" s="525">
        <v>40309074</v>
      </c>
      <c r="F2" s="525" t="s">
        <v>418</v>
      </c>
      <c r="G2" s="525" t="s">
        <v>437</v>
      </c>
      <c r="H2" s="526">
        <v>30000</v>
      </c>
      <c r="I2" s="526">
        <v>30000</v>
      </c>
      <c r="J2" s="525" t="s">
        <v>438</v>
      </c>
      <c r="K2" s="525" t="s">
        <v>439</v>
      </c>
    </row>
    <row r="3" spans="1:11" x14ac:dyDescent="0.25">
      <c r="A3" s="524">
        <v>1001719726</v>
      </c>
      <c r="B3" s="525" t="s">
        <v>440</v>
      </c>
      <c r="C3" s="525" t="s">
        <v>422</v>
      </c>
      <c r="D3" s="525">
        <v>580044873</v>
      </c>
      <c r="E3" s="525">
        <v>40000106</v>
      </c>
      <c r="F3" s="525" t="s">
        <v>441</v>
      </c>
      <c r="G3" s="525" t="s">
        <v>437</v>
      </c>
      <c r="H3" s="526">
        <v>150000</v>
      </c>
      <c r="I3" s="526">
        <v>0</v>
      </c>
      <c r="J3" s="525" t="s">
        <v>438</v>
      </c>
      <c r="K3" s="525" t="s">
        <v>439</v>
      </c>
    </row>
    <row r="4" spans="1:11" x14ac:dyDescent="0.25">
      <c r="A4" s="524">
        <v>1001719842</v>
      </c>
      <c r="B4" s="525" t="s">
        <v>387</v>
      </c>
      <c r="C4" s="525" t="s">
        <v>417</v>
      </c>
      <c r="D4" s="525">
        <v>580411924</v>
      </c>
      <c r="E4" s="525">
        <v>40216111</v>
      </c>
      <c r="F4" s="525" t="s">
        <v>442</v>
      </c>
      <c r="G4" s="525" t="s">
        <v>437</v>
      </c>
      <c r="H4" s="526">
        <v>29000</v>
      </c>
      <c r="I4" s="526">
        <v>29000</v>
      </c>
      <c r="J4" s="525" t="s">
        <v>438</v>
      </c>
      <c r="K4" s="525" t="s">
        <v>439</v>
      </c>
    </row>
    <row r="5" spans="1:11" x14ac:dyDescent="0.25">
      <c r="A5" s="524">
        <v>1001720684</v>
      </c>
      <c r="B5" s="525" t="s">
        <v>443</v>
      </c>
      <c r="C5" s="525" t="s">
        <v>417</v>
      </c>
      <c r="D5" s="525">
        <v>580022077</v>
      </c>
      <c r="E5" s="525">
        <v>40000075</v>
      </c>
      <c r="F5" s="525" t="s">
        <v>444</v>
      </c>
      <c r="G5" s="525" t="s">
        <v>437</v>
      </c>
      <c r="H5" s="526">
        <v>187500</v>
      </c>
      <c r="I5" s="526">
        <v>116643</v>
      </c>
      <c r="J5" s="525" t="s">
        <v>438</v>
      </c>
      <c r="K5" s="525" t="s">
        <v>439</v>
      </c>
    </row>
    <row r="6" spans="1:11" x14ac:dyDescent="0.25">
      <c r="A6" s="524">
        <v>1001720983</v>
      </c>
      <c r="B6" s="525" t="s">
        <v>445</v>
      </c>
      <c r="C6" s="525" t="s">
        <v>417</v>
      </c>
      <c r="D6" s="525">
        <v>580574325</v>
      </c>
      <c r="E6" s="525">
        <v>41375155</v>
      </c>
      <c r="F6" s="525" t="s">
        <v>446</v>
      </c>
      <c r="G6" s="525" t="s">
        <v>437</v>
      </c>
      <c r="H6" s="526">
        <v>180000</v>
      </c>
      <c r="I6" s="526">
        <v>56362</v>
      </c>
      <c r="J6" s="525" t="s">
        <v>438</v>
      </c>
      <c r="K6" s="525" t="s">
        <v>439</v>
      </c>
    </row>
    <row r="7" spans="1:11" x14ac:dyDescent="0.25">
      <c r="A7" s="524">
        <v>1001721239</v>
      </c>
      <c r="B7" s="525" t="s">
        <v>447</v>
      </c>
      <c r="C7" s="525" t="s">
        <v>417</v>
      </c>
      <c r="D7" s="525">
        <v>580103026</v>
      </c>
      <c r="E7" s="525">
        <v>40000134</v>
      </c>
      <c r="F7" s="525" t="s">
        <v>297</v>
      </c>
      <c r="G7" s="525" t="s">
        <v>437</v>
      </c>
      <c r="H7" s="526">
        <v>250000</v>
      </c>
      <c r="I7" s="526">
        <v>182811</v>
      </c>
      <c r="J7" s="525" t="s">
        <v>438</v>
      </c>
      <c r="K7" s="525" t="s">
        <v>439</v>
      </c>
    </row>
    <row r="8" spans="1:11" x14ac:dyDescent="0.25">
      <c r="A8" s="524">
        <v>1001721531</v>
      </c>
      <c r="B8" s="525" t="s">
        <v>374</v>
      </c>
      <c r="C8" s="525" t="s">
        <v>417</v>
      </c>
      <c r="D8" s="525">
        <v>580103026</v>
      </c>
      <c r="E8" s="525">
        <v>40000134</v>
      </c>
      <c r="F8" s="525" t="s">
        <v>297</v>
      </c>
      <c r="G8" s="525" t="s">
        <v>437</v>
      </c>
      <c r="H8" s="526">
        <v>60000</v>
      </c>
      <c r="I8" s="526">
        <v>52302</v>
      </c>
      <c r="J8" s="525" t="s">
        <v>438</v>
      </c>
      <c r="K8" s="525" t="s">
        <v>439</v>
      </c>
    </row>
    <row r="9" spans="1:11" x14ac:dyDescent="0.25">
      <c r="A9" s="524">
        <v>1001721713</v>
      </c>
      <c r="B9" s="525" t="s">
        <v>448</v>
      </c>
      <c r="C9" s="525" t="s">
        <v>417</v>
      </c>
      <c r="D9" s="525">
        <v>590000659</v>
      </c>
      <c r="E9" s="525">
        <v>40000712</v>
      </c>
      <c r="F9" s="525" t="s">
        <v>449</v>
      </c>
      <c r="G9" s="525" t="s">
        <v>437</v>
      </c>
      <c r="H9" s="526">
        <v>200000</v>
      </c>
      <c r="I9" s="526">
        <v>69597</v>
      </c>
      <c r="J9" s="525" t="s">
        <v>438</v>
      </c>
      <c r="K9" s="525" t="s">
        <v>439</v>
      </c>
    </row>
    <row r="10" spans="1:11" x14ac:dyDescent="0.25">
      <c r="A10" s="524">
        <v>1001721791</v>
      </c>
      <c r="B10" s="525" t="s">
        <v>450</v>
      </c>
      <c r="C10" s="525" t="s">
        <v>417</v>
      </c>
      <c r="D10" s="525">
        <v>500269006</v>
      </c>
      <c r="E10" s="525">
        <v>20000227</v>
      </c>
      <c r="F10" s="525" t="s">
        <v>451</v>
      </c>
      <c r="G10" s="525" t="s">
        <v>437</v>
      </c>
      <c r="H10" s="526">
        <v>50000</v>
      </c>
      <c r="I10" s="526">
        <v>50000</v>
      </c>
      <c r="J10" s="525" t="s">
        <v>438</v>
      </c>
      <c r="K10" s="525" t="s">
        <v>439</v>
      </c>
    </row>
    <row r="11" spans="1:11" x14ac:dyDescent="0.25">
      <c r="A11" s="524">
        <v>1001721948</v>
      </c>
      <c r="B11" s="525" t="s">
        <v>380</v>
      </c>
      <c r="C11" s="525" t="s">
        <v>417</v>
      </c>
      <c r="D11" s="525">
        <v>580076842</v>
      </c>
      <c r="E11" s="525">
        <v>40000437</v>
      </c>
      <c r="F11" s="525" t="s">
        <v>452</v>
      </c>
      <c r="G11" s="525" t="s">
        <v>437</v>
      </c>
      <c r="H11" s="526">
        <v>100000</v>
      </c>
      <c r="I11" s="526">
        <v>71987</v>
      </c>
      <c r="J11" s="525" t="s">
        <v>438</v>
      </c>
      <c r="K11" s="525" t="s">
        <v>439</v>
      </c>
    </row>
    <row r="12" spans="1:11" x14ac:dyDescent="0.25">
      <c r="A12" s="524">
        <v>1001722052</v>
      </c>
      <c r="B12" s="525" t="s">
        <v>453</v>
      </c>
      <c r="C12" s="525" t="s">
        <v>417</v>
      </c>
      <c r="D12" s="525">
        <v>580100212</v>
      </c>
      <c r="E12" s="525">
        <v>40000459</v>
      </c>
      <c r="F12" s="525" t="s">
        <v>454</v>
      </c>
      <c r="G12" s="525" t="s">
        <v>437</v>
      </c>
      <c r="H12" s="526">
        <v>3000000</v>
      </c>
      <c r="I12" s="526">
        <v>1396365</v>
      </c>
      <c r="J12" s="525" t="s">
        <v>438</v>
      </c>
      <c r="K12" s="525" t="s">
        <v>439</v>
      </c>
    </row>
    <row r="13" spans="1:11" x14ac:dyDescent="0.25">
      <c r="A13" s="524">
        <v>1001722210</v>
      </c>
      <c r="B13" s="525" t="s">
        <v>395</v>
      </c>
      <c r="C13" s="525" t="s">
        <v>417</v>
      </c>
      <c r="D13" s="525">
        <v>580476968</v>
      </c>
      <c r="E13" s="525">
        <v>40365425</v>
      </c>
      <c r="F13" s="525" t="s">
        <v>455</v>
      </c>
      <c r="G13" s="525" t="s">
        <v>437</v>
      </c>
      <c r="H13" s="526">
        <v>180000</v>
      </c>
      <c r="I13" s="526">
        <v>118619</v>
      </c>
      <c r="J13" s="525" t="s">
        <v>438</v>
      </c>
      <c r="K13" s="525" t="s">
        <v>439</v>
      </c>
    </row>
    <row r="14" spans="1:11" x14ac:dyDescent="0.25">
      <c r="A14" s="524">
        <v>1001722211</v>
      </c>
      <c r="B14" s="525" t="s">
        <v>456</v>
      </c>
      <c r="C14" s="525" t="s">
        <v>417</v>
      </c>
      <c r="D14" s="525">
        <v>580476968</v>
      </c>
      <c r="E14" s="525">
        <v>40365425</v>
      </c>
      <c r="F14" s="525" t="s">
        <v>455</v>
      </c>
      <c r="G14" s="525" t="s">
        <v>437</v>
      </c>
      <c r="H14" s="526">
        <v>150000</v>
      </c>
      <c r="I14" s="526">
        <v>78546</v>
      </c>
      <c r="J14" s="525" t="s">
        <v>438</v>
      </c>
      <c r="K14" s="525" t="s">
        <v>439</v>
      </c>
    </row>
    <row r="15" spans="1:11" x14ac:dyDescent="0.25">
      <c r="A15" s="524">
        <v>1001722231</v>
      </c>
      <c r="B15" s="525" t="s">
        <v>457</v>
      </c>
      <c r="C15" s="525" t="s">
        <v>417</v>
      </c>
      <c r="D15" s="525">
        <v>580396307</v>
      </c>
      <c r="E15" s="525">
        <v>40216100</v>
      </c>
      <c r="F15" s="525" t="s">
        <v>458</v>
      </c>
      <c r="G15" s="525" t="s">
        <v>437</v>
      </c>
      <c r="H15" s="526">
        <v>50000</v>
      </c>
      <c r="I15" s="526">
        <v>30950</v>
      </c>
      <c r="J15" s="525" t="s">
        <v>438</v>
      </c>
      <c r="K15" s="525" t="s">
        <v>439</v>
      </c>
    </row>
    <row r="16" spans="1:11" x14ac:dyDescent="0.25">
      <c r="A16" s="524">
        <v>1001722553</v>
      </c>
      <c r="B16" s="525" t="s">
        <v>295</v>
      </c>
      <c r="C16" s="525" t="s">
        <v>417</v>
      </c>
      <c r="D16" s="525">
        <v>580073575</v>
      </c>
      <c r="E16" s="525">
        <v>40000429</v>
      </c>
      <c r="F16" s="525" t="s">
        <v>294</v>
      </c>
      <c r="G16" s="525" t="s">
        <v>437</v>
      </c>
      <c r="H16" s="526">
        <v>350000</v>
      </c>
      <c r="I16" s="526">
        <v>146532</v>
      </c>
      <c r="J16" s="525" t="s">
        <v>438</v>
      </c>
      <c r="K16" s="525" t="s">
        <v>439</v>
      </c>
    </row>
    <row r="17" spans="1:11" x14ac:dyDescent="0.25">
      <c r="A17" s="524">
        <v>1001722607</v>
      </c>
      <c r="B17" s="525" t="s">
        <v>459</v>
      </c>
      <c r="C17" s="525" t="s">
        <v>417</v>
      </c>
      <c r="D17" s="525">
        <v>580537041</v>
      </c>
      <c r="E17" s="525">
        <v>40989613</v>
      </c>
      <c r="F17" s="525" t="s">
        <v>460</v>
      </c>
      <c r="G17" s="525" t="s">
        <v>437</v>
      </c>
      <c r="H17" s="526">
        <v>300000</v>
      </c>
      <c r="I17" s="526">
        <v>262969</v>
      </c>
      <c r="J17" s="525" t="s">
        <v>438</v>
      </c>
      <c r="K17" s="525" t="s">
        <v>439</v>
      </c>
    </row>
    <row r="18" spans="1:11" x14ac:dyDescent="0.25">
      <c r="A18" s="524">
        <v>1001722707</v>
      </c>
      <c r="B18" s="525" t="s">
        <v>461</v>
      </c>
      <c r="C18" s="525" t="s">
        <v>417</v>
      </c>
      <c r="D18" s="525">
        <v>580370773</v>
      </c>
      <c r="E18" s="525">
        <v>40002886</v>
      </c>
      <c r="F18" s="525" t="s">
        <v>462</v>
      </c>
      <c r="G18" s="525" t="s">
        <v>437</v>
      </c>
      <c r="H18" s="526">
        <v>80000</v>
      </c>
      <c r="I18" s="526">
        <v>63873</v>
      </c>
      <c r="J18" s="525" t="s">
        <v>438</v>
      </c>
      <c r="K18" s="525" t="s">
        <v>439</v>
      </c>
    </row>
    <row r="19" spans="1:11" x14ac:dyDescent="0.25">
      <c r="A19" s="524">
        <v>1001722720</v>
      </c>
      <c r="B19" s="525" t="s">
        <v>291</v>
      </c>
      <c r="C19" s="525" t="s">
        <v>417</v>
      </c>
      <c r="D19" s="525">
        <v>580537041</v>
      </c>
      <c r="E19" s="525">
        <v>40989613</v>
      </c>
      <c r="F19" s="525" t="s">
        <v>460</v>
      </c>
      <c r="G19" s="525" t="s">
        <v>437</v>
      </c>
      <c r="H19" s="526">
        <v>170000</v>
      </c>
      <c r="I19" s="526">
        <v>124497</v>
      </c>
      <c r="J19" s="525" t="s">
        <v>438</v>
      </c>
      <c r="K19" s="525" t="s">
        <v>439</v>
      </c>
    </row>
    <row r="20" spans="1:11" x14ac:dyDescent="0.25">
      <c r="A20" s="524">
        <v>1001722721</v>
      </c>
      <c r="B20" s="525" t="s">
        <v>393</v>
      </c>
      <c r="C20" s="525" t="s">
        <v>417</v>
      </c>
      <c r="D20" s="525">
        <v>580537041</v>
      </c>
      <c r="E20" s="525">
        <v>40989613</v>
      </c>
      <c r="F20" s="525" t="s">
        <v>460</v>
      </c>
      <c r="G20" s="525" t="s">
        <v>437</v>
      </c>
      <c r="H20" s="526">
        <v>80000</v>
      </c>
      <c r="I20" s="526">
        <v>80000</v>
      </c>
      <c r="J20" s="525" t="s">
        <v>438</v>
      </c>
      <c r="K20" s="525" t="s">
        <v>439</v>
      </c>
    </row>
    <row r="21" spans="1:11" x14ac:dyDescent="0.25">
      <c r="A21" s="524">
        <v>1001722774</v>
      </c>
      <c r="B21" s="525" t="s">
        <v>443</v>
      </c>
      <c r="C21" s="525" t="s">
        <v>417</v>
      </c>
      <c r="D21" s="525">
        <v>500262381</v>
      </c>
      <c r="E21" s="525">
        <v>20000212</v>
      </c>
      <c r="F21" s="525" t="s">
        <v>430</v>
      </c>
      <c r="G21" s="525" t="s">
        <v>437</v>
      </c>
      <c r="H21" s="526">
        <v>90000</v>
      </c>
      <c r="I21" s="526">
        <v>90000</v>
      </c>
      <c r="J21" s="525" t="s">
        <v>438</v>
      </c>
      <c r="K21" s="525" t="s">
        <v>439</v>
      </c>
    </row>
    <row r="22" spans="1:11" x14ac:dyDescent="0.25">
      <c r="A22" s="524">
        <v>1001722777</v>
      </c>
      <c r="B22" s="525" t="s">
        <v>463</v>
      </c>
      <c r="C22" s="525" t="s">
        <v>417</v>
      </c>
      <c r="D22" s="525">
        <v>580234995</v>
      </c>
      <c r="E22" s="525">
        <v>40000192</v>
      </c>
      <c r="F22" s="525" t="s">
        <v>464</v>
      </c>
      <c r="G22" s="525" t="s">
        <v>437</v>
      </c>
      <c r="H22" s="526">
        <v>120000</v>
      </c>
      <c r="I22" s="526">
        <v>56664</v>
      </c>
      <c r="J22" s="525" t="s">
        <v>438</v>
      </c>
      <c r="K22" s="525" t="s">
        <v>439</v>
      </c>
    </row>
    <row r="23" spans="1:11" x14ac:dyDescent="0.25">
      <c r="A23" s="524">
        <v>1001722985</v>
      </c>
      <c r="B23" s="525" t="s">
        <v>465</v>
      </c>
      <c r="C23" s="525" t="s">
        <v>417</v>
      </c>
      <c r="D23" s="525">
        <v>580241610</v>
      </c>
      <c r="E23" s="525">
        <v>40216003</v>
      </c>
      <c r="F23" s="525" t="s">
        <v>466</v>
      </c>
      <c r="G23" s="525" t="s">
        <v>437</v>
      </c>
      <c r="H23" s="526">
        <v>60000</v>
      </c>
      <c r="I23" s="526">
        <v>60000</v>
      </c>
      <c r="J23" s="525" t="s">
        <v>438</v>
      </c>
      <c r="K23" s="525" t="s">
        <v>439</v>
      </c>
    </row>
    <row r="24" spans="1:11" x14ac:dyDescent="0.25">
      <c r="A24" s="524">
        <v>1001723240</v>
      </c>
      <c r="B24" s="525" t="s">
        <v>467</v>
      </c>
      <c r="C24" s="525" t="s">
        <v>417</v>
      </c>
      <c r="D24" s="525">
        <v>510145022</v>
      </c>
      <c r="E24" s="525">
        <v>40000252</v>
      </c>
      <c r="F24" s="525" t="s">
        <v>468</v>
      </c>
      <c r="G24" s="525" t="s">
        <v>437</v>
      </c>
      <c r="H24" s="526">
        <v>80000</v>
      </c>
      <c r="I24" s="526">
        <v>80000</v>
      </c>
      <c r="J24" s="525" t="s">
        <v>438</v>
      </c>
      <c r="K24" s="525" t="s">
        <v>439</v>
      </c>
    </row>
    <row r="25" spans="1:11" x14ac:dyDescent="0.25">
      <c r="A25" s="524">
        <v>1001723340</v>
      </c>
      <c r="B25" s="525" t="s">
        <v>469</v>
      </c>
      <c r="C25" s="525" t="s">
        <v>417</v>
      </c>
      <c r="D25" s="525">
        <v>512287350</v>
      </c>
      <c r="E25" s="525">
        <v>40000293</v>
      </c>
      <c r="F25" s="525" t="s">
        <v>470</v>
      </c>
      <c r="G25" s="525" t="s">
        <v>437</v>
      </c>
      <c r="H25" s="526">
        <v>693000</v>
      </c>
      <c r="I25" s="526">
        <v>77502</v>
      </c>
      <c r="J25" s="525" t="s">
        <v>438</v>
      </c>
      <c r="K25" s="525" t="s">
        <v>439</v>
      </c>
    </row>
    <row r="26" spans="1:11" x14ac:dyDescent="0.25">
      <c r="A26" s="524">
        <v>1001734232</v>
      </c>
      <c r="B26" s="525" t="s">
        <v>471</v>
      </c>
      <c r="C26" s="525" t="s">
        <v>417</v>
      </c>
      <c r="D26" s="525">
        <v>510748734</v>
      </c>
      <c r="E26" s="525">
        <v>40000028</v>
      </c>
      <c r="F26" s="525" t="s">
        <v>472</v>
      </c>
      <c r="G26" s="525" t="s">
        <v>437</v>
      </c>
      <c r="H26" s="526">
        <v>940000</v>
      </c>
      <c r="I26" s="526">
        <v>467648</v>
      </c>
      <c r="J26" s="525" t="s">
        <v>438</v>
      </c>
      <c r="K26" s="525" t="s">
        <v>439</v>
      </c>
    </row>
    <row r="27" spans="1:11" x14ac:dyDescent="0.25">
      <c r="A27" s="524">
        <v>1001734233</v>
      </c>
      <c r="B27" s="525" t="s">
        <v>473</v>
      </c>
      <c r="C27" s="525" t="s">
        <v>417</v>
      </c>
      <c r="D27" s="525">
        <v>510748734</v>
      </c>
      <c r="E27" s="525">
        <v>40000028</v>
      </c>
      <c r="F27" s="525" t="s">
        <v>472</v>
      </c>
      <c r="G27" s="525" t="s">
        <v>437</v>
      </c>
      <c r="H27" s="526">
        <v>600000</v>
      </c>
      <c r="I27" s="526">
        <v>258626</v>
      </c>
      <c r="J27" s="525" t="s">
        <v>438</v>
      </c>
      <c r="K27" s="525" t="s">
        <v>439</v>
      </c>
    </row>
    <row r="28" spans="1:11" x14ac:dyDescent="0.25">
      <c r="A28" s="524">
        <v>1001734273</v>
      </c>
      <c r="B28" s="525" t="s">
        <v>474</v>
      </c>
      <c r="C28" s="525" t="s">
        <v>422</v>
      </c>
      <c r="D28" s="525">
        <v>500287008</v>
      </c>
      <c r="E28" s="525">
        <v>20000251</v>
      </c>
      <c r="F28" s="525" t="s">
        <v>431</v>
      </c>
      <c r="G28" s="525" t="s">
        <v>437</v>
      </c>
      <c r="H28" s="526">
        <v>23000</v>
      </c>
      <c r="I28" s="526">
        <v>0</v>
      </c>
      <c r="J28" s="525" t="s">
        <v>438</v>
      </c>
      <c r="K28" s="525" t="s">
        <v>439</v>
      </c>
    </row>
    <row r="29" spans="1:11" x14ac:dyDescent="0.25">
      <c r="A29" s="524">
        <v>1001734536</v>
      </c>
      <c r="B29" s="525" t="s">
        <v>475</v>
      </c>
      <c r="C29" s="525" t="s">
        <v>417</v>
      </c>
      <c r="D29" s="525">
        <v>580149698</v>
      </c>
      <c r="E29" s="525">
        <v>40000509</v>
      </c>
      <c r="F29" s="525" t="s">
        <v>476</v>
      </c>
      <c r="G29" s="525" t="s">
        <v>437</v>
      </c>
      <c r="H29" s="526">
        <v>250000</v>
      </c>
      <c r="I29" s="526">
        <v>105404</v>
      </c>
      <c r="J29" s="525" t="s">
        <v>438</v>
      </c>
      <c r="K29" s="525" t="s">
        <v>439</v>
      </c>
    </row>
    <row r="30" spans="1:11" x14ac:dyDescent="0.25">
      <c r="A30" s="524">
        <v>1001734611</v>
      </c>
      <c r="B30" s="525" t="s">
        <v>477</v>
      </c>
      <c r="C30" s="525" t="s">
        <v>417</v>
      </c>
      <c r="D30" s="525">
        <v>580310878</v>
      </c>
      <c r="E30" s="525">
        <v>40000230</v>
      </c>
      <c r="F30" s="525" t="s">
        <v>478</v>
      </c>
      <c r="G30" s="525" t="s">
        <v>437</v>
      </c>
      <c r="H30" s="526">
        <v>1500000</v>
      </c>
      <c r="I30" s="526">
        <v>407389</v>
      </c>
      <c r="J30" s="525" t="s">
        <v>438</v>
      </c>
      <c r="K30" s="525" t="s">
        <v>439</v>
      </c>
    </row>
    <row r="31" spans="1:11" x14ac:dyDescent="0.25">
      <c r="A31" s="524">
        <v>1001734615</v>
      </c>
      <c r="B31" s="525" t="s">
        <v>381</v>
      </c>
      <c r="C31" s="525" t="s">
        <v>417</v>
      </c>
      <c r="D31" s="525">
        <v>580310878</v>
      </c>
      <c r="E31" s="525">
        <v>40000230</v>
      </c>
      <c r="F31" s="525" t="s">
        <v>478</v>
      </c>
      <c r="G31" s="525" t="s">
        <v>437</v>
      </c>
      <c r="H31" s="526">
        <v>150000</v>
      </c>
      <c r="I31" s="526">
        <v>48732</v>
      </c>
      <c r="J31" s="525" t="s">
        <v>438</v>
      </c>
      <c r="K31" s="525" t="s">
        <v>439</v>
      </c>
    </row>
    <row r="32" spans="1:11" x14ac:dyDescent="0.25">
      <c r="A32" s="524">
        <v>1001734702</v>
      </c>
      <c r="B32" s="525" t="s">
        <v>400</v>
      </c>
      <c r="C32" s="525" t="s">
        <v>417</v>
      </c>
      <c r="D32" s="525">
        <v>580450898</v>
      </c>
      <c r="E32" s="525">
        <v>41099000</v>
      </c>
      <c r="F32" s="525" t="s">
        <v>399</v>
      </c>
      <c r="G32" s="525" t="s">
        <v>437</v>
      </c>
      <c r="H32" s="526">
        <v>150000</v>
      </c>
      <c r="I32" s="526">
        <v>66237</v>
      </c>
      <c r="J32" s="525" t="s">
        <v>438</v>
      </c>
      <c r="K32" s="525" t="s">
        <v>439</v>
      </c>
    </row>
    <row r="33" spans="1:11" x14ac:dyDescent="0.25">
      <c r="A33" s="524">
        <v>1001734796</v>
      </c>
      <c r="B33" s="525" t="s">
        <v>479</v>
      </c>
      <c r="C33" s="525" t="s">
        <v>417</v>
      </c>
      <c r="D33" s="525">
        <v>580039329</v>
      </c>
      <c r="E33" s="525">
        <v>40000100</v>
      </c>
      <c r="F33" s="525" t="s">
        <v>479</v>
      </c>
      <c r="G33" s="525" t="s">
        <v>437</v>
      </c>
      <c r="H33" s="526">
        <v>1700000</v>
      </c>
      <c r="I33" s="526">
        <v>1287715</v>
      </c>
      <c r="J33" s="525" t="s">
        <v>438</v>
      </c>
      <c r="K33" s="525" t="s">
        <v>439</v>
      </c>
    </row>
    <row r="34" spans="1:11" x14ac:dyDescent="0.25">
      <c r="A34" s="524">
        <v>1001734815</v>
      </c>
      <c r="B34" s="525" t="s">
        <v>480</v>
      </c>
      <c r="C34" s="525" t="s">
        <v>417</v>
      </c>
      <c r="D34" s="525">
        <v>500221015</v>
      </c>
      <c r="E34" s="525">
        <v>20000127</v>
      </c>
      <c r="F34" s="525" t="s">
        <v>421</v>
      </c>
      <c r="G34" s="525" t="s">
        <v>437</v>
      </c>
      <c r="H34" s="526">
        <v>150000</v>
      </c>
      <c r="I34" s="526">
        <v>74216</v>
      </c>
      <c r="J34" s="525" t="s">
        <v>438</v>
      </c>
      <c r="K34" s="525" t="s">
        <v>439</v>
      </c>
    </row>
    <row r="35" spans="1:11" x14ac:dyDescent="0.25">
      <c r="A35" s="524">
        <v>1001735330</v>
      </c>
      <c r="B35" s="525" t="s">
        <v>481</v>
      </c>
      <c r="C35" s="525" t="s">
        <v>417</v>
      </c>
      <c r="D35" s="525">
        <v>580082824</v>
      </c>
      <c r="E35" s="525">
        <v>40000448</v>
      </c>
      <c r="F35" s="525" t="s">
        <v>419</v>
      </c>
      <c r="G35" s="525" t="s">
        <v>437</v>
      </c>
      <c r="H35" s="526">
        <v>100000</v>
      </c>
      <c r="I35" s="526">
        <v>64755</v>
      </c>
      <c r="J35" s="525" t="s">
        <v>438</v>
      </c>
      <c r="K35" s="525" t="s">
        <v>439</v>
      </c>
    </row>
    <row r="36" spans="1:11" x14ac:dyDescent="0.25">
      <c r="A36" s="524">
        <v>1001735665</v>
      </c>
      <c r="B36" s="525" t="s">
        <v>289</v>
      </c>
      <c r="C36" s="525" t="s">
        <v>417</v>
      </c>
      <c r="D36" s="525">
        <v>580052421</v>
      </c>
      <c r="E36" s="525">
        <v>40000404</v>
      </c>
      <c r="F36" s="525" t="s">
        <v>482</v>
      </c>
      <c r="G36" s="525" t="s">
        <v>437</v>
      </c>
      <c r="H36" s="526">
        <v>165000</v>
      </c>
      <c r="I36" s="526">
        <v>114119</v>
      </c>
      <c r="J36" s="525" t="s">
        <v>438</v>
      </c>
      <c r="K36" s="525" t="s">
        <v>439</v>
      </c>
    </row>
    <row r="37" spans="1:11" x14ac:dyDescent="0.25">
      <c r="A37" s="524">
        <v>1001735734</v>
      </c>
      <c r="B37" s="525" t="s">
        <v>384</v>
      </c>
      <c r="C37" s="525" t="s">
        <v>417</v>
      </c>
      <c r="D37" s="525">
        <v>580353597</v>
      </c>
      <c r="E37" s="525">
        <v>40216071</v>
      </c>
      <c r="F37" s="525" t="s">
        <v>483</v>
      </c>
      <c r="G37" s="525" t="s">
        <v>437</v>
      </c>
      <c r="H37" s="526">
        <v>300000</v>
      </c>
      <c r="I37" s="526">
        <v>160958</v>
      </c>
      <c r="J37" s="525" t="s">
        <v>438</v>
      </c>
      <c r="K37" s="525" t="s">
        <v>439</v>
      </c>
    </row>
    <row r="38" spans="1:11" x14ac:dyDescent="0.25">
      <c r="A38" s="524">
        <v>1001735762</v>
      </c>
      <c r="B38" s="525" t="s">
        <v>484</v>
      </c>
      <c r="C38" s="525" t="s">
        <v>417</v>
      </c>
      <c r="D38" s="525">
        <v>580353597</v>
      </c>
      <c r="E38" s="525">
        <v>40216071</v>
      </c>
      <c r="F38" s="525" t="s">
        <v>483</v>
      </c>
      <c r="G38" s="525" t="s">
        <v>437</v>
      </c>
      <c r="H38" s="526">
        <v>800000</v>
      </c>
      <c r="I38" s="526">
        <v>546592</v>
      </c>
      <c r="J38" s="525" t="s">
        <v>438</v>
      </c>
      <c r="K38" s="525" t="s">
        <v>439</v>
      </c>
    </row>
    <row r="39" spans="1:11" x14ac:dyDescent="0.25">
      <c r="A39" s="524">
        <v>1001735827</v>
      </c>
      <c r="B39" s="525" t="s">
        <v>485</v>
      </c>
      <c r="C39" s="525" t="s">
        <v>417</v>
      </c>
      <c r="D39" s="525">
        <v>580292639</v>
      </c>
      <c r="E39" s="525">
        <v>40000215</v>
      </c>
      <c r="F39" s="525" t="s">
        <v>486</v>
      </c>
      <c r="G39" s="525" t="s">
        <v>437</v>
      </c>
      <c r="H39" s="526">
        <v>90000</v>
      </c>
      <c r="I39" s="526">
        <v>90000</v>
      </c>
      <c r="J39" s="525" t="s">
        <v>438</v>
      </c>
      <c r="K39" s="525" t="s">
        <v>439</v>
      </c>
    </row>
    <row r="40" spans="1:11" x14ac:dyDescent="0.25">
      <c r="A40" s="524">
        <v>1001736130</v>
      </c>
      <c r="B40" s="525" t="s">
        <v>398</v>
      </c>
      <c r="C40" s="525" t="s">
        <v>422</v>
      </c>
      <c r="D40" s="525">
        <v>580096865</v>
      </c>
      <c r="E40" s="525">
        <v>40215999</v>
      </c>
      <c r="F40" s="525" t="s">
        <v>299</v>
      </c>
      <c r="G40" s="525" t="s">
        <v>437</v>
      </c>
      <c r="H40" s="526">
        <v>100000</v>
      </c>
      <c r="I40" s="526">
        <v>0</v>
      </c>
      <c r="J40" s="525" t="s">
        <v>438</v>
      </c>
      <c r="K40" s="525" t="s">
        <v>439</v>
      </c>
    </row>
    <row r="41" spans="1:11" x14ac:dyDescent="0.25">
      <c r="A41" s="524">
        <v>1001736169</v>
      </c>
      <c r="B41" s="525" t="s">
        <v>487</v>
      </c>
      <c r="C41" s="525" t="s">
        <v>429</v>
      </c>
      <c r="D41" s="525">
        <v>580051902</v>
      </c>
      <c r="E41" s="525">
        <v>40000402</v>
      </c>
      <c r="F41" s="525" t="s">
        <v>488</v>
      </c>
      <c r="G41" s="525" t="s">
        <v>437</v>
      </c>
      <c r="H41" s="526">
        <v>75000</v>
      </c>
      <c r="I41" s="526">
        <v>0</v>
      </c>
      <c r="J41" s="525" t="s">
        <v>438</v>
      </c>
      <c r="K41" s="525" t="s">
        <v>439</v>
      </c>
    </row>
    <row r="42" spans="1:11" x14ac:dyDescent="0.25">
      <c r="A42" s="524">
        <v>1001736575</v>
      </c>
      <c r="B42" s="525" t="s">
        <v>443</v>
      </c>
      <c r="C42" s="525" t="s">
        <v>422</v>
      </c>
      <c r="D42" s="525">
        <v>580456911</v>
      </c>
      <c r="E42" s="525">
        <v>40272721</v>
      </c>
      <c r="F42" s="525" t="s">
        <v>489</v>
      </c>
      <c r="G42" s="525" t="s">
        <v>437</v>
      </c>
      <c r="H42" s="526">
        <v>100000</v>
      </c>
      <c r="I42" s="526">
        <v>0</v>
      </c>
      <c r="J42" s="525" t="s">
        <v>438</v>
      </c>
      <c r="K42" s="525" t="s">
        <v>439</v>
      </c>
    </row>
    <row r="43" spans="1:11" x14ac:dyDescent="0.25">
      <c r="A43" s="524">
        <v>1001745237</v>
      </c>
      <c r="B43" s="525" t="s">
        <v>386</v>
      </c>
      <c r="C43" s="525" t="s">
        <v>417</v>
      </c>
      <c r="D43" s="525">
        <v>580158830</v>
      </c>
      <c r="E43" s="525">
        <v>40000516</v>
      </c>
      <c r="F43" s="525" t="s">
        <v>490</v>
      </c>
      <c r="G43" s="525" t="s">
        <v>437</v>
      </c>
      <c r="H43" s="526">
        <v>93000</v>
      </c>
      <c r="I43" s="526">
        <v>43081</v>
      </c>
      <c r="J43" s="525" t="s">
        <v>438</v>
      </c>
      <c r="K43" s="525" t="s">
        <v>439</v>
      </c>
    </row>
    <row r="44" spans="1:11" x14ac:dyDescent="0.25">
      <c r="A44" s="524">
        <v>1001745384</v>
      </c>
      <c r="B44" s="525" t="s">
        <v>491</v>
      </c>
      <c r="C44" s="525" t="s">
        <v>417</v>
      </c>
      <c r="D44" s="525">
        <v>500250006</v>
      </c>
      <c r="E44" s="525">
        <v>20000201</v>
      </c>
      <c r="F44" s="525" t="s">
        <v>427</v>
      </c>
      <c r="G44" s="525" t="s">
        <v>437</v>
      </c>
      <c r="H44" s="526">
        <v>70000</v>
      </c>
      <c r="I44" s="526">
        <v>70000</v>
      </c>
      <c r="J44" s="525" t="s">
        <v>438</v>
      </c>
      <c r="K44" s="525" t="s">
        <v>439</v>
      </c>
    </row>
    <row r="45" spans="1:11" x14ac:dyDescent="0.25">
      <c r="A45" s="524">
        <v>1001745388</v>
      </c>
      <c r="B45" s="525" t="s">
        <v>450</v>
      </c>
      <c r="C45" s="525" t="s">
        <v>417</v>
      </c>
      <c r="D45" s="525">
        <v>500284005</v>
      </c>
      <c r="E45" s="525">
        <v>20000248</v>
      </c>
      <c r="F45" s="525" t="s">
        <v>425</v>
      </c>
      <c r="G45" s="525" t="s">
        <v>437</v>
      </c>
      <c r="H45" s="526">
        <v>150000</v>
      </c>
      <c r="I45" s="526">
        <v>70993</v>
      </c>
      <c r="J45" s="525" t="s">
        <v>438</v>
      </c>
      <c r="K45" s="525" t="s">
        <v>439</v>
      </c>
    </row>
    <row r="46" spans="1:11" x14ac:dyDescent="0.25">
      <c r="A46" s="524">
        <v>1001745403</v>
      </c>
      <c r="B46" s="525" t="s">
        <v>390</v>
      </c>
      <c r="C46" s="525" t="s">
        <v>417</v>
      </c>
      <c r="D46" s="525">
        <v>580046860</v>
      </c>
      <c r="E46" s="525">
        <v>40000397</v>
      </c>
      <c r="F46" s="525" t="s">
        <v>492</v>
      </c>
      <c r="G46" s="525" t="s">
        <v>437</v>
      </c>
      <c r="H46" s="526">
        <v>180000</v>
      </c>
      <c r="I46" s="526">
        <v>62879</v>
      </c>
      <c r="J46" s="525" t="s">
        <v>438</v>
      </c>
      <c r="K46" s="525" t="s">
        <v>439</v>
      </c>
    </row>
    <row r="47" spans="1:11" x14ac:dyDescent="0.25">
      <c r="A47" s="524">
        <v>1001745769</v>
      </c>
      <c r="B47" s="525" t="s">
        <v>493</v>
      </c>
      <c r="C47" s="525" t="s">
        <v>417</v>
      </c>
      <c r="D47" s="525">
        <v>580511848</v>
      </c>
      <c r="E47" s="525">
        <v>41372477</v>
      </c>
      <c r="F47" s="525" t="s">
        <v>494</v>
      </c>
      <c r="G47" s="525" t="s">
        <v>437</v>
      </c>
      <c r="H47" s="526">
        <v>150000</v>
      </c>
      <c r="I47" s="526">
        <v>79988</v>
      </c>
      <c r="J47" s="525" t="s">
        <v>438</v>
      </c>
      <c r="K47" s="525" t="s">
        <v>439</v>
      </c>
    </row>
    <row r="48" spans="1:11" x14ac:dyDescent="0.25">
      <c r="A48" s="524">
        <v>1001745788</v>
      </c>
      <c r="B48" s="525" t="s">
        <v>495</v>
      </c>
      <c r="C48" s="525" t="s">
        <v>417</v>
      </c>
      <c r="D48" s="525">
        <v>580010890</v>
      </c>
      <c r="E48" s="525">
        <v>40003459</v>
      </c>
      <c r="F48" s="525" t="s">
        <v>496</v>
      </c>
      <c r="G48" s="525" t="s">
        <v>437</v>
      </c>
      <c r="H48" s="526">
        <v>60000</v>
      </c>
      <c r="I48" s="526">
        <v>41825</v>
      </c>
      <c r="J48" s="525" t="s">
        <v>438</v>
      </c>
      <c r="K48" s="525" t="s">
        <v>439</v>
      </c>
    </row>
    <row r="49" spans="1:11" x14ac:dyDescent="0.25">
      <c r="A49" s="524">
        <v>1001746397</v>
      </c>
      <c r="B49" s="525" t="s">
        <v>497</v>
      </c>
      <c r="C49" s="525" t="s">
        <v>422</v>
      </c>
      <c r="D49" s="525">
        <v>580243590</v>
      </c>
      <c r="E49" s="525">
        <v>40019261</v>
      </c>
      <c r="F49" s="525" t="s">
        <v>498</v>
      </c>
      <c r="G49" s="525" t="s">
        <v>437</v>
      </c>
      <c r="H49" s="526">
        <v>45000</v>
      </c>
      <c r="I49" s="526">
        <v>0</v>
      </c>
      <c r="J49" s="525" t="s">
        <v>438</v>
      </c>
      <c r="K49" s="525" t="s">
        <v>439</v>
      </c>
    </row>
    <row r="50" spans="1:11" x14ac:dyDescent="0.25">
      <c r="A50" s="524">
        <v>1001747296</v>
      </c>
      <c r="B50" s="525" t="s">
        <v>440</v>
      </c>
      <c r="C50" s="525" t="s">
        <v>417</v>
      </c>
      <c r="D50" s="525">
        <v>580080224</v>
      </c>
      <c r="E50" s="525">
        <v>40000442</v>
      </c>
      <c r="F50" s="525" t="s">
        <v>499</v>
      </c>
      <c r="G50" s="525" t="s">
        <v>437</v>
      </c>
      <c r="H50" s="526">
        <v>120000</v>
      </c>
      <c r="I50" s="526">
        <v>51507</v>
      </c>
      <c r="J50" s="525" t="s">
        <v>438</v>
      </c>
      <c r="K50" s="525" t="s">
        <v>439</v>
      </c>
    </row>
    <row r="51" spans="1:11" x14ac:dyDescent="0.25">
      <c r="A51" s="524">
        <v>1001754268</v>
      </c>
      <c r="B51" s="525" t="s">
        <v>500</v>
      </c>
      <c r="C51" s="525" t="s">
        <v>417</v>
      </c>
      <c r="D51" s="525">
        <v>500250006</v>
      </c>
      <c r="E51" s="525">
        <v>20000201</v>
      </c>
      <c r="F51" s="525" t="s">
        <v>427</v>
      </c>
      <c r="G51" s="525" t="s">
        <v>437</v>
      </c>
      <c r="H51" s="526">
        <v>1000000</v>
      </c>
      <c r="I51" s="526">
        <v>1000000</v>
      </c>
      <c r="J51" s="525" t="s">
        <v>438</v>
      </c>
      <c r="K51" s="525" t="s">
        <v>439</v>
      </c>
    </row>
    <row r="52" spans="1:11" x14ac:dyDescent="0.25">
      <c r="A52" s="524">
        <v>1001754270</v>
      </c>
      <c r="B52" s="525" t="s">
        <v>501</v>
      </c>
      <c r="C52" s="525" t="s">
        <v>422</v>
      </c>
      <c r="D52" s="525">
        <v>580216372</v>
      </c>
      <c r="E52" s="525">
        <v>40000184</v>
      </c>
      <c r="F52" s="525" t="s">
        <v>423</v>
      </c>
      <c r="G52" s="525" t="s">
        <v>437</v>
      </c>
      <c r="H52" s="526">
        <v>73110</v>
      </c>
      <c r="I52" s="526">
        <v>0</v>
      </c>
      <c r="J52" s="525" t="s">
        <v>438</v>
      </c>
      <c r="K52" s="525" t="s">
        <v>439</v>
      </c>
    </row>
    <row r="53" spans="1:11" x14ac:dyDescent="0.25">
      <c r="A53" s="524">
        <v>1001754414</v>
      </c>
      <c r="B53" s="525" t="s">
        <v>502</v>
      </c>
      <c r="C53" s="525" t="s">
        <v>417</v>
      </c>
      <c r="D53" s="525">
        <v>515770444</v>
      </c>
      <c r="E53" s="525">
        <v>41968455</v>
      </c>
      <c r="F53" s="525" t="s">
        <v>503</v>
      </c>
      <c r="G53" s="525" t="s">
        <v>437</v>
      </c>
      <c r="H53" s="526">
        <v>300000</v>
      </c>
      <c r="I53" s="526">
        <v>100633</v>
      </c>
      <c r="J53" s="525" t="s">
        <v>438</v>
      </c>
      <c r="K53" s="525" t="s">
        <v>439</v>
      </c>
    </row>
    <row r="54" spans="1:11" x14ac:dyDescent="0.25">
      <c r="A54" s="524">
        <v>1001754489</v>
      </c>
      <c r="B54" s="525" t="s">
        <v>388</v>
      </c>
      <c r="C54" s="525" t="s">
        <v>417</v>
      </c>
      <c r="D54" s="525">
        <v>580537041</v>
      </c>
      <c r="E54" s="525">
        <v>40989613</v>
      </c>
      <c r="F54" s="525" t="s">
        <v>460</v>
      </c>
      <c r="G54" s="525" t="s">
        <v>437</v>
      </c>
      <c r="H54" s="526">
        <v>75000</v>
      </c>
      <c r="I54" s="526">
        <v>59960</v>
      </c>
      <c r="J54" s="525" t="s">
        <v>438</v>
      </c>
      <c r="K54" s="525" t="s">
        <v>439</v>
      </c>
    </row>
    <row r="55" spans="1:11" x14ac:dyDescent="0.25">
      <c r="A55" s="524">
        <v>1001754536</v>
      </c>
      <c r="B55" s="525" t="s">
        <v>504</v>
      </c>
      <c r="C55" s="525" t="s">
        <v>417</v>
      </c>
      <c r="D55" s="525">
        <v>580223899</v>
      </c>
      <c r="E55" s="525">
        <v>40016768</v>
      </c>
      <c r="F55" s="525" t="s">
        <v>505</v>
      </c>
      <c r="G55" s="525" t="s">
        <v>437</v>
      </c>
      <c r="H55" s="526">
        <v>200000</v>
      </c>
      <c r="I55" s="526">
        <v>82230</v>
      </c>
      <c r="J55" s="525" t="s">
        <v>438</v>
      </c>
      <c r="K55" s="525" t="s">
        <v>439</v>
      </c>
    </row>
    <row r="56" spans="1:11" x14ac:dyDescent="0.25">
      <c r="A56" s="524">
        <v>1001767392</v>
      </c>
      <c r="B56" s="525" t="s">
        <v>506</v>
      </c>
      <c r="C56" s="525" t="s">
        <v>417</v>
      </c>
      <c r="D56" s="525">
        <v>580502946</v>
      </c>
      <c r="E56" s="525">
        <v>40465932</v>
      </c>
      <c r="F56" s="525" t="s">
        <v>507</v>
      </c>
      <c r="G56" s="525" t="s">
        <v>437</v>
      </c>
      <c r="H56" s="526">
        <v>1500000</v>
      </c>
      <c r="I56" s="526">
        <v>746386</v>
      </c>
      <c r="J56" s="525" t="s">
        <v>438</v>
      </c>
      <c r="K56" s="525" t="s">
        <v>439</v>
      </c>
    </row>
    <row r="57" spans="1:11" x14ac:dyDescent="0.25">
      <c r="A57" s="524">
        <v>1001774183</v>
      </c>
      <c r="B57" s="525" t="s">
        <v>392</v>
      </c>
      <c r="C57" s="525" t="s">
        <v>417</v>
      </c>
      <c r="D57" s="525">
        <v>580107977</v>
      </c>
      <c r="E57" s="525">
        <v>41484317</v>
      </c>
      <c r="F57" s="525" t="s">
        <v>391</v>
      </c>
      <c r="G57" s="525" t="s">
        <v>437</v>
      </c>
      <c r="H57" s="526">
        <v>100000</v>
      </c>
      <c r="I57" s="526">
        <v>39915</v>
      </c>
      <c r="J57" s="525" t="s">
        <v>438</v>
      </c>
      <c r="K57" s="525" t="s">
        <v>439</v>
      </c>
    </row>
    <row r="58" spans="1:11" x14ac:dyDescent="0.25">
      <c r="A58" s="524">
        <v>1001774185</v>
      </c>
      <c r="B58" s="525" t="s">
        <v>508</v>
      </c>
      <c r="C58" s="525" t="s">
        <v>417</v>
      </c>
      <c r="D58" s="525">
        <v>580107977</v>
      </c>
      <c r="E58" s="525">
        <v>41484317</v>
      </c>
      <c r="F58" s="525" t="s">
        <v>391</v>
      </c>
      <c r="G58" s="525" t="s">
        <v>437</v>
      </c>
      <c r="H58" s="526">
        <v>300000</v>
      </c>
      <c r="I58" s="526">
        <v>72196</v>
      </c>
      <c r="J58" s="525" t="s">
        <v>438</v>
      </c>
      <c r="K58" s="525" t="s">
        <v>439</v>
      </c>
    </row>
    <row r="59" spans="1:11" x14ac:dyDescent="0.25">
      <c r="A59" s="524">
        <v>1001774207</v>
      </c>
      <c r="B59" s="525" t="s">
        <v>440</v>
      </c>
      <c r="C59" s="525" t="s">
        <v>417</v>
      </c>
      <c r="D59" s="525">
        <v>513377457</v>
      </c>
      <c r="E59" s="525">
        <v>40474818</v>
      </c>
      <c r="F59" s="525" t="s">
        <v>509</v>
      </c>
      <c r="G59" s="525" t="s">
        <v>437</v>
      </c>
      <c r="H59" s="526">
        <v>1050000</v>
      </c>
      <c r="I59" s="526">
        <v>197607</v>
      </c>
      <c r="J59" s="525" t="s">
        <v>438</v>
      </c>
      <c r="K59" s="525" t="s">
        <v>439</v>
      </c>
    </row>
    <row r="60" spans="1:11" x14ac:dyDescent="0.25">
      <c r="A60" s="524">
        <v>1001775549</v>
      </c>
      <c r="B60" s="525" t="s">
        <v>510</v>
      </c>
      <c r="C60" s="525" t="s">
        <v>417</v>
      </c>
      <c r="D60" s="525">
        <v>580362747</v>
      </c>
      <c r="E60" s="525">
        <v>40522482</v>
      </c>
      <c r="F60" s="525" t="s">
        <v>511</v>
      </c>
      <c r="G60" s="525" t="s">
        <v>437</v>
      </c>
      <c r="H60" s="526">
        <v>85000</v>
      </c>
      <c r="I60" s="526">
        <v>64355</v>
      </c>
      <c r="J60" s="525" t="s">
        <v>438</v>
      </c>
      <c r="K60" s="525" t="s">
        <v>439</v>
      </c>
    </row>
    <row r="61" spans="1:11" x14ac:dyDescent="0.25">
      <c r="A61" s="524">
        <v>1001775593</v>
      </c>
      <c r="B61" s="525" t="s">
        <v>512</v>
      </c>
      <c r="C61" s="525" t="s">
        <v>417</v>
      </c>
      <c r="D61" s="525">
        <v>580520864</v>
      </c>
      <c r="E61" s="525">
        <v>41375690</v>
      </c>
      <c r="F61" s="525" t="s">
        <v>513</v>
      </c>
      <c r="G61" s="525" t="s">
        <v>437</v>
      </c>
      <c r="H61" s="526">
        <v>200000</v>
      </c>
      <c r="I61" s="526">
        <v>148669</v>
      </c>
      <c r="J61" s="525" t="s">
        <v>438</v>
      </c>
      <c r="K61" s="525" t="s">
        <v>439</v>
      </c>
    </row>
    <row r="62" spans="1:11" x14ac:dyDescent="0.25">
      <c r="A62" s="524">
        <v>1001775716</v>
      </c>
      <c r="B62" s="525" t="s">
        <v>514</v>
      </c>
      <c r="C62" s="525" t="s">
        <v>417</v>
      </c>
      <c r="D62" s="525">
        <v>580525236</v>
      </c>
      <c r="E62" s="525">
        <v>40521896</v>
      </c>
      <c r="F62" s="525" t="s">
        <v>426</v>
      </c>
      <c r="G62" s="525" t="s">
        <v>437</v>
      </c>
      <c r="H62" s="526">
        <v>300000</v>
      </c>
      <c r="I62" s="526">
        <v>108736</v>
      </c>
      <c r="J62" s="525" t="s">
        <v>438</v>
      </c>
      <c r="K62" s="525" t="s">
        <v>439</v>
      </c>
    </row>
    <row r="63" spans="1:11" x14ac:dyDescent="0.25">
      <c r="A63" s="524">
        <v>1001776095</v>
      </c>
      <c r="B63" s="525" t="s">
        <v>515</v>
      </c>
      <c r="C63" s="525" t="s">
        <v>422</v>
      </c>
      <c r="D63" s="525">
        <v>500283007</v>
      </c>
      <c r="E63" s="525">
        <v>20000247</v>
      </c>
      <c r="F63" s="525" t="s">
        <v>424</v>
      </c>
      <c r="G63" s="525" t="s">
        <v>437</v>
      </c>
      <c r="H63" s="526">
        <v>100000</v>
      </c>
      <c r="I63" s="526">
        <v>0</v>
      </c>
      <c r="J63" s="525" t="s">
        <v>438</v>
      </c>
      <c r="K63" s="525" t="s">
        <v>439</v>
      </c>
    </row>
    <row r="64" spans="1:11" x14ac:dyDescent="0.25">
      <c r="A64" s="524">
        <v>1001776206</v>
      </c>
      <c r="B64" s="525" t="s">
        <v>516</v>
      </c>
      <c r="C64" s="525" t="s">
        <v>429</v>
      </c>
      <c r="D64" s="525">
        <v>511068223</v>
      </c>
      <c r="E64" s="525">
        <v>40000035</v>
      </c>
      <c r="F64" s="525" t="s">
        <v>517</v>
      </c>
      <c r="G64" s="525" t="s">
        <v>437</v>
      </c>
      <c r="H64" s="526">
        <v>184500</v>
      </c>
      <c r="I64" s="526">
        <v>0</v>
      </c>
      <c r="J64" s="525" t="s">
        <v>438</v>
      </c>
      <c r="K64" s="525" t="s">
        <v>439</v>
      </c>
    </row>
    <row r="65" spans="1:11" x14ac:dyDescent="0.25">
      <c r="A65" s="524">
        <v>1001776388</v>
      </c>
      <c r="B65" s="525" t="s">
        <v>518</v>
      </c>
      <c r="C65" s="525" t="s">
        <v>417</v>
      </c>
      <c r="D65" s="525">
        <v>580044725</v>
      </c>
      <c r="E65" s="525">
        <v>40214659</v>
      </c>
      <c r="F65" s="525" t="s">
        <v>519</v>
      </c>
      <c r="G65" s="525" t="s">
        <v>437</v>
      </c>
      <c r="H65" s="526">
        <v>110000</v>
      </c>
      <c r="I65" s="526">
        <v>110000</v>
      </c>
      <c r="J65" s="525" t="s">
        <v>438</v>
      </c>
      <c r="K65" s="525" t="s">
        <v>439</v>
      </c>
    </row>
    <row r="66" spans="1:11" x14ac:dyDescent="0.25">
      <c r="A66" s="524">
        <v>1001776418</v>
      </c>
      <c r="B66" s="525" t="s">
        <v>520</v>
      </c>
      <c r="C66" s="525" t="s">
        <v>417</v>
      </c>
      <c r="D66" s="525">
        <v>510673577</v>
      </c>
      <c r="E66" s="525">
        <v>40000272</v>
      </c>
      <c r="F66" s="525" t="s">
        <v>521</v>
      </c>
      <c r="G66" s="525" t="s">
        <v>437</v>
      </c>
      <c r="H66" s="526">
        <v>1100000</v>
      </c>
      <c r="I66" s="526">
        <v>488161</v>
      </c>
      <c r="J66" s="525" t="s">
        <v>438</v>
      </c>
      <c r="K66" s="525" t="s">
        <v>439</v>
      </c>
    </row>
    <row r="67" spans="1:11" x14ac:dyDescent="0.25">
      <c r="A67" s="524">
        <v>1001776468</v>
      </c>
      <c r="B67" s="525" t="s">
        <v>522</v>
      </c>
      <c r="C67" s="525" t="s">
        <v>417</v>
      </c>
      <c r="D67" s="525">
        <v>500261367</v>
      </c>
      <c r="E67" s="525">
        <v>20000208</v>
      </c>
      <c r="F67" s="525" t="s">
        <v>523</v>
      </c>
      <c r="G67" s="525" t="s">
        <v>437</v>
      </c>
      <c r="H67" s="526">
        <v>40000</v>
      </c>
      <c r="I67" s="526">
        <v>40000</v>
      </c>
      <c r="J67" s="525" t="s">
        <v>438</v>
      </c>
      <c r="K67" s="525" t="s">
        <v>439</v>
      </c>
    </row>
    <row r="68" spans="1:11" x14ac:dyDescent="0.25">
      <c r="A68" s="524">
        <v>1001776590</v>
      </c>
      <c r="B68" s="525" t="s">
        <v>397</v>
      </c>
      <c r="C68" s="525" t="s">
        <v>417</v>
      </c>
      <c r="D68" s="525">
        <v>580004729</v>
      </c>
      <c r="E68" s="525">
        <v>40000319</v>
      </c>
      <c r="F68" s="525" t="s">
        <v>524</v>
      </c>
      <c r="G68" s="525" t="s">
        <v>437</v>
      </c>
      <c r="H68" s="526">
        <v>120000</v>
      </c>
      <c r="I68" s="526">
        <v>49832</v>
      </c>
      <c r="J68" s="525" t="s">
        <v>438</v>
      </c>
      <c r="K68" s="525" t="s">
        <v>439</v>
      </c>
    </row>
    <row r="69" spans="1:11" x14ac:dyDescent="0.25">
      <c r="A69" s="524">
        <v>1001776980</v>
      </c>
      <c r="B69" s="525" t="s">
        <v>525</v>
      </c>
      <c r="C69" s="525" t="s">
        <v>417</v>
      </c>
      <c r="D69" s="525">
        <v>580181741</v>
      </c>
      <c r="E69" s="525">
        <v>40000538</v>
      </c>
      <c r="F69" s="525" t="s">
        <v>526</v>
      </c>
      <c r="G69" s="525" t="s">
        <v>437</v>
      </c>
      <c r="H69" s="526">
        <v>300000</v>
      </c>
      <c r="I69" s="526">
        <v>89637</v>
      </c>
      <c r="J69" s="525" t="s">
        <v>438</v>
      </c>
      <c r="K69" s="525" t="s">
        <v>439</v>
      </c>
    </row>
    <row r="70" spans="1:11" x14ac:dyDescent="0.25">
      <c r="A70" s="524">
        <v>1001777077</v>
      </c>
      <c r="B70" s="525" t="s">
        <v>527</v>
      </c>
      <c r="C70" s="525" t="s">
        <v>417</v>
      </c>
      <c r="D70" s="525">
        <v>580282341</v>
      </c>
      <c r="E70" s="525">
        <v>40016795</v>
      </c>
      <c r="F70" s="525" t="s">
        <v>528</v>
      </c>
      <c r="G70" s="525" t="s">
        <v>437</v>
      </c>
      <c r="H70" s="526">
        <v>120000</v>
      </c>
      <c r="I70" s="526">
        <v>58197</v>
      </c>
      <c r="J70" s="525" t="s">
        <v>438</v>
      </c>
      <c r="K70" s="525" t="s">
        <v>439</v>
      </c>
    </row>
    <row r="71" spans="1:11" x14ac:dyDescent="0.25">
      <c r="A71" s="524">
        <v>1001777923</v>
      </c>
      <c r="B71" s="525" t="s">
        <v>529</v>
      </c>
      <c r="C71" s="525" t="s">
        <v>417</v>
      </c>
      <c r="D71" s="525">
        <v>580371045</v>
      </c>
      <c r="E71" s="525">
        <v>40216083</v>
      </c>
      <c r="F71" s="525" t="s">
        <v>428</v>
      </c>
      <c r="G71" s="525" t="s">
        <v>437</v>
      </c>
      <c r="H71" s="526">
        <v>50000</v>
      </c>
      <c r="I71" s="526">
        <v>29268</v>
      </c>
      <c r="J71" s="525" t="s">
        <v>438</v>
      </c>
      <c r="K71" s="525" t="s">
        <v>439</v>
      </c>
    </row>
    <row r="72" spans="1:11" x14ac:dyDescent="0.25">
      <c r="A72" s="524">
        <v>1001778114</v>
      </c>
      <c r="B72" s="525" t="s">
        <v>440</v>
      </c>
      <c r="C72" s="525" t="s">
        <v>417</v>
      </c>
      <c r="D72" s="525">
        <v>580200236</v>
      </c>
      <c r="E72" s="525">
        <v>42213019</v>
      </c>
      <c r="F72" s="525" t="s">
        <v>530</v>
      </c>
      <c r="G72" s="525" t="s">
        <v>437</v>
      </c>
      <c r="H72" s="526">
        <v>165000</v>
      </c>
      <c r="I72" s="526">
        <v>57611</v>
      </c>
      <c r="J72" s="525" t="s">
        <v>438</v>
      </c>
      <c r="K72" s="525" t="s">
        <v>439</v>
      </c>
    </row>
    <row r="73" spans="1:11" x14ac:dyDescent="0.25">
      <c r="A73" s="524">
        <v>1001778148</v>
      </c>
      <c r="B73" s="525" t="s">
        <v>394</v>
      </c>
      <c r="C73" s="525" t="s">
        <v>417</v>
      </c>
      <c r="D73" s="525">
        <v>580310878</v>
      </c>
      <c r="E73" s="525">
        <v>40000230</v>
      </c>
      <c r="F73" s="525" t="s">
        <v>478</v>
      </c>
      <c r="G73" s="525" t="s">
        <v>437</v>
      </c>
      <c r="H73" s="526">
        <v>80000</v>
      </c>
      <c r="I73" s="526">
        <v>65526</v>
      </c>
      <c r="J73" s="525" t="s">
        <v>438</v>
      </c>
      <c r="K73" s="525" t="s">
        <v>439</v>
      </c>
    </row>
    <row r="74" spans="1:11" x14ac:dyDescent="0.25">
      <c r="A74" s="524">
        <v>1001778599</v>
      </c>
      <c r="B74" s="525" t="s">
        <v>531</v>
      </c>
      <c r="C74" s="525" t="s">
        <v>417</v>
      </c>
      <c r="D74" s="525">
        <v>580346138</v>
      </c>
      <c r="E74" s="525">
        <v>40000698</v>
      </c>
      <c r="F74" s="525" t="s">
        <v>532</v>
      </c>
      <c r="G74" s="525" t="s">
        <v>437</v>
      </c>
      <c r="H74" s="526">
        <v>92190</v>
      </c>
      <c r="I74" s="526">
        <v>75756</v>
      </c>
      <c r="J74" s="525" t="s">
        <v>438</v>
      </c>
      <c r="K74" s="525" t="s">
        <v>439</v>
      </c>
    </row>
    <row r="75" spans="1:11" x14ac:dyDescent="0.25">
      <c r="A75" s="524">
        <v>1001778716</v>
      </c>
      <c r="B75" s="525" t="s">
        <v>385</v>
      </c>
      <c r="C75" s="525" t="s">
        <v>417</v>
      </c>
      <c r="D75" s="525">
        <v>580265304</v>
      </c>
      <c r="E75" s="525">
        <v>40000635</v>
      </c>
      <c r="F75" s="525" t="s">
        <v>533</v>
      </c>
      <c r="G75" s="525" t="s">
        <v>437</v>
      </c>
      <c r="H75" s="526">
        <v>31000</v>
      </c>
      <c r="I75" s="526">
        <v>31000</v>
      </c>
      <c r="J75" s="525" t="s">
        <v>438</v>
      </c>
      <c r="K75" s="525" t="s">
        <v>439</v>
      </c>
    </row>
    <row r="76" spans="1:11" x14ac:dyDescent="0.25">
      <c r="A76" s="524">
        <v>1001778778</v>
      </c>
      <c r="B76" s="525" t="s">
        <v>383</v>
      </c>
      <c r="C76" s="525" t="s">
        <v>417</v>
      </c>
      <c r="D76" s="525">
        <v>580299618</v>
      </c>
      <c r="E76" s="525">
        <v>40000660</v>
      </c>
      <c r="F76" s="525" t="s">
        <v>534</v>
      </c>
      <c r="G76" s="525" t="s">
        <v>437</v>
      </c>
      <c r="H76" s="526">
        <v>40000</v>
      </c>
      <c r="I76" s="526">
        <v>40000</v>
      </c>
      <c r="J76" s="525" t="s">
        <v>438</v>
      </c>
      <c r="K76" s="525" t="s">
        <v>439</v>
      </c>
    </row>
    <row r="77" spans="1:11" x14ac:dyDescent="0.25">
      <c r="A77" s="524">
        <v>1001779087</v>
      </c>
      <c r="B77" s="525" t="s">
        <v>535</v>
      </c>
      <c r="C77" s="525" t="s">
        <v>417</v>
      </c>
      <c r="D77" s="525">
        <v>500250006</v>
      </c>
      <c r="E77" s="525">
        <v>20000201</v>
      </c>
      <c r="F77" s="525" t="s">
        <v>427</v>
      </c>
      <c r="G77" s="525" t="s">
        <v>437</v>
      </c>
      <c r="H77" s="526">
        <v>290000</v>
      </c>
      <c r="I77" s="526">
        <v>128165</v>
      </c>
      <c r="J77" s="525" t="s">
        <v>438</v>
      </c>
      <c r="K77" s="525" t="s">
        <v>439</v>
      </c>
    </row>
    <row r="78" spans="1:11" x14ac:dyDescent="0.25">
      <c r="A78" s="524">
        <v>1001779110</v>
      </c>
      <c r="B78" s="525" t="s">
        <v>536</v>
      </c>
      <c r="C78" s="525" t="s">
        <v>417</v>
      </c>
      <c r="D78" s="525">
        <v>500250006</v>
      </c>
      <c r="E78" s="525">
        <v>20000201</v>
      </c>
      <c r="F78" s="525" t="s">
        <v>427</v>
      </c>
      <c r="G78" s="525" t="s">
        <v>437</v>
      </c>
      <c r="H78" s="526">
        <v>180000</v>
      </c>
      <c r="I78" s="526">
        <v>132140</v>
      </c>
      <c r="J78" s="525" t="s">
        <v>438</v>
      </c>
      <c r="K78" s="525" t="s">
        <v>439</v>
      </c>
    </row>
    <row r="79" spans="1:11" x14ac:dyDescent="0.25">
      <c r="A79" s="524">
        <v>1001779113</v>
      </c>
      <c r="B79" s="525" t="s">
        <v>396</v>
      </c>
      <c r="C79" s="525" t="s">
        <v>422</v>
      </c>
      <c r="D79" s="525">
        <v>511034688</v>
      </c>
      <c r="E79" s="525">
        <v>40000284</v>
      </c>
      <c r="F79" s="525" t="s">
        <v>298</v>
      </c>
      <c r="G79" s="525" t="s">
        <v>437</v>
      </c>
      <c r="H79" s="526">
        <v>96750</v>
      </c>
      <c r="I79" s="526">
        <v>0</v>
      </c>
      <c r="J79" s="525" t="s">
        <v>438</v>
      </c>
      <c r="K79" s="525" t="s">
        <v>439</v>
      </c>
    </row>
    <row r="80" spans="1:11" x14ac:dyDescent="0.25">
      <c r="A80" s="524">
        <v>1001779202</v>
      </c>
      <c r="B80" s="525" t="s">
        <v>520</v>
      </c>
      <c r="C80" s="525" t="s">
        <v>417</v>
      </c>
      <c r="D80" s="525">
        <v>580416485</v>
      </c>
      <c r="E80" s="525">
        <v>40216112</v>
      </c>
      <c r="F80" s="525" t="s">
        <v>537</v>
      </c>
      <c r="G80" s="525" t="s">
        <v>437</v>
      </c>
      <c r="H80" s="526">
        <v>250000</v>
      </c>
      <c r="I80" s="526">
        <v>195469</v>
      </c>
      <c r="J80" s="525" t="s">
        <v>438</v>
      </c>
      <c r="K80" s="525" t="s">
        <v>439</v>
      </c>
    </row>
    <row r="81" spans="1:11" x14ac:dyDescent="0.25">
      <c r="A81" s="524">
        <v>1001779203</v>
      </c>
      <c r="B81" s="525" t="s">
        <v>389</v>
      </c>
      <c r="C81" s="525" t="s">
        <v>417</v>
      </c>
      <c r="D81" s="525">
        <v>580416485</v>
      </c>
      <c r="E81" s="525">
        <v>40216112</v>
      </c>
      <c r="F81" s="525" t="s">
        <v>537</v>
      </c>
      <c r="G81" s="525" t="s">
        <v>437</v>
      </c>
      <c r="H81" s="526">
        <v>60000</v>
      </c>
      <c r="I81" s="526">
        <v>60000</v>
      </c>
      <c r="J81" s="525" t="s">
        <v>438</v>
      </c>
      <c r="K81" s="525" t="s">
        <v>439</v>
      </c>
    </row>
    <row r="82" spans="1:11" x14ac:dyDescent="0.25">
      <c r="A82" s="524">
        <v>1001779304</v>
      </c>
      <c r="B82" s="525" t="s">
        <v>538</v>
      </c>
      <c r="C82" s="525" t="s">
        <v>417</v>
      </c>
      <c r="D82" s="525">
        <v>580013860</v>
      </c>
      <c r="E82" s="525">
        <v>40000335</v>
      </c>
      <c r="F82" s="525" t="s">
        <v>292</v>
      </c>
      <c r="G82" s="525" t="s">
        <v>437</v>
      </c>
      <c r="H82" s="526">
        <v>700000</v>
      </c>
      <c r="I82" s="526">
        <v>519213</v>
      </c>
      <c r="J82" s="525" t="s">
        <v>438</v>
      </c>
      <c r="K82" s="525" t="s">
        <v>439</v>
      </c>
    </row>
    <row r="83" spans="1:11" x14ac:dyDescent="0.25">
      <c r="A83" s="524">
        <v>1001779330</v>
      </c>
      <c r="B83" s="525" t="s">
        <v>293</v>
      </c>
      <c r="C83" s="525" t="s">
        <v>417</v>
      </c>
      <c r="D83" s="525">
        <v>580013860</v>
      </c>
      <c r="E83" s="525">
        <v>40000335</v>
      </c>
      <c r="F83" s="525" t="s">
        <v>292</v>
      </c>
      <c r="G83" s="525" t="s">
        <v>437</v>
      </c>
      <c r="H83" s="526">
        <v>180000</v>
      </c>
      <c r="I83" s="526">
        <v>164453</v>
      </c>
      <c r="J83" s="525" t="s">
        <v>438</v>
      </c>
      <c r="K83" s="525" t="s">
        <v>439</v>
      </c>
    </row>
    <row r="84" spans="1:11" x14ac:dyDescent="0.25">
      <c r="A84" s="524">
        <v>1001779722</v>
      </c>
      <c r="B84" s="525" t="s">
        <v>539</v>
      </c>
      <c r="C84" s="525" t="s">
        <v>422</v>
      </c>
      <c r="D84" s="525">
        <v>500243308</v>
      </c>
      <c r="E84" s="525">
        <v>20000192</v>
      </c>
      <c r="F84" s="525" t="s">
        <v>540</v>
      </c>
      <c r="G84" s="525" t="s">
        <v>437</v>
      </c>
      <c r="H84" s="526">
        <v>78000</v>
      </c>
      <c r="I84" s="526">
        <v>0</v>
      </c>
      <c r="J84" s="525" t="s">
        <v>438</v>
      </c>
      <c r="K84" s="525" t="s">
        <v>439</v>
      </c>
    </row>
    <row r="85" spans="1:11" x14ac:dyDescent="0.25">
      <c r="A85" s="524">
        <v>1001779793</v>
      </c>
      <c r="B85" s="525" t="s">
        <v>529</v>
      </c>
      <c r="C85" s="525" t="s">
        <v>417</v>
      </c>
      <c r="D85" s="525">
        <v>580170801</v>
      </c>
      <c r="E85" s="525">
        <v>40000164</v>
      </c>
      <c r="F85" s="525" t="s">
        <v>541</v>
      </c>
      <c r="G85" s="525" t="s">
        <v>437</v>
      </c>
      <c r="H85" s="526">
        <v>900000</v>
      </c>
      <c r="I85" s="526">
        <v>290228</v>
      </c>
      <c r="J85" s="525" t="s">
        <v>438</v>
      </c>
      <c r="K85" s="525" t="s">
        <v>439</v>
      </c>
    </row>
    <row r="86" spans="1:11" x14ac:dyDescent="0.25">
      <c r="A86" s="524">
        <v>1001779796</v>
      </c>
      <c r="B86" s="525" t="s">
        <v>382</v>
      </c>
      <c r="C86" s="525" t="s">
        <v>417</v>
      </c>
      <c r="D86" s="525">
        <v>580170801</v>
      </c>
      <c r="E86" s="525">
        <v>40000164</v>
      </c>
      <c r="F86" s="525" t="s">
        <v>541</v>
      </c>
      <c r="G86" s="525" t="s">
        <v>437</v>
      </c>
      <c r="H86" s="526">
        <v>240000</v>
      </c>
      <c r="I86" s="526">
        <v>142850</v>
      </c>
      <c r="J86" s="525" t="s">
        <v>438</v>
      </c>
      <c r="K86" s="525" t="s">
        <v>439</v>
      </c>
    </row>
    <row r="87" spans="1:11" x14ac:dyDescent="0.25">
      <c r="A87" s="524">
        <v>1001779940</v>
      </c>
      <c r="B87" s="525" t="s">
        <v>296</v>
      </c>
      <c r="C87" s="525" t="s">
        <v>417</v>
      </c>
      <c r="D87" s="525">
        <v>580362747</v>
      </c>
      <c r="E87" s="525">
        <v>40522482</v>
      </c>
      <c r="F87" s="525" t="s">
        <v>511</v>
      </c>
      <c r="G87" s="525" t="s">
        <v>437</v>
      </c>
      <c r="H87" s="526">
        <v>170000</v>
      </c>
      <c r="I87" s="526">
        <v>134434</v>
      </c>
      <c r="J87" s="525" t="s">
        <v>438</v>
      </c>
      <c r="K87" s="525" t="s">
        <v>439</v>
      </c>
    </row>
    <row r="88" spans="1:11" x14ac:dyDescent="0.25">
      <c r="A88" s="524">
        <v>1001813102</v>
      </c>
      <c r="B88" s="525" t="s">
        <v>542</v>
      </c>
      <c r="C88" s="525" t="s">
        <v>422</v>
      </c>
      <c r="D88" s="525">
        <v>510542822</v>
      </c>
      <c r="E88" s="525">
        <v>40000015</v>
      </c>
      <c r="F88" s="525" t="s">
        <v>432</v>
      </c>
      <c r="G88" s="525" t="s">
        <v>437</v>
      </c>
      <c r="H88" s="526">
        <v>200000</v>
      </c>
      <c r="I88" s="526">
        <v>0</v>
      </c>
      <c r="J88" s="525" t="s">
        <v>438</v>
      </c>
      <c r="K88" s="525" t="s">
        <v>439</v>
      </c>
    </row>
    <row r="89" spans="1:11" x14ac:dyDescent="0.25">
      <c r="A89" s="524">
        <v>1001823389</v>
      </c>
      <c r="B89" s="525" t="s">
        <v>543</v>
      </c>
      <c r="C89" s="525" t="s">
        <v>433</v>
      </c>
      <c r="D89" s="525">
        <v>580039329</v>
      </c>
      <c r="E89" s="525">
        <v>40000100</v>
      </c>
      <c r="F89" s="525" t="s">
        <v>479</v>
      </c>
      <c r="G89" s="525" t="s">
        <v>544</v>
      </c>
      <c r="H89" s="526">
        <v>1800000</v>
      </c>
      <c r="I89" s="526">
        <v>0</v>
      </c>
      <c r="J89" s="525" t="s">
        <v>438</v>
      </c>
      <c r="K89" s="525" t="s">
        <v>439</v>
      </c>
    </row>
    <row r="90" spans="1:11" x14ac:dyDescent="0.25">
      <c r="A90" s="524">
        <v>1001823471</v>
      </c>
      <c r="B90" s="525" t="s">
        <v>545</v>
      </c>
      <c r="C90" s="525" t="s">
        <v>433</v>
      </c>
      <c r="D90" s="525">
        <v>510748734</v>
      </c>
      <c r="E90" s="525">
        <v>40000028</v>
      </c>
      <c r="F90" s="525" t="s">
        <v>472</v>
      </c>
      <c r="G90" s="525" t="s">
        <v>544</v>
      </c>
      <c r="H90" s="526">
        <v>1000000</v>
      </c>
      <c r="I90" s="526">
        <v>0</v>
      </c>
      <c r="J90" s="525" t="s">
        <v>438</v>
      </c>
      <c r="K90" s="525" t="s">
        <v>439</v>
      </c>
    </row>
    <row r="91" spans="1:11" x14ac:dyDescent="0.25">
      <c r="A91" s="524">
        <v>1001823621</v>
      </c>
      <c r="B91" s="525" t="s">
        <v>546</v>
      </c>
      <c r="C91" s="525" t="s">
        <v>433</v>
      </c>
      <c r="D91" s="525">
        <v>580411924</v>
      </c>
      <c r="E91" s="525">
        <v>40216111</v>
      </c>
      <c r="F91" s="525" t="s">
        <v>442</v>
      </c>
      <c r="G91" s="525" t="s">
        <v>544</v>
      </c>
      <c r="H91" s="526">
        <v>29000</v>
      </c>
      <c r="I91" s="526">
        <v>0</v>
      </c>
      <c r="J91" s="525" t="s">
        <v>438</v>
      </c>
      <c r="K91" s="525" t="s">
        <v>439</v>
      </c>
    </row>
    <row r="92" spans="1:11" x14ac:dyDescent="0.25">
      <c r="A92" s="524">
        <v>1001823871</v>
      </c>
      <c r="B92" s="525" t="s">
        <v>445</v>
      </c>
      <c r="C92" s="525" t="s">
        <v>433</v>
      </c>
      <c r="D92" s="525">
        <v>580574325</v>
      </c>
      <c r="E92" s="525">
        <v>41375155</v>
      </c>
      <c r="F92" s="525" t="s">
        <v>446</v>
      </c>
      <c r="G92" s="525" t="s">
        <v>544</v>
      </c>
      <c r="H92" s="526">
        <v>120000</v>
      </c>
      <c r="I92" s="526">
        <v>0</v>
      </c>
      <c r="J92" s="525" t="s">
        <v>438</v>
      </c>
      <c r="K92" s="525" t="s">
        <v>439</v>
      </c>
    </row>
    <row r="93" spans="1:11" x14ac:dyDescent="0.25">
      <c r="A93" s="524">
        <v>1001824612</v>
      </c>
      <c r="B93" s="525" t="s">
        <v>547</v>
      </c>
      <c r="C93" s="525" t="s">
        <v>433</v>
      </c>
      <c r="D93" s="525">
        <v>580082824</v>
      </c>
      <c r="E93" s="525">
        <v>40000448</v>
      </c>
      <c r="F93" s="525" t="s">
        <v>419</v>
      </c>
      <c r="G93" s="525" t="s">
        <v>544</v>
      </c>
      <c r="H93" s="526">
        <v>100000</v>
      </c>
      <c r="I93" s="526">
        <v>0</v>
      </c>
      <c r="J93" s="525" t="s">
        <v>438</v>
      </c>
      <c r="K93" s="525" t="s">
        <v>439</v>
      </c>
    </row>
    <row r="94" spans="1:11" x14ac:dyDescent="0.25">
      <c r="A94" s="524">
        <v>1001824684</v>
      </c>
      <c r="B94" s="525" t="s">
        <v>450</v>
      </c>
      <c r="C94" s="525" t="s">
        <v>429</v>
      </c>
      <c r="D94" s="525">
        <v>500269006</v>
      </c>
      <c r="E94" s="525">
        <v>20000227</v>
      </c>
      <c r="F94" s="525" t="s">
        <v>451</v>
      </c>
      <c r="G94" s="525" t="s">
        <v>544</v>
      </c>
      <c r="H94" s="526">
        <v>50000</v>
      </c>
      <c r="I94" s="526">
        <v>0</v>
      </c>
      <c r="J94" s="525" t="s">
        <v>438</v>
      </c>
      <c r="K94" s="525" t="s">
        <v>439</v>
      </c>
    </row>
    <row r="95" spans="1:11" x14ac:dyDescent="0.25">
      <c r="A95" s="524">
        <v>1001824760</v>
      </c>
      <c r="B95" s="525" t="s">
        <v>548</v>
      </c>
      <c r="C95" s="525" t="s">
        <v>429</v>
      </c>
      <c r="D95" s="525">
        <v>580100212</v>
      </c>
      <c r="E95" s="525">
        <v>40000459</v>
      </c>
      <c r="F95" s="525" t="s">
        <v>454</v>
      </c>
      <c r="G95" s="525" t="s">
        <v>544</v>
      </c>
      <c r="H95" s="526">
        <v>3000000</v>
      </c>
      <c r="I95" s="526">
        <v>0</v>
      </c>
      <c r="J95" s="525" t="s">
        <v>438</v>
      </c>
      <c r="K95" s="525" t="s">
        <v>439</v>
      </c>
    </row>
    <row r="96" spans="1:11" x14ac:dyDescent="0.25">
      <c r="A96" s="524">
        <v>1001824773</v>
      </c>
      <c r="B96" s="525" t="s">
        <v>549</v>
      </c>
      <c r="C96" s="525" t="s">
        <v>429</v>
      </c>
      <c r="D96" s="525">
        <v>580022077</v>
      </c>
      <c r="E96" s="525">
        <v>40000075</v>
      </c>
      <c r="F96" s="525" t="s">
        <v>444</v>
      </c>
      <c r="G96" s="525" t="s">
        <v>544</v>
      </c>
      <c r="H96" s="526">
        <v>187500</v>
      </c>
      <c r="I96" s="526">
        <v>0</v>
      </c>
      <c r="J96" s="525" t="s">
        <v>438</v>
      </c>
      <c r="K96" s="525" t="s">
        <v>439</v>
      </c>
    </row>
    <row r="97" spans="1:11" x14ac:dyDescent="0.25">
      <c r="A97" s="524">
        <v>1001825303</v>
      </c>
      <c r="B97" s="525" t="s">
        <v>550</v>
      </c>
      <c r="C97" s="525" t="s">
        <v>429</v>
      </c>
      <c r="D97" s="525">
        <v>580476968</v>
      </c>
      <c r="E97" s="525">
        <v>40365425</v>
      </c>
      <c r="F97" s="525" t="s">
        <v>455</v>
      </c>
      <c r="G97" s="525" t="s">
        <v>544</v>
      </c>
      <c r="H97" s="526">
        <v>180000</v>
      </c>
      <c r="I97" s="526">
        <v>0</v>
      </c>
      <c r="J97" s="525" t="s">
        <v>438</v>
      </c>
      <c r="K97" s="525" t="s">
        <v>439</v>
      </c>
    </row>
    <row r="98" spans="1:11" x14ac:dyDescent="0.25">
      <c r="A98" s="524">
        <v>1001825304</v>
      </c>
      <c r="B98" s="525" t="s">
        <v>551</v>
      </c>
      <c r="C98" s="525" t="s">
        <v>429</v>
      </c>
      <c r="D98" s="525">
        <v>580476968</v>
      </c>
      <c r="E98" s="525">
        <v>40365425</v>
      </c>
      <c r="F98" s="525" t="s">
        <v>455</v>
      </c>
      <c r="G98" s="525" t="s">
        <v>544</v>
      </c>
      <c r="H98" s="526">
        <v>100000</v>
      </c>
      <c r="I98" s="526">
        <v>0</v>
      </c>
      <c r="J98" s="525" t="s">
        <v>438</v>
      </c>
      <c r="K98" s="525" t="s">
        <v>439</v>
      </c>
    </row>
    <row r="99" spans="1:11" x14ac:dyDescent="0.25">
      <c r="A99" s="524">
        <v>1001825311</v>
      </c>
      <c r="B99" s="525" t="s">
        <v>552</v>
      </c>
      <c r="C99" s="525" t="s">
        <v>429</v>
      </c>
      <c r="D99" s="525">
        <v>580076842</v>
      </c>
      <c r="E99" s="525">
        <v>40000437</v>
      </c>
      <c r="F99" s="525" t="s">
        <v>452</v>
      </c>
      <c r="G99" s="525" t="s">
        <v>544</v>
      </c>
      <c r="H99" s="526">
        <v>100000</v>
      </c>
      <c r="I99" s="526">
        <v>0</v>
      </c>
      <c r="J99" s="525" t="s">
        <v>438</v>
      </c>
      <c r="K99" s="525" t="s">
        <v>439</v>
      </c>
    </row>
    <row r="100" spans="1:11" x14ac:dyDescent="0.25">
      <c r="A100" s="524">
        <v>1001825317</v>
      </c>
      <c r="B100" s="525" t="s">
        <v>553</v>
      </c>
      <c r="C100" s="525" t="s">
        <v>429</v>
      </c>
      <c r="D100" s="525">
        <v>580396307</v>
      </c>
      <c r="E100" s="525">
        <v>40216100</v>
      </c>
      <c r="F100" s="525" t="s">
        <v>458</v>
      </c>
      <c r="G100" s="525" t="s">
        <v>544</v>
      </c>
      <c r="H100" s="526">
        <v>50000</v>
      </c>
      <c r="I100" s="526">
        <v>0</v>
      </c>
      <c r="J100" s="525" t="s">
        <v>438</v>
      </c>
      <c r="K100" s="525" t="s">
        <v>439</v>
      </c>
    </row>
    <row r="101" spans="1:11" x14ac:dyDescent="0.25">
      <c r="A101" s="524">
        <v>1001825363</v>
      </c>
      <c r="B101" s="525" t="s">
        <v>554</v>
      </c>
      <c r="C101" s="525" t="s">
        <v>429</v>
      </c>
      <c r="D101" s="525">
        <v>580370773</v>
      </c>
      <c r="E101" s="525">
        <v>40002886</v>
      </c>
      <c r="F101" s="525" t="s">
        <v>462</v>
      </c>
      <c r="G101" s="525" t="s">
        <v>544</v>
      </c>
      <c r="H101" s="526">
        <v>80000</v>
      </c>
      <c r="I101" s="526">
        <v>0</v>
      </c>
      <c r="J101" s="525" t="s">
        <v>438</v>
      </c>
      <c r="K101" s="525" t="s">
        <v>439</v>
      </c>
    </row>
    <row r="102" spans="1:11" x14ac:dyDescent="0.25">
      <c r="A102" s="524">
        <v>1001825400</v>
      </c>
      <c r="B102" s="525" t="s">
        <v>555</v>
      </c>
      <c r="C102" s="525" t="s">
        <v>420</v>
      </c>
      <c r="D102" s="525">
        <v>580243590</v>
      </c>
      <c r="E102" s="525">
        <v>40019261</v>
      </c>
      <c r="F102" s="525" t="s">
        <v>498</v>
      </c>
      <c r="G102" s="525" t="s">
        <v>544</v>
      </c>
      <c r="H102" s="526">
        <v>45000</v>
      </c>
      <c r="I102" s="526">
        <v>0</v>
      </c>
      <c r="J102" s="525" t="s">
        <v>438</v>
      </c>
      <c r="K102" s="525" t="s">
        <v>439</v>
      </c>
    </row>
    <row r="103" spans="1:11" x14ac:dyDescent="0.25">
      <c r="A103" s="524">
        <v>1001825569</v>
      </c>
      <c r="B103" s="525" t="s">
        <v>475</v>
      </c>
      <c r="C103" s="525" t="s">
        <v>433</v>
      </c>
      <c r="D103" s="525">
        <v>580149698</v>
      </c>
      <c r="E103" s="525">
        <v>40000509</v>
      </c>
      <c r="F103" s="525" t="s">
        <v>476</v>
      </c>
      <c r="G103" s="525" t="s">
        <v>544</v>
      </c>
      <c r="H103" s="526">
        <v>250000</v>
      </c>
      <c r="I103" s="526">
        <v>0</v>
      </c>
      <c r="J103" s="525" t="s">
        <v>438</v>
      </c>
      <c r="K103" s="525" t="s">
        <v>439</v>
      </c>
    </row>
    <row r="104" spans="1:11" x14ac:dyDescent="0.25">
      <c r="A104" s="524">
        <v>1001826021</v>
      </c>
      <c r="B104" s="525" t="s">
        <v>556</v>
      </c>
      <c r="C104" s="525" t="s">
        <v>429</v>
      </c>
      <c r="D104" s="525">
        <v>580392280</v>
      </c>
      <c r="E104" s="525">
        <v>40309074</v>
      </c>
      <c r="F104" s="525" t="s">
        <v>418</v>
      </c>
      <c r="G104" s="525" t="s">
        <v>544</v>
      </c>
      <c r="H104" s="526">
        <v>30000</v>
      </c>
      <c r="I104" s="526">
        <v>0</v>
      </c>
      <c r="J104" s="525" t="s">
        <v>438</v>
      </c>
      <c r="K104" s="525" t="s">
        <v>439</v>
      </c>
    </row>
    <row r="105" spans="1:11" x14ac:dyDescent="0.25">
      <c r="A105" s="524">
        <v>1001826405</v>
      </c>
      <c r="B105" s="525" t="s">
        <v>557</v>
      </c>
      <c r="C105" s="525" t="s">
        <v>433</v>
      </c>
      <c r="D105" s="525">
        <v>580292639</v>
      </c>
      <c r="E105" s="525">
        <v>40000215</v>
      </c>
      <c r="F105" s="525" t="s">
        <v>486</v>
      </c>
      <c r="G105" s="525" t="s">
        <v>544</v>
      </c>
      <c r="H105" s="526">
        <v>140000</v>
      </c>
      <c r="I105" s="526">
        <v>0</v>
      </c>
      <c r="J105" s="525" t="s">
        <v>438</v>
      </c>
      <c r="K105" s="525" t="s">
        <v>439</v>
      </c>
    </row>
    <row r="106" spans="1:11" x14ac:dyDescent="0.25">
      <c r="A106" s="524">
        <v>1001826463</v>
      </c>
      <c r="B106" s="525" t="s">
        <v>558</v>
      </c>
      <c r="C106" s="525" t="s">
        <v>433</v>
      </c>
      <c r="D106" s="525">
        <v>580052421</v>
      </c>
      <c r="E106" s="525">
        <v>40000404</v>
      </c>
      <c r="F106" s="525" t="s">
        <v>482</v>
      </c>
      <c r="G106" s="525" t="s">
        <v>544</v>
      </c>
      <c r="H106" s="526">
        <v>165000</v>
      </c>
      <c r="I106" s="526">
        <v>0</v>
      </c>
      <c r="J106" s="525" t="s">
        <v>438</v>
      </c>
      <c r="K106" s="525" t="s">
        <v>439</v>
      </c>
    </row>
    <row r="107" spans="1:11" x14ac:dyDescent="0.25">
      <c r="A107" s="524">
        <v>1001826531</v>
      </c>
      <c r="B107" s="525" t="s">
        <v>559</v>
      </c>
      <c r="C107" s="525" t="s">
        <v>433</v>
      </c>
      <c r="D107" s="525">
        <v>580241610</v>
      </c>
      <c r="E107" s="525">
        <v>40216003</v>
      </c>
      <c r="F107" s="525" t="s">
        <v>466</v>
      </c>
      <c r="G107" s="525" t="s">
        <v>544</v>
      </c>
      <c r="H107" s="526">
        <v>75000</v>
      </c>
      <c r="I107" s="526">
        <v>0</v>
      </c>
      <c r="J107" s="525" t="s">
        <v>438</v>
      </c>
      <c r="K107" s="525" t="s">
        <v>439</v>
      </c>
    </row>
    <row r="108" spans="1:11" x14ac:dyDescent="0.25">
      <c r="A108" s="524">
        <v>1001828070</v>
      </c>
      <c r="B108" s="525" t="s">
        <v>560</v>
      </c>
      <c r="C108" s="525" t="s">
        <v>429</v>
      </c>
      <c r="D108" s="525">
        <v>580080224</v>
      </c>
      <c r="E108" s="525">
        <v>40000442</v>
      </c>
      <c r="F108" s="525" t="s">
        <v>499</v>
      </c>
      <c r="G108" s="525" t="s">
        <v>544</v>
      </c>
      <c r="H108" s="526">
        <v>85000</v>
      </c>
      <c r="I108" s="526">
        <v>0</v>
      </c>
      <c r="J108" s="525" t="s">
        <v>438</v>
      </c>
      <c r="K108" s="525" t="s">
        <v>439</v>
      </c>
    </row>
    <row r="109" spans="1:11" x14ac:dyDescent="0.25">
      <c r="A109" s="524">
        <v>1001828242</v>
      </c>
      <c r="B109" s="525" t="s">
        <v>561</v>
      </c>
      <c r="C109" s="525" t="s">
        <v>433</v>
      </c>
      <c r="D109" s="525">
        <v>590000659</v>
      </c>
      <c r="E109" s="525">
        <v>40000712</v>
      </c>
      <c r="F109" s="525" t="s">
        <v>449</v>
      </c>
      <c r="G109" s="525" t="s">
        <v>544</v>
      </c>
      <c r="H109" s="526">
        <v>300000</v>
      </c>
      <c r="I109" s="526">
        <v>0</v>
      </c>
      <c r="J109" s="525" t="s">
        <v>438</v>
      </c>
      <c r="K109" s="525" t="s">
        <v>439</v>
      </c>
    </row>
    <row r="110" spans="1:11" x14ac:dyDescent="0.25">
      <c r="A110" s="524">
        <v>1001829536</v>
      </c>
      <c r="B110" s="525" t="s">
        <v>562</v>
      </c>
      <c r="C110" s="525" t="s">
        <v>429</v>
      </c>
      <c r="D110" s="525">
        <v>580511848</v>
      </c>
      <c r="E110" s="525">
        <v>41372477</v>
      </c>
      <c r="F110" s="525" t="s">
        <v>494</v>
      </c>
      <c r="G110" s="525" t="s">
        <v>544</v>
      </c>
      <c r="H110" s="526">
        <v>250000</v>
      </c>
      <c r="I110" s="526">
        <v>0</v>
      </c>
      <c r="J110" s="525" t="s">
        <v>438</v>
      </c>
      <c r="K110" s="525" t="s">
        <v>439</v>
      </c>
    </row>
    <row r="111" spans="1:11" x14ac:dyDescent="0.25">
      <c r="A111" s="524">
        <v>1001829692</v>
      </c>
      <c r="B111" s="525" t="s">
        <v>563</v>
      </c>
      <c r="C111" s="525" t="s">
        <v>420</v>
      </c>
      <c r="D111" s="525">
        <v>500287008</v>
      </c>
      <c r="E111" s="525">
        <v>20000251</v>
      </c>
      <c r="F111" s="525" t="s">
        <v>431</v>
      </c>
      <c r="G111" s="525" t="s">
        <v>544</v>
      </c>
      <c r="H111" s="526">
        <v>200000</v>
      </c>
      <c r="I111" s="526">
        <v>0</v>
      </c>
      <c r="J111" s="525" t="s">
        <v>438</v>
      </c>
      <c r="K111" s="525" t="s">
        <v>439</v>
      </c>
    </row>
    <row r="112" spans="1:11" x14ac:dyDescent="0.25">
      <c r="A112" s="524">
        <v>1001830002</v>
      </c>
      <c r="B112" s="525" t="s">
        <v>564</v>
      </c>
      <c r="C112" s="525" t="s">
        <v>433</v>
      </c>
      <c r="D112" s="525">
        <v>580232239</v>
      </c>
      <c r="E112" s="525">
        <v>40000590</v>
      </c>
      <c r="F112" s="525" t="s">
        <v>565</v>
      </c>
      <c r="G112" s="525" t="s">
        <v>544</v>
      </c>
      <c r="H112" s="526">
        <v>100000</v>
      </c>
      <c r="I112" s="526">
        <v>0</v>
      </c>
      <c r="J112" s="525" t="s">
        <v>438</v>
      </c>
      <c r="K112" s="525" t="s">
        <v>439</v>
      </c>
    </row>
    <row r="113" spans="1:11" x14ac:dyDescent="0.25">
      <c r="A113" s="524">
        <v>1001830850</v>
      </c>
      <c r="B113" s="525" t="s">
        <v>566</v>
      </c>
      <c r="C113" s="525" t="s">
        <v>420</v>
      </c>
      <c r="D113" s="525">
        <v>580035236</v>
      </c>
      <c r="E113" s="525">
        <v>40015651</v>
      </c>
      <c r="F113" s="525" t="s">
        <v>567</v>
      </c>
      <c r="G113" s="525" t="s">
        <v>544</v>
      </c>
      <c r="H113" s="526">
        <v>250000</v>
      </c>
      <c r="I113" s="526">
        <v>0</v>
      </c>
      <c r="J113" s="525" t="s">
        <v>438</v>
      </c>
      <c r="K113" s="525" t="s">
        <v>439</v>
      </c>
    </row>
    <row r="114" spans="1:11" x14ac:dyDescent="0.25">
      <c r="A114" s="524">
        <v>1001831771</v>
      </c>
      <c r="B114" s="525" t="s">
        <v>568</v>
      </c>
      <c r="C114" s="525" t="s">
        <v>433</v>
      </c>
      <c r="D114" s="525">
        <v>580073575</v>
      </c>
      <c r="E114" s="525">
        <v>40000429</v>
      </c>
      <c r="F114" s="525" t="s">
        <v>294</v>
      </c>
      <c r="G114" s="525" t="s">
        <v>544</v>
      </c>
      <c r="H114" s="526">
        <v>300000</v>
      </c>
      <c r="I114" s="526">
        <v>0</v>
      </c>
      <c r="J114" s="525" t="s">
        <v>438</v>
      </c>
      <c r="K114" s="525" t="s">
        <v>439</v>
      </c>
    </row>
    <row r="115" spans="1:11" x14ac:dyDescent="0.25">
      <c r="A115" s="524">
        <v>1001834115</v>
      </c>
      <c r="B115" s="525" t="s">
        <v>569</v>
      </c>
      <c r="C115" s="525" t="s">
        <v>433</v>
      </c>
      <c r="D115" s="525">
        <v>580004729</v>
      </c>
      <c r="E115" s="525">
        <v>40000319</v>
      </c>
      <c r="F115" s="525" t="s">
        <v>524</v>
      </c>
      <c r="G115" s="525" t="s">
        <v>544</v>
      </c>
      <c r="H115" s="526">
        <v>120000</v>
      </c>
      <c r="I115" s="526">
        <v>0</v>
      </c>
      <c r="J115" s="525" t="s">
        <v>438</v>
      </c>
      <c r="K115" s="525" t="s">
        <v>439</v>
      </c>
    </row>
    <row r="116" spans="1:11" x14ac:dyDescent="0.25">
      <c r="A116" s="524">
        <v>1001834145</v>
      </c>
      <c r="B116" s="525" t="s">
        <v>439</v>
      </c>
      <c r="C116" s="525" t="s">
        <v>429</v>
      </c>
      <c r="D116" s="525">
        <v>580525236</v>
      </c>
      <c r="E116" s="525">
        <v>40521896</v>
      </c>
      <c r="F116" s="525" t="s">
        <v>426</v>
      </c>
      <c r="G116" s="525" t="s">
        <v>544</v>
      </c>
      <c r="H116" s="526">
        <v>400000</v>
      </c>
      <c r="I116" s="526">
        <v>0</v>
      </c>
      <c r="J116" s="525" t="s">
        <v>438</v>
      </c>
      <c r="K116" s="525" t="s">
        <v>439</v>
      </c>
    </row>
    <row r="117" spans="1:11" x14ac:dyDescent="0.25">
      <c r="A117" s="524">
        <v>1001834183</v>
      </c>
      <c r="B117" s="525" t="s">
        <v>440</v>
      </c>
      <c r="C117" s="525" t="s">
        <v>433</v>
      </c>
      <c r="D117" s="525">
        <v>580200236</v>
      </c>
      <c r="E117" s="525">
        <v>42213019</v>
      </c>
      <c r="F117" s="525" t="s">
        <v>530</v>
      </c>
      <c r="G117" s="525" t="s">
        <v>544</v>
      </c>
      <c r="H117" s="526">
        <v>165000</v>
      </c>
      <c r="I117" s="526">
        <v>0</v>
      </c>
      <c r="J117" s="525" t="s">
        <v>438</v>
      </c>
      <c r="K117" s="525" t="s">
        <v>439</v>
      </c>
    </row>
    <row r="118" spans="1:11" x14ac:dyDescent="0.25">
      <c r="A118" s="524">
        <v>1001835310</v>
      </c>
      <c r="B118" s="525" t="s">
        <v>570</v>
      </c>
      <c r="C118" s="525" t="s">
        <v>433</v>
      </c>
      <c r="D118" s="525">
        <v>500284005</v>
      </c>
      <c r="E118" s="525">
        <v>20000248</v>
      </c>
      <c r="F118" s="525" t="s">
        <v>425</v>
      </c>
      <c r="G118" s="525" t="s">
        <v>544</v>
      </c>
      <c r="H118" s="526">
        <v>150000</v>
      </c>
      <c r="I118" s="526">
        <v>0</v>
      </c>
      <c r="J118" s="525" t="s">
        <v>438</v>
      </c>
      <c r="K118" s="525" t="s">
        <v>439</v>
      </c>
    </row>
    <row r="119" spans="1:11" x14ac:dyDescent="0.25">
      <c r="A119" s="524">
        <v>1001835490</v>
      </c>
      <c r="B119" s="525" t="s">
        <v>440</v>
      </c>
      <c r="C119" s="525" t="s">
        <v>429</v>
      </c>
      <c r="D119" s="525">
        <v>513377457</v>
      </c>
      <c r="E119" s="525">
        <v>40474818</v>
      </c>
      <c r="F119" s="525" t="s">
        <v>509</v>
      </c>
      <c r="G119" s="525" t="s">
        <v>544</v>
      </c>
      <c r="H119" s="526">
        <v>1050000</v>
      </c>
      <c r="I119" s="526">
        <v>0</v>
      </c>
      <c r="J119" s="525" t="s">
        <v>438</v>
      </c>
      <c r="K119" s="525" t="s">
        <v>439</v>
      </c>
    </row>
    <row r="120" spans="1:11" x14ac:dyDescent="0.25">
      <c r="A120" s="524">
        <v>1001835843</v>
      </c>
      <c r="B120" s="525" t="s">
        <v>571</v>
      </c>
      <c r="C120" s="525" t="s">
        <v>429</v>
      </c>
      <c r="D120" s="525">
        <v>580107977</v>
      </c>
      <c r="E120" s="525">
        <v>41484317</v>
      </c>
      <c r="F120" s="525" t="s">
        <v>391</v>
      </c>
      <c r="G120" s="525" t="s">
        <v>544</v>
      </c>
      <c r="H120" s="526">
        <v>500000</v>
      </c>
      <c r="I120" s="526">
        <v>0</v>
      </c>
      <c r="J120" s="525" t="s">
        <v>438</v>
      </c>
      <c r="K120" s="525" t="s">
        <v>439</v>
      </c>
    </row>
    <row r="121" spans="1:11" x14ac:dyDescent="0.25">
      <c r="A121" s="524">
        <v>1001835845</v>
      </c>
      <c r="B121" s="525" t="s">
        <v>572</v>
      </c>
      <c r="C121" s="525" t="s">
        <v>429</v>
      </c>
      <c r="D121" s="525">
        <v>580107977</v>
      </c>
      <c r="E121" s="525">
        <v>41484317</v>
      </c>
      <c r="F121" s="525" t="s">
        <v>391</v>
      </c>
      <c r="G121" s="525" t="s">
        <v>544</v>
      </c>
      <c r="H121" s="526">
        <v>250000</v>
      </c>
      <c r="I121" s="526">
        <v>0</v>
      </c>
      <c r="J121" s="525" t="s">
        <v>438</v>
      </c>
      <c r="K121" s="525" t="s">
        <v>439</v>
      </c>
    </row>
    <row r="122" spans="1:11" x14ac:dyDescent="0.25">
      <c r="A122" s="524">
        <v>1001835906</v>
      </c>
      <c r="B122" s="525" t="s">
        <v>447</v>
      </c>
      <c r="C122" s="525" t="s">
        <v>433</v>
      </c>
      <c r="D122" s="525">
        <v>580103026</v>
      </c>
      <c r="E122" s="525">
        <v>40000134</v>
      </c>
      <c r="F122" s="525" t="s">
        <v>297</v>
      </c>
      <c r="G122" s="525" t="s">
        <v>544</v>
      </c>
      <c r="H122" s="526">
        <v>250000</v>
      </c>
      <c r="I122" s="526">
        <v>0</v>
      </c>
      <c r="J122" s="525" t="s">
        <v>438</v>
      </c>
      <c r="K122" s="525" t="s">
        <v>439</v>
      </c>
    </row>
    <row r="123" spans="1:11" x14ac:dyDescent="0.25">
      <c r="A123" s="524">
        <v>1001835908</v>
      </c>
      <c r="B123" s="525" t="s">
        <v>573</v>
      </c>
      <c r="C123" s="525" t="s">
        <v>429</v>
      </c>
      <c r="D123" s="525">
        <v>580103026</v>
      </c>
      <c r="E123" s="525">
        <v>40000134</v>
      </c>
      <c r="F123" s="525" t="s">
        <v>297</v>
      </c>
      <c r="G123" s="525" t="s">
        <v>544</v>
      </c>
      <c r="H123" s="526">
        <v>60000</v>
      </c>
      <c r="I123" s="526">
        <v>0</v>
      </c>
      <c r="J123" s="525" t="s">
        <v>438</v>
      </c>
      <c r="K123" s="525" t="s">
        <v>439</v>
      </c>
    </row>
    <row r="124" spans="1:11" x14ac:dyDescent="0.25">
      <c r="A124" s="524">
        <v>1001836243</v>
      </c>
      <c r="B124" s="525" t="s">
        <v>531</v>
      </c>
      <c r="C124" s="525" t="s">
        <v>433</v>
      </c>
      <c r="D124" s="525">
        <v>580346138</v>
      </c>
      <c r="E124" s="525">
        <v>40000698</v>
      </c>
      <c r="F124" s="525" t="s">
        <v>532</v>
      </c>
      <c r="G124" s="525" t="s">
        <v>544</v>
      </c>
      <c r="H124" s="526">
        <v>162000</v>
      </c>
      <c r="I124" s="526">
        <v>0</v>
      </c>
      <c r="J124" s="525" t="s">
        <v>438</v>
      </c>
      <c r="K124" s="525" t="s">
        <v>439</v>
      </c>
    </row>
    <row r="125" spans="1:11" x14ac:dyDescent="0.25">
      <c r="A125" s="524">
        <v>1001836720</v>
      </c>
      <c r="B125" s="525" t="s">
        <v>574</v>
      </c>
      <c r="C125" s="525" t="s">
        <v>575</v>
      </c>
      <c r="D125" s="525">
        <v>500250006</v>
      </c>
      <c r="E125" s="525">
        <v>20000201</v>
      </c>
      <c r="F125" s="525" t="s">
        <v>427</v>
      </c>
      <c r="G125" s="525" t="s">
        <v>544</v>
      </c>
      <c r="H125" s="526">
        <v>95000</v>
      </c>
      <c r="I125" s="526">
        <v>0</v>
      </c>
      <c r="J125" s="525" t="s">
        <v>438</v>
      </c>
      <c r="K125" s="525" t="s">
        <v>439</v>
      </c>
    </row>
    <row r="126" spans="1:11" x14ac:dyDescent="0.25">
      <c r="A126" s="524">
        <v>1001836768</v>
      </c>
      <c r="B126" s="525" t="s">
        <v>576</v>
      </c>
      <c r="C126" s="525" t="s">
        <v>433</v>
      </c>
      <c r="D126" s="525">
        <v>500261367</v>
      </c>
      <c r="E126" s="525">
        <v>20000208</v>
      </c>
      <c r="F126" s="525" t="s">
        <v>523</v>
      </c>
      <c r="G126" s="525" t="s">
        <v>544</v>
      </c>
      <c r="H126" s="526">
        <v>40000</v>
      </c>
      <c r="I126" s="526">
        <v>0</v>
      </c>
      <c r="J126" s="525" t="s">
        <v>438</v>
      </c>
      <c r="K126" s="525" t="s">
        <v>439</v>
      </c>
    </row>
    <row r="127" spans="1:11" x14ac:dyDescent="0.25">
      <c r="A127" s="524">
        <v>1001836921</v>
      </c>
      <c r="B127" s="525" t="s">
        <v>577</v>
      </c>
      <c r="C127" s="525" t="s">
        <v>575</v>
      </c>
      <c r="D127" s="525">
        <v>500250006</v>
      </c>
      <c r="E127" s="525">
        <v>20000201</v>
      </c>
      <c r="F127" s="525" t="s">
        <v>427</v>
      </c>
      <c r="G127" s="525" t="s">
        <v>544</v>
      </c>
      <c r="H127" s="526">
        <v>180000</v>
      </c>
      <c r="I127" s="526">
        <v>0</v>
      </c>
      <c r="J127" s="525" t="s">
        <v>438</v>
      </c>
      <c r="K127" s="525" t="s">
        <v>439</v>
      </c>
    </row>
    <row r="128" spans="1:11" x14ac:dyDescent="0.25">
      <c r="A128" s="524">
        <v>1001837042</v>
      </c>
      <c r="B128" s="525" t="s">
        <v>578</v>
      </c>
      <c r="C128" s="525" t="s">
        <v>575</v>
      </c>
      <c r="D128" s="525">
        <v>500250006</v>
      </c>
      <c r="E128" s="525">
        <v>20000201</v>
      </c>
      <c r="F128" s="525" t="s">
        <v>427</v>
      </c>
      <c r="G128" s="525" t="s">
        <v>544</v>
      </c>
      <c r="H128" s="526">
        <v>1500000</v>
      </c>
      <c r="I128" s="526">
        <v>0</v>
      </c>
      <c r="J128" s="525" t="s">
        <v>438</v>
      </c>
      <c r="K128" s="525" t="s">
        <v>439</v>
      </c>
    </row>
    <row r="129" spans="1:11" x14ac:dyDescent="0.25">
      <c r="A129" s="524">
        <v>1001837427</v>
      </c>
      <c r="B129" s="525" t="s">
        <v>434</v>
      </c>
      <c r="C129" s="525" t="s">
        <v>429</v>
      </c>
      <c r="D129" s="525">
        <v>580158830</v>
      </c>
      <c r="E129" s="525">
        <v>40000516</v>
      </c>
      <c r="F129" s="525" t="s">
        <v>490</v>
      </c>
      <c r="G129" s="525" t="s">
        <v>544</v>
      </c>
      <c r="H129" s="526">
        <v>90000</v>
      </c>
      <c r="I129" s="526">
        <v>0</v>
      </c>
      <c r="J129" s="525" t="s">
        <v>438</v>
      </c>
      <c r="K129" s="525" t="s">
        <v>439</v>
      </c>
    </row>
    <row r="130" spans="1:11" x14ac:dyDescent="0.25">
      <c r="A130" s="524">
        <v>1001837451</v>
      </c>
      <c r="B130" s="525" t="s">
        <v>579</v>
      </c>
      <c r="C130" s="525" t="s">
        <v>433</v>
      </c>
      <c r="D130" s="525">
        <v>580282341</v>
      </c>
      <c r="E130" s="525">
        <v>40016795</v>
      </c>
      <c r="F130" s="525" t="s">
        <v>528</v>
      </c>
      <c r="G130" s="525" t="s">
        <v>544</v>
      </c>
      <c r="H130" s="526">
        <v>140000</v>
      </c>
      <c r="I130" s="526">
        <v>0</v>
      </c>
      <c r="J130" s="525" t="s">
        <v>438</v>
      </c>
      <c r="K130" s="525" t="s">
        <v>439</v>
      </c>
    </row>
    <row r="131" spans="1:11" x14ac:dyDescent="0.25">
      <c r="A131" s="524">
        <v>1001838444</v>
      </c>
      <c r="B131" s="525" t="s">
        <v>580</v>
      </c>
      <c r="C131" s="525" t="s">
        <v>433</v>
      </c>
      <c r="D131" s="525">
        <v>500262381</v>
      </c>
      <c r="E131" s="525">
        <v>20000212</v>
      </c>
      <c r="F131" s="525" t="s">
        <v>430</v>
      </c>
      <c r="G131" s="525" t="s">
        <v>544</v>
      </c>
      <c r="H131" s="526">
        <v>100000</v>
      </c>
      <c r="I131" s="526">
        <v>0</v>
      </c>
      <c r="J131" s="525" t="s">
        <v>438</v>
      </c>
      <c r="K131" s="525" t="s">
        <v>439</v>
      </c>
    </row>
    <row r="132" spans="1:11" x14ac:dyDescent="0.25">
      <c r="A132" s="524">
        <v>1001838639</v>
      </c>
      <c r="B132" s="525" t="s">
        <v>581</v>
      </c>
      <c r="C132" s="525" t="s">
        <v>433</v>
      </c>
      <c r="D132" s="525">
        <v>500287008</v>
      </c>
      <c r="E132" s="525">
        <v>20000251</v>
      </c>
      <c r="F132" s="525" t="s">
        <v>431</v>
      </c>
      <c r="G132" s="525" t="s">
        <v>544</v>
      </c>
      <c r="H132" s="526">
        <v>22000</v>
      </c>
      <c r="I132" s="526">
        <v>0</v>
      </c>
      <c r="J132" s="525" t="s">
        <v>438</v>
      </c>
      <c r="K132" s="525" t="s">
        <v>439</v>
      </c>
    </row>
    <row r="133" spans="1:11" x14ac:dyDescent="0.25">
      <c r="A133" s="524">
        <v>1001839264</v>
      </c>
      <c r="B133" s="525" t="s">
        <v>582</v>
      </c>
      <c r="C133" s="525" t="s">
        <v>433</v>
      </c>
      <c r="D133" s="525">
        <v>580223899</v>
      </c>
      <c r="E133" s="525">
        <v>40016768</v>
      </c>
      <c r="F133" s="525" t="s">
        <v>505</v>
      </c>
      <c r="G133" s="525" t="s">
        <v>544</v>
      </c>
      <c r="H133" s="526">
        <v>93000</v>
      </c>
      <c r="I133" s="526">
        <v>0</v>
      </c>
      <c r="J133" s="525" t="s">
        <v>438</v>
      </c>
      <c r="K133" s="525" t="s">
        <v>439</v>
      </c>
    </row>
    <row r="134" spans="1:11" x14ac:dyDescent="0.25">
      <c r="A134" s="524">
        <v>1001842223</v>
      </c>
      <c r="B134" s="525" t="s">
        <v>583</v>
      </c>
      <c r="C134" s="525" t="s">
        <v>433</v>
      </c>
      <c r="D134" s="525">
        <v>510748734</v>
      </c>
      <c r="E134" s="525">
        <v>40000028</v>
      </c>
      <c r="F134" s="525" t="s">
        <v>472</v>
      </c>
      <c r="G134" s="525" t="s">
        <v>544</v>
      </c>
      <c r="H134" s="526">
        <v>700000</v>
      </c>
      <c r="I134" s="526">
        <v>0</v>
      </c>
      <c r="J134" s="525" t="s">
        <v>438</v>
      </c>
      <c r="K134" s="525" t="s">
        <v>439</v>
      </c>
    </row>
    <row r="135" spans="1:11" x14ac:dyDescent="0.25">
      <c r="A135" s="524">
        <v>1001842382</v>
      </c>
      <c r="B135" s="525" t="s">
        <v>584</v>
      </c>
      <c r="C135" s="525" t="s">
        <v>429</v>
      </c>
      <c r="D135" s="525">
        <v>512287350</v>
      </c>
      <c r="E135" s="525">
        <v>40000293</v>
      </c>
      <c r="F135" s="525" t="s">
        <v>470</v>
      </c>
      <c r="G135" s="525" t="s">
        <v>544</v>
      </c>
      <c r="H135" s="526">
        <v>693000</v>
      </c>
      <c r="I135" s="526">
        <v>0</v>
      </c>
      <c r="J135" s="525" t="s">
        <v>438</v>
      </c>
      <c r="K135" s="525" t="s">
        <v>439</v>
      </c>
    </row>
    <row r="136" spans="1:11" x14ac:dyDescent="0.25">
      <c r="A136" s="524">
        <v>1001842936</v>
      </c>
      <c r="B136" s="525" t="s">
        <v>585</v>
      </c>
      <c r="C136" s="525" t="s">
        <v>429</v>
      </c>
      <c r="D136" s="525">
        <v>580371045</v>
      </c>
      <c r="E136" s="525">
        <v>40216083</v>
      </c>
      <c r="F136" s="525" t="s">
        <v>428</v>
      </c>
      <c r="G136" s="525" t="s">
        <v>544</v>
      </c>
      <c r="H136" s="526">
        <v>50000</v>
      </c>
      <c r="I136" s="526">
        <v>0</v>
      </c>
      <c r="J136" s="525" t="s">
        <v>438</v>
      </c>
      <c r="K136" s="525" t="s">
        <v>439</v>
      </c>
    </row>
    <row r="137" spans="1:11" x14ac:dyDescent="0.25">
      <c r="A137" s="524">
        <v>1001843166</v>
      </c>
      <c r="B137" s="525" t="s">
        <v>586</v>
      </c>
      <c r="C137" s="525" t="s">
        <v>575</v>
      </c>
      <c r="D137" s="525">
        <v>500250006</v>
      </c>
      <c r="E137" s="525">
        <v>20000201</v>
      </c>
      <c r="F137" s="525" t="s">
        <v>427</v>
      </c>
      <c r="G137" s="525" t="s">
        <v>544</v>
      </c>
      <c r="H137" s="526">
        <v>290000</v>
      </c>
      <c r="I137" s="526">
        <v>0</v>
      </c>
      <c r="J137" s="525" t="s">
        <v>438</v>
      </c>
      <c r="K137" s="525" t="s">
        <v>439</v>
      </c>
    </row>
    <row r="138" spans="1:11" x14ac:dyDescent="0.25">
      <c r="A138" s="524">
        <v>1001843498</v>
      </c>
      <c r="B138" s="525" t="s">
        <v>439</v>
      </c>
      <c r="C138" s="525" t="s">
        <v>433</v>
      </c>
      <c r="D138" s="525">
        <v>515770444</v>
      </c>
      <c r="E138" s="525">
        <v>41968455</v>
      </c>
      <c r="F138" s="525" t="s">
        <v>503</v>
      </c>
      <c r="G138" s="525" t="s">
        <v>544</v>
      </c>
      <c r="H138" s="526">
        <v>500000</v>
      </c>
      <c r="I138" s="526">
        <v>0</v>
      </c>
      <c r="J138" s="525" t="s">
        <v>438</v>
      </c>
      <c r="K138" s="525" t="s">
        <v>439</v>
      </c>
    </row>
    <row r="139" spans="1:11" x14ac:dyDescent="0.25">
      <c r="A139" s="524">
        <v>1001843576</v>
      </c>
      <c r="B139" s="525" t="s">
        <v>487</v>
      </c>
      <c r="C139" s="525" t="s">
        <v>429</v>
      </c>
      <c r="D139" s="525">
        <v>580051902</v>
      </c>
      <c r="E139" s="525">
        <v>40000402</v>
      </c>
      <c r="F139" s="525" t="s">
        <v>488</v>
      </c>
      <c r="G139" s="525" t="s">
        <v>437</v>
      </c>
      <c r="H139" s="526">
        <v>75000</v>
      </c>
      <c r="I139" s="526">
        <v>0</v>
      </c>
      <c r="J139" s="525" t="s">
        <v>438</v>
      </c>
      <c r="K139" s="525" t="s">
        <v>439</v>
      </c>
    </row>
    <row r="140" spans="1:11" x14ac:dyDescent="0.25">
      <c r="A140" s="524">
        <v>1001843577</v>
      </c>
      <c r="B140" s="525" t="s">
        <v>516</v>
      </c>
      <c r="C140" s="525" t="s">
        <v>429</v>
      </c>
      <c r="D140" s="525">
        <v>511068223</v>
      </c>
      <c r="E140" s="525">
        <v>40000035</v>
      </c>
      <c r="F140" s="525" t="s">
        <v>517</v>
      </c>
      <c r="G140" s="525" t="s">
        <v>437</v>
      </c>
      <c r="H140" s="526">
        <v>184500</v>
      </c>
      <c r="I140" s="526">
        <v>0</v>
      </c>
      <c r="J140" s="525" t="s">
        <v>438</v>
      </c>
      <c r="K140" s="525" t="s">
        <v>439</v>
      </c>
    </row>
    <row r="141" spans="1:11" x14ac:dyDescent="0.25">
      <c r="A141" s="524">
        <v>1001843777</v>
      </c>
      <c r="B141" s="525" t="s">
        <v>587</v>
      </c>
      <c r="C141" s="525" t="s">
        <v>433</v>
      </c>
      <c r="D141" s="525">
        <v>580604999</v>
      </c>
      <c r="E141" s="525">
        <v>41906703</v>
      </c>
      <c r="F141" s="525" t="s">
        <v>588</v>
      </c>
      <c r="G141" s="525" t="s">
        <v>544</v>
      </c>
      <c r="H141" s="526">
        <v>160000</v>
      </c>
      <c r="I141" s="526">
        <v>0</v>
      </c>
      <c r="J141" s="525" t="s">
        <v>438</v>
      </c>
      <c r="K141" s="525" t="s">
        <v>439</v>
      </c>
    </row>
    <row r="142" spans="1:11" x14ac:dyDescent="0.25">
      <c r="A142" s="524">
        <v>1001843791</v>
      </c>
      <c r="B142" s="525" t="s">
        <v>589</v>
      </c>
      <c r="C142" s="525" t="s">
        <v>433</v>
      </c>
      <c r="D142" s="525">
        <v>510145022</v>
      </c>
      <c r="E142" s="525">
        <v>40000252</v>
      </c>
      <c r="F142" s="525" t="s">
        <v>468</v>
      </c>
      <c r="G142" s="525" t="s">
        <v>544</v>
      </c>
      <c r="H142" s="526">
        <v>85000</v>
      </c>
      <c r="I142" s="526">
        <v>0</v>
      </c>
      <c r="J142" s="525" t="s">
        <v>438</v>
      </c>
      <c r="K142" s="525" t="s">
        <v>439</v>
      </c>
    </row>
    <row r="143" spans="1:11" x14ac:dyDescent="0.25">
      <c r="A143" s="524">
        <v>1001843817</v>
      </c>
      <c r="B143" s="525" t="s">
        <v>590</v>
      </c>
      <c r="C143" s="525" t="s">
        <v>429</v>
      </c>
      <c r="D143" s="525">
        <v>580450898</v>
      </c>
      <c r="E143" s="525">
        <v>41099000</v>
      </c>
      <c r="F143" s="525" t="s">
        <v>399</v>
      </c>
      <c r="G143" s="525" t="s">
        <v>544</v>
      </c>
      <c r="H143" s="526">
        <v>150000</v>
      </c>
      <c r="I143" s="526">
        <v>0</v>
      </c>
      <c r="J143" s="525" t="s">
        <v>438</v>
      </c>
      <c r="K143" s="525" t="s">
        <v>439</v>
      </c>
    </row>
    <row r="144" spans="1:11" x14ac:dyDescent="0.25">
      <c r="A144" s="524">
        <v>1001843898</v>
      </c>
      <c r="B144" s="525" t="s">
        <v>591</v>
      </c>
      <c r="C144" s="525" t="s">
        <v>429</v>
      </c>
      <c r="D144" s="525">
        <v>580353597</v>
      </c>
      <c r="E144" s="525">
        <v>40216071</v>
      </c>
      <c r="F144" s="525" t="s">
        <v>483</v>
      </c>
      <c r="G144" s="525" t="s">
        <v>544</v>
      </c>
      <c r="H144" s="526">
        <v>1200000</v>
      </c>
      <c r="I144" s="526">
        <v>0</v>
      </c>
      <c r="J144" s="525" t="s">
        <v>438</v>
      </c>
      <c r="K144" s="525" t="s">
        <v>439</v>
      </c>
    </row>
    <row r="145" spans="1:11" x14ac:dyDescent="0.25">
      <c r="A145" s="524">
        <v>1001843909</v>
      </c>
      <c r="B145" s="525" t="s">
        <v>592</v>
      </c>
      <c r="C145" s="525" t="s">
        <v>429</v>
      </c>
      <c r="D145" s="525">
        <v>580502946</v>
      </c>
      <c r="E145" s="525">
        <v>40465932</v>
      </c>
      <c r="F145" s="525" t="s">
        <v>507</v>
      </c>
      <c r="G145" s="525" t="s">
        <v>544</v>
      </c>
      <c r="H145" s="526">
        <v>1500000</v>
      </c>
      <c r="I145" s="526">
        <v>0</v>
      </c>
      <c r="J145" s="525" t="s">
        <v>438</v>
      </c>
      <c r="K145" s="525" t="s">
        <v>439</v>
      </c>
    </row>
    <row r="146" spans="1:11" x14ac:dyDescent="0.25">
      <c r="A146" s="524">
        <v>1001843914</v>
      </c>
      <c r="B146" s="525" t="s">
        <v>518</v>
      </c>
      <c r="C146" s="525" t="s">
        <v>433</v>
      </c>
      <c r="D146" s="525">
        <v>580044725</v>
      </c>
      <c r="E146" s="525">
        <v>40214659</v>
      </c>
      <c r="F146" s="525" t="s">
        <v>519</v>
      </c>
      <c r="G146" s="525" t="s">
        <v>544</v>
      </c>
      <c r="H146" s="526">
        <v>110000</v>
      </c>
      <c r="I146" s="526">
        <v>0</v>
      </c>
      <c r="J146" s="525" t="s">
        <v>438</v>
      </c>
      <c r="K146" s="525" t="s">
        <v>439</v>
      </c>
    </row>
    <row r="147" spans="1:11" x14ac:dyDescent="0.25">
      <c r="A147" s="524">
        <v>1001843916</v>
      </c>
      <c r="B147" s="525" t="s">
        <v>593</v>
      </c>
      <c r="C147" s="525" t="s">
        <v>433</v>
      </c>
      <c r="D147" s="525">
        <v>580520864</v>
      </c>
      <c r="E147" s="525">
        <v>41375690</v>
      </c>
      <c r="F147" s="525" t="s">
        <v>513</v>
      </c>
      <c r="G147" s="525" t="s">
        <v>544</v>
      </c>
      <c r="H147" s="526">
        <v>100000</v>
      </c>
      <c r="I147" s="526">
        <v>0</v>
      </c>
      <c r="J147" s="525" t="s">
        <v>438</v>
      </c>
      <c r="K147" s="525" t="s">
        <v>439</v>
      </c>
    </row>
    <row r="148" spans="1:11" x14ac:dyDescent="0.25">
      <c r="A148" s="524">
        <v>1001843927</v>
      </c>
      <c r="B148" s="525" t="s">
        <v>512</v>
      </c>
      <c r="C148" s="525" t="s">
        <v>433</v>
      </c>
      <c r="D148" s="525">
        <v>580520864</v>
      </c>
      <c r="E148" s="525">
        <v>41375690</v>
      </c>
      <c r="F148" s="525" t="s">
        <v>513</v>
      </c>
      <c r="G148" s="525" t="s">
        <v>544</v>
      </c>
      <c r="H148" s="526">
        <v>200000</v>
      </c>
      <c r="I148" s="526">
        <v>0</v>
      </c>
      <c r="J148" s="525" t="s">
        <v>438</v>
      </c>
      <c r="K148" s="525" t="s">
        <v>439</v>
      </c>
    </row>
    <row r="149" spans="1:11" x14ac:dyDescent="0.25">
      <c r="A149" s="524">
        <v>1001843992</v>
      </c>
      <c r="B149" s="525" t="s">
        <v>594</v>
      </c>
      <c r="C149" s="525" t="s">
        <v>433</v>
      </c>
      <c r="D149" s="525">
        <v>510290026</v>
      </c>
      <c r="E149" s="525">
        <v>40216012</v>
      </c>
      <c r="F149" s="525" t="s">
        <v>595</v>
      </c>
      <c r="G149" s="525" t="s">
        <v>544</v>
      </c>
      <c r="H149" s="526">
        <v>130000</v>
      </c>
      <c r="I149" s="526">
        <v>0</v>
      </c>
      <c r="J149" s="525" t="s">
        <v>438</v>
      </c>
      <c r="K149" s="525" t="s">
        <v>439</v>
      </c>
    </row>
    <row r="150" spans="1:11" x14ac:dyDescent="0.25">
      <c r="A150" s="524">
        <v>1001843999</v>
      </c>
      <c r="B150" s="525" t="s">
        <v>596</v>
      </c>
      <c r="C150" s="525" t="s">
        <v>429</v>
      </c>
      <c r="D150" s="525">
        <v>580537041</v>
      </c>
      <c r="E150" s="525">
        <v>40989613</v>
      </c>
      <c r="F150" s="525" t="s">
        <v>460</v>
      </c>
      <c r="G150" s="525" t="s">
        <v>544</v>
      </c>
      <c r="H150" s="526">
        <v>150000</v>
      </c>
      <c r="I150" s="526">
        <v>0</v>
      </c>
      <c r="J150" s="525" t="s">
        <v>438</v>
      </c>
      <c r="K150" s="525" t="s">
        <v>439</v>
      </c>
    </row>
    <row r="151" spans="1:11" x14ac:dyDescent="0.25">
      <c r="A151" s="524">
        <v>1001844003</v>
      </c>
      <c r="B151" s="525" t="s">
        <v>597</v>
      </c>
      <c r="C151" s="525" t="s">
        <v>429</v>
      </c>
      <c r="D151" s="525">
        <v>580353597</v>
      </c>
      <c r="E151" s="525">
        <v>40216071</v>
      </c>
      <c r="F151" s="525" t="s">
        <v>483</v>
      </c>
      <c r="G151" s="525" t="s">
        <v>544</v>
      </c>
      <c r="H151" s="526">
        <v>300000</v>
      </c>
      <c r="I151" s="526">
        <v>0</v>
      </c>
      <c r="J151" s="525" t="s">
        <v>438</v>
      </c>
      <c r="K151" s="525" t="s">
        <v>439</v>
      </c>
    </row>
    <row r="152" spans="1:11" x14ac:dyDescent="0.25">
      <c r="A152" s="524">
        <v>1001844021</v>
      </c>
      <c r="B152" s="525" t="s">
        <v>598</v>
      </c>
      <c r="C152" s="525" t="s">
        <v>429</v>
      </c>
      <c r="D152" s="525">
        <v>580537041</v>
      </c>
      <c r="E152" s="525">
        <v>40989613</v>
      </c>
      <c r="F152" s="525" t="s">
        <v>460</v>
      </c>
      <c r="G152" s="525" t="s">
        <v>544</v>
      </c>
      <c r="H152" s="526">
        <v>170000</v>
      </c>
      <c r="I152" s="526">
        <v>0</v>
      </c>
      <c r="J152" s="525" t="s">
        <v>438</v>
      </c>
      <c r="K152" s="525" t="s">
        <v>439</v>
      </c>
    </row>
    <row r="153" spans="1:11" x14ac:dyDescent="0.25">
      <c r="A153" s="524">
        <v>1001844024</v>
      </c>
      <c r="B153" s="525" t="s">
        <v>599</v>
      </c>
      <c r="C153" s="525" t="s">
        <v>429</v>
      </c>
      <c r="D153" s="525">
        <v>580537041</v>
      </c>
      <c r="E153" s="525">
        <v>40989613</v>
      </c>
      <c r="F153" s="525" t="s">
        <v>460</v>
      </c>
      <c r="G153" s="525" t="s">
        <v>544</v>
      </c>
      <c r="H153" s="526">
        <v>80000</v>
      </c>
      <c r="I153" s="526">
        <v>0</v>
      </c>
      <c r="J153" s="525" t="s">
        <v>438</v>
      </c>
      <c r="K153" s="525" t="s">
        <v>439</v>
      </c>
    </row>
    <row r="154" spans="1:11" x14ac:dyDescent="0.25">
      <c r="A154" s="524">
        <v>1001844038</v>
      </c>
      <c r="B154" s="525" t="s">
        <v>600</v>
      </c>
      <c r="C154" s="525" t="s">
        <v>429</v>
      </c>
      <c r="D154" s="525">
        <v>580537041</v>
      </c>
      <c r="E154" s="525">
        <v>40989613</v>
      </c>
      <c r="F154" s="525" t="s">
        <v>460</v>
      </c>
      <c r="G154" s="525" t="s">
        <v>544</v>
      </c>
      <c r="H154" s="526">
        <v>300000</v>
      </c>
      <c r="I154" s="526">
        <v>0</v>
      </c>
      <c r="J154" s="525" t="s">
        <v>438</v>
      </c>
      <c r="K154" s="525" t="s">
        <v>439</v>
      </c>
    </row>
    <row r="155" spans="1:11" x14ac:dyDescent="0.25">
      <c r="A155" s="524">
        <v>1001844079</v>
      </c>
      <c r="B155" s="525" t="s">
        <v>601</v>
      </c>
      <c r="C155" s="525" t="s">
        <v>433</v>
      </c>
      <c r="D155" s="525">
        <v>580362747</v>
      </c>
      <c r="E155" s="525">
        <v>40522482</v>
      </c>
      <c r="F155" s="525" t="s">
        <v>511</v>
      </c>
      <c r="G155" s="525" t="s">
        <v>544</v>
      </c>
      <c r="H155" s="526">
        <v>95000</v>
      </c>
      <c r="I155" s="526">
        <v>0</v>
      </c>
      <c r="J155" s="525" t="s">
        <v>438</v>
      </c>
      <c r="K155" s="525" t="s">
        <v>439</v>
      </c>
    </row>
    <row r="156" spans="1:11" x14ac:dyDescent="0.25">
      <c r="A156" s="524">
        <v>1001844094</v>
      </c>
      <c r="B156" s="525" t="s">
        <v>296</v>
      </c>
      <c r="C156" s="525" t="s">
        <v>433</v>
      </c>
      <c r="D156" s="525">
        <v>580362747</v>
      </c>
      <c r="E156" s="525">
        <v>40522482</v>
      </c>
      <c r="F156" s="525" t="s">
        <v>511</v>
      </c>
      <c r="G156" s="525" t="s">
        <v>544</v>
      </c>
      <c r="H156" s="526">
        <v>180000</v>
      </c>
      <c r="I156" s="526">
        <v>0</v>
      </c>
      <c r="J156" s="525" t="s">
        <v>438</v>
      </c>
      <c r="K156" s="525" t="s">
        <v>439</v>
      </c>
    </row>
    <row r="157" spans="1:11" x14ac:dyDescent="0.25">
      <c r="A157" s="524">
        <v>1001844676</v>
      </c>
      <c r="B157" s="525" t="s">
        <v>602</v>
      </c>
      <c r="C157" s="525" t="s">
        <v>433</v>
      </c>
      <c r="D157" s="525">
        <v>580453710</v>
      </c>
      <c r="E157" s="525">
        <v>40304991</v>
      </c>
      <c r="F157" s="525" t="s">
        <v>603</v>
      </c>
      <c r="G157" s="525" t="s">
        <v>544</v>
      </c>
      <c r="H157" s="526">
        <v>500000</v>
      </c>
      <c r="I157" s="526">
        <v>0</v>
      </c>
      <c r="J157" s="525" t="s">
        <v>438</v>
      </c>
      <c r="K157" s="525" t="s">
        <v>439</v>
      </c>
    </row>
    <row r="158" spans="1:11" x14ac:dyDescent="0.25">
      <c r="A158" s="524">
        <v>1001844743</v>
      </c>
      <c r="B158" s="525" t="s">
        <v>487</v>
      </c>
      <c r="C158" s="525" t="s">
        <v>429</v>
      </c>
      <c r="D158" s="525">
        <v>580051902</v>
      </c>
      <c r="E158" s="525">
        <v>40000402</v>
      </c>
      <c r="F158" s="525" t="s">
        <v>488</v>
      </c>
      <c r="G158" s="525" t="s">
        <v>544</v>
      </c>
      <c r="H158" s="526">
        <v>75000</v>
      </c>
      <c r="I158" s="526">
        <v>0</v>
      </c>
      <c r="J158" s="525" t="s">
        <v>438</v>
      </c>
      <c r="K158" s="525" t="s">
        <v>439</v>
      </c>
    </row>
    <row r="159" spans="1:11" x14ac:dyDescent="0.25">
      <c r="A159" s="524">
        <v>1001844747</v>
      </c>
      <c r="B159" s="525" t="s">
        <v>529</v>
      </c>
      <c r="C159" s="525" t="s">
        <v>433</v>
      </c>
      <c r="D159" s="525">
        <v>510673577</v>
      </c>
      <c r="E159" s="525">
        <v>40000272</v>
      </c>
      <c r="F159" s="525" t="s">
        <v>521</v>
      </c>
      <c r="G159" s="525" t="s">
        <v>544</v>
      </c>
      <c r="H159" s="526">
        <v>1500000</v>
      </c>
      <c r="I159" s="526">
        <v>0</v>
      </c>
      <c r="J159" s="525" t="s">
        <v>438</v>
      </c>
      <c r="K159" s="525" t="s">
        <v>439</v>
      </c>
    </row>
    <row r="160" spans="1:11" x14ac:dyDescent="0.25">
      <c r="A160" s="524">
        <v>1001844771</v>
      </c>
      <c r="B160" s="525" t="s">
        <v>604</v>
      </c>
      <c r="C160" s="525" t="s">
        <v>429</v>
      </c>
      <c r="D160" s="525">
        <v>580234995</v>
      </c>
      <c r="E160" s="525">
        <v>40000192</v>
      </c>
      <c r="F160" s="525" t="s">
        <v>464</v>
      </c>
      <c r="G160" s="525" t="s">
        <v>544</v>
      </c>
      <c r="H160" s="526">
        <v>120000</v>
      </c>
      <c r="I160" s="526">
        <v>0</v>
      </c>
      <c r="J160" s="525" t="s">
        <v>438</v>
      </c>
      <c r="K160" s="525" t="s">
        <v>439</v>
      </c>
    </row>
    <row r="161" spans="1:11" x14ac:dyDescent="0.25">
      <c r="A161" s="524">
        <v>1001844800</v>
      </c>
      <c r="B161" s="525" t="s">
        <v>605</v>
      </c>
      <c r="C161" s="525" t="s">
        <v>433</v>
      </c>
      <c r="D161" s="525">
        <v>500221015</v>
      </c>
      <c r="E161" s="525">
        <v>20000127</v>
      </c>
      <c r="F161" s="525" t="s">
        <v>421</v>
      </c>
      <c r="G161" s="525" t="s">
        <v>544</v>
      </c>
      <c r="H161" s="526">
        <v>150000</v>
      </c>
      <c r="I161" s="526">
        <v>0</v>
      </c>
      <c r="J161" s="525" t="s">
        <v>438</v>
      </c>
      <c r="K161" s="525" t="s">
        <v>439</v>
      </c>
    </row>
    <row r="162" spans="1:11" x14ac:dyDescent="0.25">
      <c r="A162" s="524">
        <v>1001844843</v>
      </c>
      <c r="B162" s="525" t="s">
        <v>606</v>
      </c>
      <c r="C162" s="525" t="s">
        <v>429</v>
      </c>
      <c r="D162" s="525">
        <v>580170801</v>
      </c>
      <c r="E162" s="525">
        <v>40000164</v>
      </c>
      <c r="F162" s="525" t="s">
        <v>541</v>
      </c>
      <c r="G162" s="525" t="s">
        <v>544</v>
      </c>
      <c r="H162" s="526">
        <v>240000</v>
      </c>
      <c r="I162" s="526">
        <v>0</v>
      </c>
      <c r="J162" s="525" t="s">
        <v>438</v>
      </c>
      <c r="K162" s="525" t="s">
        <v>439</v>
      </c>
    </row>
    <row r="163" spans="1:11" x14ac:dyDescent="0.25">
      <c r="A163" s="524">
        <v>1001844844</v>
      </c>
      <c r="B163" s="525" t="s">
        <v>607</v>
      </c>
      <c r="C163" s="525" t="s">
        <v>429</v>
      </c>
      <c r="D163" s="525">
        <v>580170801</v>
      </c>
      <c r="E163" s="525">
        <v>40000164</v>
      </c>
      <c r="F163" s="525" t="s">
        <v>541</v>
      </c>
      <c r="G163" s="525" t="s">
        <v>544</v>
      </c>
      <c r="H163" s="526">
        <v>900000</v>
      </c>
      <c r="I163" s="526">
        <v>0</v>
      </c>
      <c r="J163" s="525" t="s">
        <v>438</v>
      </c>
      <c r="K163" s="525" t="s">
        <v>439</v>
      </c>
    </row>
    <row r="164" spans="1:11" x14ac:dyDescent="0.25">
      <c r="A164" s="524">
        <v>1001844847</v>
      </c>
      <c r="B164" s="525" t="s">
        <v>538</v>
      </c>
      <c r="C164" s="525" t="s">
        <v>433</v>
      </c>
      <c r="D164" s="525">
        <v>580013860</v>
      </c>
      <c r="E164" s="525">
        <v>40000335</v>
      </c>
      <c r="F164" s="525" t="s">
        <v>292</v>
      </c>
      <c r="G164" s="525" t="s">
        <v>544</v>
      </c>
      <c r="H164" s="526">
        <v>700000</v>
      </c>
      <c r="I164" s="526">
        <v>0</v>
      </c>
      <c r="J164" s="525" t="s">
        <v>438</v>
      </c>
      <c r="K164" s="525" t="s">
        <v>439</v>
      </c>
    </row>
    <row r="165" spans="1:11" x14ac:dyDescent="0.25">
      <c r="A165" s="524">
        <v>1001845862</v>
      </c>
      <c r="B165" s="525" t="s">
        <v>390</v>
      </c>
      <c r="C165" s="525" t="s">
        <v>420</v>
      </c>
      <c r="D165" s="525">
        <v>580046860</v>
      </c>
      <c r="E165" s="525">
        <v>40000397</v>
      </c>
      <c r="F165" s="525" t="s">
        <v>492</v>
      </c>
      <c r="G165" s="525" t="s">
        <v>544</v>
      </c>
      <c r="H165" s="526">
        <v>180000</v>
      </c>
      <c r="I165" s="526">
        <v>0</v>
      </c>
      <c r="J165" s="525" t="s">
        <v>438</v>
      </c>
      <c r="K165" s="525" t="s">
        <v>439</v>
      </c>
    </row>
    <row r="166" spans="1:11" x14ac:dyDescent="0.25">
      <c r="A166" s="524">
        <v>1001850185</v>
      </c>
      <c r="B166" s="525" t="s">
        <v>608</v>
      </c>
      <c r="C166" s="525" t="s">
        <v>429</v>
      </c>
      <c r="D166" s="525">
        <v>580416485</v>
      </c>
      <c r="E166" s="525">
        <v>40216112</v>
      </c>
      <c r="F166" s="525" t="s">
        <v>537</v>
      </c>
      <c r="G166" s="525" t="s">
        <v>544</v>
      </c>
      <c r="H166" s="526">
        <v>75000</v>
      </c>
      <c r="I166" s="526">
        <v>0</v>
      </c>
      <c r="J166" s="525" t="s">
        <v>438</v>
      </c>
      <c r="K166" s="525" t="s">
        <v>439</v>
      </c>
    </row>
    <row r="167" spans="1:11" x14ac:dyDescent="0.25">
      <c r="A167" s="524">
        <v>1001850186</v>
      </c>
      <c r="B167" s="525" t="s">
        <v>585</v>
      </c>
      <c r="C167" s="525" t="s">
        <v>429</v>
      </c>
      <c r="D167" s="525">
        <v>580416485</v>
      </c>
      <c r="E167" s="525">
        <v>40216112</v>
      </c>
      <c r="F167" s="525" t="s">
        <v>537</v>
      </c>
      <c r="G167" s="525" t="s">
        <v>544</v>
      </c>
      <c r="H167" s="526">
        <v>250000</v>
      </c>
      <c r="I167" s="526">
        <v>0</v>
      </c>
      <c r="J167" s="525" t="s">
        <v>438</v>
      </c>
      <c r="K167" s="525" t="s">
        <v>439</v>
      </c>
    </row>
    <row r="168" spans="1:11" x14ac:dyDescent="0.25">
      <c r="A168" s="524">
        <v>1001854324</v>
      </c>
      <c r="B168" s="525" t="s">
        <v>609</v>
      </c>
      <c r="C168" s="525" t="s">
        <v>429</v>
      </c>
      <c r="D168" s="525">
        <v>580010890</v>
      </c>
      <c r="E168" s="525">
        <v>40003459</v>
      </c>
      <c r="F168" s="525" t="s">
        <v>496</v>
      </c>
      <c r="G168" s="525" t="s">
        <v>544</v>
      </c>
      <c r="H168" s="526">
        <v>60000</v>
      </c>
      <c r="I168" s="526">
        <v>0</v>
      </c>
      <c r="J168" s="525" t="s">
        <v>438</v>
      </c>
      <c r="K168" s="525" t="s">
        <v>439</v>
      </c>
    </row>
    <row r="169" spans="1:11" x14ac:dyDescent="0.25">
      <c r="A169" s="524">
        <v>1001854339</v>
      </c>
      <c r="B169" s="525" t="s">
        <v>585</v>
      </c>
      <c r="C169" s="525" t="s">
        <v>429</v>
      </c>
      <c r="D169" s="525">
        <v>580310878</v>
      </c>
      <c r="E169" s="525">
        <v>40000230</v>
      </c>
      <c r="F169" s="525" t="s">
        <v>478</v>
      </c>
      <c r="G169" s="525" t="s">
        <v>544</v>
      </c>
      <c r="H169" s="526">
        <v>1500000</v>
      </c>
      <c r="I169" s="526">
        <v>0</v>
      </c>
      <c r="J169" s="525" t="s">
        <v>438</v>
      </c>
      <c r="K169" s="525" t="s">
        <v>439</v>
      </c>
    </row>
    <row r="170" spans="1:11" x14ac:dyDescent="0.25">
      <c r="A170" s="524">
        <v>1001854361</v>
      </c>
      <c r="B170" s="525" t="s">
        <v>610</v>
      </c>
      <c r="C170" s="525" t="s">
        <v>429</v>
      </c>
      <c r="D170" s="525">
        <v>580310878</v>
      </c>
      <c r="E170" s="525">
        <v>40000230</v>
      </c>
      <c r="F170" s="525" t="s">
        <v>478</v>
      </c>
      <c r="G170" s="525" t="s">
        <v>544</v>
      </c>
      <c r="H170" s="526">
        <v>150000</v>
      </c>
      <c r="I170" s="526">
        <v>0</v>
      </c>
      <c r="J170" s="525" t="s">
        <v>438</v>
      </c>
      <c r="K170" s="525" t="s">
        <v>439</v>
      </c>
    </row>
    <row r="171" spans="1:11" x14ac:dyDescent="0.25">
      <c r="A171" s="524">
        <v>1001854363</v>
      </c>
      <c r="B171" s="525" t="s">
        <v>611</v>
      </c>
      <c r="C171" s="525" t="s">
        <v>429</v>
      </c>
      <c r="D171" s="525">
        <v>580310878</v>
      </c>
      <c r="E171" s="525">
        <v>40000230</v>
      </c>
      <c r="F171" s="525" t="s">
        <v>478</v>
      </c>
      <c r="G171" s="525" t="s">
        <v>544</v>
      </c>
      <c r="H171" s="526">
        <v>200000</v>
      </c>
      <c r="I171" s="526">
        <v>0</v>
      </c>
      <c r="J171" s="525" t="s">
        <v>438</v>
      </c>
      <c r="K171" s="525" t="s">
        <v>439</v>
      </c>
    </row>
    <row r="172" spans="1:11" x14ac:dyDescent="0.25">
      <c r="A172" s="524">
        <v>1001854373</v>
      </c>
      <c r="B172" s="525" t="s">
        <v>293</v>
      </c>
      <c r="C172" s="525" t="s">
        <v>433</v>
      </c>
      <c r="D172" s="525">
        <v>580013860</v>
      </c>
      <c r="E172" s="525">
        <v>40000335</v>
      </c>
      <c r="F172" s="525" t="s">
        <v>292</v>
      </c>
      <c r="G172" s="525" t="s">
        <v>544</v>
      </c>
      <c r="H172" s="526">
        <v>220000</v>
      </c>
      <c r="I172" s="526">
        <v>0</v>
      </c>
      <c r="J172" s="525" t="s">
        <v>438</v>
      </c>
      <c r="K172" s="525" t="s">
        <v>439</v>
      </c>
    </row>
    <row r="173" spans="1:11" x14ac:dyDescent="0.25">
      <c r="A173" s="524">
        <v>1001854377</v>
      </c>
      <c r="B173" s="525" t="s">
        <v>439</v>
      </c>
      <c r="C173" s="525" t="s">
        <v>433</v>
      </c>
      <c r="D173" s="525">
        <v>580202091</v>
      </c>
      <c r="E173" s="525">
        <v>40000176</v>
      </c>
      <c r="F173" s="525" t="s">
        <v>612</v>
      </c>
      <c r="G173" s="525" t="s">
        <v>544</v>
      </c>
      <c r="H173" s="526">
        <v>150000</v>
      </c>
      <c r="I173" s="526">
        <v>0</v>
      </c>
      <c r="J173" s="525" t="s">
        <v>438</v>
      </c>
      <c r="K173" s="525" t="s">
        <v>439</v>
      </c>
    </row>
    <row r="174" spans="1:11" x14ac:dyDescent="0.25">
      <c r="A174" s="524">
        <v>1001854379</v>
      </c>
      <c r="B174" s="525" t="s">
        <v>390</v>
      </c>
      <c r="C174" s="525" t="s">
        <v>433</v>
      </c>
      <c r="D174" s="525">
        <v>580046860</v>
      </c>
      <c r="E174" s="525">
        <v>40000397</v>
      </c>
      <c r="F174" s="525" t="s">
        <v>492</v>
      </c>
      <c r="G174" s="525" t="s">
        <v>544</v>
      </c>
      <c r="H174" s="526">
        <v>180000</v>
      </c>
      <c r="I174" s="526">
        <v>0</v>
      </c>
      <c r="J174" s="525" t="s">
        <v>438</v>
      </c>
      <c r="K174" s="525" t="s">
        <v>439</v>
      </c>
    </row>
    <row r="175" spans="1:11" x14ac:dyDescent="0.25">
      <c r="A175" s="524">
        <v>1001854380</v>
      </c>
      <c r="B175" s="525" t="s">
        <v>390</v>
      </c>
      <c r="C175" s="525" t="s">
        <v>420</v>
      </c>
      <c r="D175" s="525">
        <v>580046860</v>
      </c>
      <c r="E175" s="525">
        <v>40000397</v>
      </c>
      <c r="F175" s="525" t="s">
        <v>492</v>
      </c>
      <c r="G175" s="525" t="s">
        <v>544</v>
      </c>
      <c r="H175" s="526">
        <v>180000</v>
      </c>
      <c r="I175" s="526">
        <v>0</v>
      </c>
      <c r="J175" s="525" t="s">
        <v>438</v>
      </c>
      <c r="K175" s="525" t="s">
        <v>439</v>
      </c>
    </row>
    <row r="176" spans="1:11" x14ac:dyDescent="0.25">
      <c r="A176" s="524">
        <v>1001854398</v>
      </c>
      <c r="B176" s="525" t="s">
        <v>613</v>
      </c>
      <c r="C176" s="525" t="s">
        <v>433</v>
      </c>
      <c r="D176" s="525">
        <v>580265304</v>
      </c>
      <c r="E176" s="525">
        <v>40000635</v>
      </c>
      <c r="F176" s="525" t="s">
        <v>533</v>
      </c>
      <c r="G176" s="525" t="s">
        <v>544</v>
      </c>
      <c r="H176" s="526">
        <v>34000</v>
      </c>
      <c r="I176" s="526">
        <v>0</v>
      </c>
      <c r="J176" s="525" t="s">
        <v>438</v>
      </c>
      <c r="K176" s="525" t="s">
        <v>439</v>
      </c>
    </row>
    <row r="177" spans="1:11" x14ac:dyDescent="0.25">
      <c r="A177" s="524">
        <v>1001854440</v>
      </c>
      <c r="B177" s="525" t="s">
        <v>614</v>
      </c>
      <c r="C177" s="525" t="s">
        <v>420</v>
      </c>
      <c r="D177" s="525">
        <v>500243308</v>
      </c>
      <c r="E177" s="525">
        <v>20000192</v>
      </c>
      <c r="F177" s="525" t="s">
        <v>540</v>
      </c>
      <c r="G177" s="525" t="s">
        <v>544</v>
      </c>
      <c r="H177" s="526">
        <v>78000</v>
      </c>
      <c r="I177" s="526">
        <v>0</v>
      </c>
      <c r="J177" s="525" t="s">
        <v>438</v>
      </c>
      <c r="K177" s="525" t="s">
        <v>439</v>
      </c>
    </row>
    <row r="178" spans="1:11" x14ac:dyDescent="0.25">
      <c r="A178" s="524">
        <v>1001898325</v>
      </c>
      <c r="B178" s="525" t="s">
        <v>525</v>
      </c>
      <c r="C178" s="525" t="s">
        <v>433</v>
      </c>
      <c r="D178" s="525">
        <v>580181741</v>
      </c>
      <c r="E178" s="525">
        <v>40000538</v>
      </c>
      <c r="F178" s="525" t="s">
        <v>526</v>
      </c>
      <c r="G178" s="525" t="s">
        <v>544</v>
      </c>
      <c r="H178" s="526">
        <v>300000</v>
      </c>
      <c r="I178" s="526">
        <v>0</v>
      </c>
      <c r="J178" s="525" t="s">
        <v>438</v>
      </c>
      <c r="K178" s="525" t="s">
        <v>439</v>
      </c>
    </row>
    <row r="179" spans="1:11" x14ac:dyDescent="0.25">
      <c r="A179" s="524">
        <v>1001899111</v>
      </c>
      <c r="B179" s="525" t="s">
        <v>615</v>
      </c>
      <c r="C179" s="525" t="s">
        <v>433</v>
      </c>
      <c r="D179" s="525">
        <v>500243308</v>
      </c>
      <c r="E179" s="525">
        <v>20000192</v>
      </c>
      <c r="F179" s="525" t="s">
        <v>540</v>
      </c>
      <c r="G179" s="525" t="s">
        <v>544</v>
      </c>
      <c r="H179" s="526">
        <v>78000</v>
      </c>
      <c r="I179" s="526">
        <v>0</v>
      </c>
      <c r="J179" s="525" t="s">
        <v>438</v>
      </c>
      <c r="K179" s="525" t="s">
        <v>439</v>
      </c>
    </row>
    <row r="180" spans="1:11" x14ac:dyDescent="0.25">
      <c r="A180" s="524">
        <v>1001899138</v>
      </c>
      <c r="B180" s="525" t="s">
        <v>616</v>
      </c>
      <c r="C180" s="525" t="s">
        <v>433</v>
      </c>
      <c r="D180" s="525">
        <v>510177587</v>
      </c>
      <c r="E180" s="525">
        <v>40000007</v>
      </c>
      <c r="F180" s="525" t="s">
        <v>617</v>
      </c>
      <c r="G180" s="525" t="s">
        <v>544</v>
      </c>
      <c r="H180" s="526">
        <v>300000</v>
      </c>
      <c r="I180" s="526">
        <v>0</v>
      </c>
      <c r="J180" s="525" t="s">
        <v>438</v>
      </c>
      <c r="K180" s="525" t="s">
        <v>439</v>
      </c>
    </row>
    <row r="181" spans="1:11" x14ac:dyDescent="0.25">
      <c r="A181" s="524"/>
      <c r="B181" s="525"/>
      <c r="C181" s="525"/>
      <c r="D181" s="525"/>
      <c r="E181" s="525"/>
      <c r="F181" s="525"/>
      <c r="G181" s="525"/>
      <c r="H181" s="526"/>
      <c r="I181" s="526"/>
      <c r="J181" s="525"/>
      <c r="K181" s="525"/>
    </row>
    <row r="182" spans="1:11" x14ac:dyDescent="0.25">
      <c r="A182" s="524"/>
      <c r="B182" s="525"/>
      <c r="C182" s="525"/>
      <c r="D182" s="525"/>
      <c r="E182" s="525"/>
      <c r="F182" s="525"/>
      <c r="G182" s="525"/>
      <c r="H182" s="526"/>
      <c r="I182" s="526"/>
      <c r="J182" s="525"/>
      <c r="K182" s="525"/>
    </row>
    <row r="183" spans="1:11" x14ac:dyDescent="0.25">
      <c r="A183" s="524"/>
      <c r="B183" s="525"/>
      <c r="C183" s="525"/>
      <c r="D183" s="525"/>
      <c r="E183" s="525"/>
      <c r="F183" s="525"/>
      <c r="G183" s="525"/>
      <c r="H183" s="526"/>
      <c r="I183" s="526"/>
      <c r="J183" s="525"/>
      <c r="K183" s="525"/>
    </row>
    <row r="184" spans="1:11" x14ac:dyDescent="0.25">
      <c r="A184" s="524"/>
      <c r="B184" s="525"/>
      <c r="C184" s="525"/>
      <c r="D184" s="525"/>
      <c r="E184" s="525"/>
      <c r="F184" s="525"/>
      <c r="G184" s="525"/>
      <c r="H184" s="526"/>
      <c r="I184" s="526"/>
      <c r="J184" s="525"/>
      <c r="K184" s="525"/>
    </row>
    <row r="185" spans="1:11" x14ac:dyDescent="0.25">
      <c r="A185" s="524"/>
      <c r="B185" s="525"/>
      <c r="C185" s="525"/>
      <c r="D185" s="525"/>
      <c r="E185" s="525"/>
      <c r="F185" s="525"/>
      <c r="G185" s="525"/>
      <c r="H185" s="526"/>
      <c r="I185" s="526"/>
      <c r="J185" s="525"/>
      <c r="K185" s="525"/>
    </row>
    <row r="186" spans="1:11" x14ac:dyDescent="0.25">
      <c r="A186" s="524"/>
      <c r="B186" s="525"/>
      <c r="C186" s="525"/>
      <c r="D186" s="525"/>
      <c r="E186" s="525"/>
      <c r="F186" s="525"/>
      <c r="G186" s="525"/>
      <c r="H186" s="526"/>
      <c r="I186" s="526"/>
      <c r="J186" s="525"/>
      <c r="K186" s="525"/>
    </row>
    <row r="187" spans="1:11" x14ac:dyDescent="0.25">
      <c r="A187" s="524"/>
      <c r="B187" s="525"/>
      <c r="C187" s="525"/>
      <c r="D187" s="525"/>
      <c r="E187" s="525"/>
      <c r="F187" s="525"/>
      <c r="G187" s="525"/>
      <c r="H187" s="526"/>
      <c r="I187" s="526"/>
      <c r="J187" s="525"/>
      <c r="K187" s="525"/>
    </row>
    <row r="188" spans="1:11" x14ac:dyDescent="0.25">
      <c r="A188" s="524"/>
      <c r="B188" s="525"/>
      <c r="C188" s="525"/>
      <c r="D188" s="525"/>
      <c r="E188" s="525"/>
      <c r="F188" s="525"/>
      <c r="G188" s="525"/>
      <c r="H188" s="526"/>
      <c r="I188" s="526"/>
      <c r="J188" s="525"/>
      <c r="K188" s="525"/>
    </row>
    <row r="189" spans="1:11" x14ac:dyDescent="0.25">
      <c r="A189" s="524"/>
      <c r="B189" s="525"/>
      <c r="C189" s="525"/>
      <c r="D189" s="525"/>
      <c r="E189" s="525"/>
      <c r="F189" s="525"/>
      <c r="G189" s="525"/>
      <c r="H189" s="526"/>
      <c r="I189" s="526"/>
      <c r="J189" s="525"/>
      <c r="K189" s="525"/>
    </row>
    <row r="190" spans="1:11" x14ac:dyDescent="0.25">
      <c r="A190" s="524"/>
      <c r="B190" s="525"/>
      <c r="C190" s="525"/>
      <c r="D190" s="525"/>
      <c r="E190" s="525"/>
      <c r="F190" s="525"/>
      <c r="G190" s="525"/>
      <c r="H190" s="526"/>
      <c r="I190" s="526"/>
      <c r="J190" s="525"/>
      <c r="K190" s="525"/>
    </row>
    <row r="191" spans="1:11" x14ac:dyDescent="0.25">
      <c r="A191" s="524"/>
      <c r="B191" s="525"/>
      <c r="C191" s="525"/>
      <c r="D191" s="525"/>
      <c r="E191" s="525"/>
      <c r="F191" s="525"/>
      <c r="G191" s="525"/>
      <c r="H191" s="526"/>
      <c r="I191" s="526"/>
      <c r="J191" s="525"/>
      <c r="K191" s="525"/>
    </row>
    <row r="192" spans="1:11" x14ac:dyDescent="0.25">
      <c r="A192" s="524"/>
      <c r="B192" s="525"/>
      <c r="C192" s="525"/>
      <c r="D192" s="525"/>
      <c r="E192" s="525"/>
      <c r="F192" s="525"/>
      <c r="G192" s="525"/>
      <c r="H192" s="526"/>
      <c r="I192" s="526"/>
      <c r="J192" s="525"/>
      <c r="K192" s="525"/>
    </row>
    <row r="193" spans="1:11" x14ac:dyDescent="0.25">
      <c r="A193" s="524"/>
      <c r="B193" s="525"/>
      <c r="C193" s="525"/>
      <c r="D193" s="525"/>
      <c r="E193" s="525"/>
      <c r="F193" s="525"/>
      <c r="G193" s="525"/>
      <c r="H193" s="526"/>
      <c r="I193" s="526"/>
      <c r="J193" s="525"/>
      <c r="K193" s="525"/>
    </row>
    <row r="194" spans="1:11" x14ac:dyDescent="0.25">
      <c r="A194" s="524"/>
      <c r="B194" s="525"/>
      <c r="C194" s="525"/>
      <c r="D194" s="525"/>
      <c r="E194" s="525"/>
      <c r="F194" s="525"/>
      <c r="G194" s="525"/>
      <c r="H194" s="526"/>
      <c r="I194" s="526"/>
      <c r="J194" s="525"/>
      <c r="K194" s="525"/>
    </row>
    <row r="195" spans="1:11" x14ac:dyDescent="0.25">
      <c r="A195" s="524"/>
      <c r="B195" s="525"/>
      <c r="C195" s="525"/>
      <c r="D195" s="525"/>
      <c r="E195" s="525"/>
      <c r="F195" s="525"/>
      <c r="G195" s="525"/>
      <c r="H195" s="526"/>
      <c r="I195" s="526"/>
      <c r="J195" s="525"/>
      <c r="K195" s="525"/>
    </row>
    <row r="196" spans="1:11" x14ac:dyDescent="0.25">
      <c r="A196" s="524"/>
      <c r="B196" s="525"/>
      <c r="C196" s="525"/>
      <c r="D196" s="525"/>
      <c r="E196" s="525"/>
      <c r="F196" s="525"/>
      <c r="G196" s="525"/>
      <c r="H196" s="526"/>
      <c r="I196" s="526"/>
      <c r="J196" s="525"/>
      <c r="K196" s="525"/>
    </row>
    <row r="197" spans="1:11" x14ac:dyDescent="0.25">
      <c r="A197" s="524"/>
      <c r="B197" s="525"/>
      <c r="C197" s="525"/>
      <c r="D197" s="525"/>
      <c r="E197" s="525"/>
      <c r="F197" s="525"/>
      <c r="G197" s="525"/>
      <c r="H197" s="526"/>
      <c r="I197" s="526"/>
      <c r="J197" s="525"/>
      <c r="K197" s="525"/>
    </row>
    <row r="198" spans="1:11" x14ac:dyDescent="0.25">
      <c r="A198" s="524"/>
      <c r="B198" s="525"/>
      <c r="C198" s="525"/>
      <c r="D198" s="525"/>
      <c r="E198" s="525"/>
      <c r="F198" s="525"/>
      <c r="G198" s="525"/>
      <c r="H198" s="526"/>
      <c r="I198" s="526"/>
      <c r="J198" s="525"/>
      <c r="K198" s="525"/>
    </row>
    <row r="199" spans="1:11" x14ac:dyDescent="0.25">
      <c r="A199" s="524"/>
      <c r="B199" s="525"/>
      <c r="C199" s="525"/>
      <c r="D199" s="525"/>
      <c r="E199" s="525"/>
      <c r="F199" s="525"/>
      <c r="G199" s="525"/>
      <c r="H199" s="526"/>
      <c r="I199" s="526"/>
      <c r="J199" s="525"/>
      <c r="K199" s="525"/>
    </row>
    <row r="200" spans="1:11" x14ac:dyDescent="0.25">
      <c r="A200" s="524"/>
      <c r="B200" s="525"/>
      <c r="C200" s="525"/>
      <c r="D200" s="525"/>
      <c r="E200" s="525"/>
      <c r="F200" s="525"/>
      <c r="G200" s="525"/>
      <c r="H200" s="526"/>
      <c r="I200" s="526"/>
      <c r="J200" s="525"/>
      <c r="K200" s="525"/>
    </row>
    <row r="201" spans="1:11" x14ac:dyDescent="0.25">
      <c r="A201" s="524"/>
      <c r="B201" s="525"/>
      <c r="C201" s="525"/>
      <c r="D201" s="525"/>
      <c r="E201" s="525"/>
      <c r="F201" s="525"/>
      <c r="G201" s="525"/>
      <c r="H201" s="526"/>
      <c r="I201" s="526"/>
      <c r="J201" s="525"/>
      <c r="K201" s="525"/>
    </row>
    <row r="202" spans="1:11" x14ac:dyDescent="0.25">
      <c r="A202" s="524"/>
      <c r="B202" s="525"/>
      <c r="C202" s="525"/>
      <c r="D202" s="525"/>
      <c r="E202" s="525"/>
      <c r="F202" s="525"/>
      <c r="G202" s="525"/>
      <c r="H202" s="526"/>
      <c r="I202" s="526"/>
      <c r="J202" s="525"/>
      <c r="K202" s="525"/>
    </row>
    <row r="203" spans="1:11" x14ac:dyDescent="0.25">
      <c r="A203" s="524"/>
      <c r="B203" s="525"/>
      <c r="C203" s="525"/>
      <c r="D203" s="525"/>
      <c r="E203" s="525"/>
      <c r="F203" s="525"/>
      <c r="G203" s="525"/>
      <c r="H203" s="526"/>
      <c r="I203" s="526"/>
      <c r="J203" s="525"/>
      <c r="K203" s="525"/>
    </row>
    <row r="204" spans="1:11" x14ac:dyDescent="0.25">
      <c r="A204" s="524"/>
      <c r="B204" s="525"/>
      <c r="C204" s="525"/>
      <c r="D204" s="525"/>
      <c r="E204" s="525"/>
      <c r="F204" s="525"/>
      <c r="G204" s="525"/>
      <c r="H204" s="526"/>
      <c r="I204" s="526"/>
      <c r="J204" s="525"/>
      <c r="K204" s="525"/>
    </row>
    <row r="205" spans="1:11" x14ac:dyDescent="0.25">
      <c r="A205" s="524"/>
      <c r="B205" s="525"/>
      <c r="C205" s="525"/>
      <c r="D205" s="525"/>
      <c r="E205" s="525"/>
      <c r="F205" s="525"/>
      <c r="G205" s="525"/>
      <c r="H205" s="526"/>
      <c r="I205" s="526"/>
      <c r="J205" s="525"/>
      <c r="K205" s="525"/>
    </row>
    <row r="206" spans="1:11" x14ac:dyDescent="0.25">
      <c r="A206" s="524"/>
      <c r="B206" s="525"/>
      <c r="C206" s="525"/>
      <c r="D206" s="525"/>
      <c r="E206" s="525"/>
      <c r="F206" s="525"/>
      <c r="G206" s="525"/>
      <c r="H206" s="526"/>
      <c r="I206" s="526"/>
      <c r="J206" s="525"/>
      <c r="K206" s="525"/>
    </row>
    <row r="207" spans="1:11" x14ac:dyDescent="0.25">
      <c r="A207" s="524"/>
      <c r="B207" s="525"/>
      <c r="C207" s="525"/>
      <c r="D207" s="525"/>
      <c r="E207" s="525"/>
      <c r="F207" s="525"/>
      <c r="G207" s="525"/>
      <c r="H207" s="526"/>
      <c r="I207" s="526"/>
      <c r="J207" s="525"/>
      <c r="K207" s="525"/>
    </row>
    <row r="208" spans="1:11" x14ac:dyDescent="0.25">
      <c r="A208" s="524"/>
      <c r="B208" s="525"/>
      <c r="C208" s="525"/>
      <c r="D208" s="525"/>
      <c r="E208" s="525"/>
      <c r="F208" s="525"/>
      <c r="G208" s="525"/>
      <c r="H208" s="526"/>
      <c r="I208" s="526"/>
      <c r="J208" s="525"/>
      <c r="K208" s="525"/>
    </row>
    <row r="209" spans="1:11" x14ac:dyDescent="0.25">
      <c r="A209" s="524"/>
      <c r="B209" s="525"/>
      <c r="C209" s="525"/>
      <c r="D209" s="525"/>
      <c r="E209" s="525"/>
      <c r="F209" s="525"/>
      <c r="G209" s="525"/>
      <c r="H209" s="526"/>
      <c r="I209" s="526"/>
      <c r="J209" s="525"/>
      <c r="K209" s="525"/>
    </row>
    <row r="210" spans="1:11" x14ac:dyDescent="0.25">
      <c r="A210" s="524"/>
      <c r="B210" s="525"/>
      <c r="C210" s="525"/>
      <c r="D210" s="525"/>
      <c r="E210" s="525"/>
      <c r="F210" s="525"/>
      <c r="G210" s="525"/>
      <c r="H210" s="526"/>
      <c r="I210" s="526"/>
      <c r="J210" s="525"/>
      <c r="K210" s="525"/>
    </row>
    <row r="211" spans="1:11" x14ac:dyDescent="0.25">
      <c r="A211" s="524"/>
      <c r="B211" s="525"/>
      <c r="C211" s="525"/>
      <c r="D211" s="525"/>
      <c r="E211" s="525"/>
      <c r="F211" s="525"/>
      <c r="G211" s="525"/>
      <c r="H211" s="526"/>
      <c r="I211" s="526"/>
      <c r="J211" s="525"/>
      <c r="K211" s="525"/>
    </row>
    <row r="212" spans="1:11" x14ac:dyDescent="0.25">
      <c r="A212" s="524"/>
      <c r="B212" s="525"/>
      <c r="C212" s="525"/>
      <c r="D212" s="525"/>
      <c r="E212" s="525"/>
      <c r="F212" s="525"/>
      <c r="G212" s="525"/>
      <c r="H212" s="526"/>
      <c r="I212" s="526"/>
      <c r="J212" s="525"/>
      <c r="K212" s="525"/>
    </row>
    <row r="213" spans="1:11" x14ac:dyDescent="0.25">
      <c r="A213" s="524"/>
      <c r="B213" s="525"/>
      <c r="C213" s="525"/>
      <c r="D213" s="525"/>
      <c r="E213" s="525"/>
      <c r="F213" s="525"/>
      <c r="G213" s="525"/>
      <c r="H213" s="526"/>
      <c r="I213" s="526"/>
      <c r="J213" s="525"/>
      <c r="K213" s="525"/>
    </row>
    <row r="214" spans="1:11" x14ac:dyDescent="0.25">
      <c r="A214" s="524"/>
      <c r="B214" s="525"/>
      <c r="C214" s="525"/>
      <c r="D214" s="525"/>
      <c r="E214" s="525"/>
      <c r="F214" s="525"/>
      <c r="G214" s="525"/>
      <c r="H214" s="526"/>
      <c r="I214" s="526"/>
      <c r="J214" s="525"/>
      <c r="K214" s="525"/>
    </row>
    <row r="215" spans="1:11" x14ac:dyDescent="0.25">
      <c r="A215" s="524"/>
      <c r="B215" s="525"/>
      <c r="C215" s="525"/>
      <c r="D215" s="525"/>
      <c r="E215" s="525"/>
      <c r="F215" s="525"/>
      <c r="G215" s="525"/>
      <c r="H215" s="526"/>
      <c r="I215" s="526"/>
      <c r="J215" s="525"/>
      <c r="K215" s="525"/>
    </row>
    <row r="216" spans="1:11" x14ac:dyDescent="0.25">
      <c r="A216" s="524"/>
      <c r="B216" s="525"/>
      <c r="C216" s="525"/>
      <c r="D216" s="525"/>
      <c r="E216" s="525"/>
      <c r="F216" s="525"/>
      <c r="G216" s="525"/>
      <c r="H216" s="526"/>
      <c r="I216" s="526"/>
      <c r="J216" s="525"/>
      <c r="K216" s="525"/>
    </row>
    <row r="217" spans="1:11" x14ac:dyDescent="0.25">
      <c r="A217" s="524"/>
      <c r="B217" s="525"/>
      <c r="C217" s="525"/>
      <c r="D217" s="525"/>
      <c r="E217" s="525"/>
      <c r="F217" s="525"/>
      <c r="G217" s="525"/>
      <c r="H217" s="526"/>
      <c r="I217" s="526"/>
      <c r="J217" s="525"/>
      <c r="K217" s="525"/>
    </row>
    <row r="218" spans="1:11" x14ac:dyDescent="0.25">
      <c r="A218" s="524"/>
      <c r="B218" s="525"/>
      <c r="C218" s="525"/>
      <c r="D218" s="525"/>
      <c r="E218" s="525"/>
      <c r="F218" s="525"/>
      <c r="G218" s="525"/>
      <c r="H218" s="526"/>
      <c r="I218" s="526"/>
      <c r="J218" s="525"/>
      <c r="K218" s="525"/>
    </row>
    <row r="219" spans="1:11" x14ac:dyDescent="0.25">
      <c r="A219" s="524"/>
      <c r="B219" s="525"/>
      <c r="C219" s="525"/>
      <c r="D219" s="525"/>
      <c r="E219" s="525"/>
      <c r="F219" s="525"/>
      <c r="G219" s="525"/>
      <c r="H219" s="526"/>
      <c r="I219" s="526"/>
      <c r="J219" s="525"/>
      <c r="K219" s="525"/>
    </row>
    <row r="220" spans="1:11" x14ac:dyDescent="0.25">
      <c r="A220" s="524"/>
      <c r="B220" s="525"/>
      <c r="C220" s="525"/>
      <c r="D220" s="525"/>
      <c r="E220" s="525"/>
      <c r="F220" s="525"/>
      <c r="G220" s="525"/>
      <c r="H220" s="526"/>
      <c r="I220" s="526"/>
      <c r="J220" s="525"/>
      <c r="K220" s="525"/>
    </row>
    <row r="221" spans="1:11" x14ac:dyDescent="0.25">
      <c r="A221" s="524"/>
      <c r="B221" s="525"/>
      <c r="C221" s="525"/>
      <c r="D221" s="525"/>
      <c r="E221" s="525"/>
      <c r="F221" s="525"/>
      <c r="G221" s="525"/>
      <c r="H221" s="526"/>
      <c r="I221" s="526"/>
      <c r="J221" s="525"/>
      <c r="K221" s="525"/>
    </row>
    <row r="222" spans="1:11" x14ac:dyDescent="0.25">
      <c r="A222" s="524"/>
      <c r="B222" s="525"/>
      <c r="C222" s="525"/>
      <c r="D222" s="525"/>
      <c r="E222" s="525"/>
      <c r="F222" s="525"/>
      <c r="G222" s="525"/>
      <c r="H222" s="526"/>
      <c r="I222" s="526"/>
      <c r="J222" s="525"/>
      <c r="K222" s="525"/>
    </row>
    <row r="223" spans="1:11" x14ac:dyDescent="0.25">
      <c r="A223" s="524"/>
      <c r="B223" s="525"/>
      <c r="C223" s="525"/>
      <c r="D223" s="525"/>
      <c r="E223" s="525"/>
      <c r="F223" s="525"/>
      <c r="G223" s="525"/>
      <c r="H223" s="526"/>
      <c r="I223" s="526"/>
      <c r="J223" s="525"/>
      <c r="K223" s="525"/>
    </row>
    <row r="224" spans="1:11" x14ac:dyDescent="0.25">
      <c r="A224" s="524"/>
      <c r="B224" s="525"/>
      <c r="C224" s="525"/>
      <c r="D224" s="525"/>
      <c r="E224" s="525"/>
      <c r="F224" s="525"/>
      <c r="G224" s="525"/>
      <c r="H224" s="526"/>
      <c r="I224" s="526"/>
      <c r="J224" s="525"/>
      <c r="K224" s="525"/>
    </row>
    <row r="225" spans="1:11" x14ac:dyDescent="0.25">
      <c r="A225" s="524"/>
      <c r="B225" s="525"/>
      <c r="C225" s="525"/>
      <c r="D225" s="525"/>
      <c r="E225" s="525"/>
      <c r="F225" s="525"/>
      <c r="G225" s="525"/>
      <c r="H225" s="526"/>
      <c r="I225" s="526"/>
      <c r="J225" s="525"/>
      <c r="K225" s="525"/>
    </row>
    <row r="226" spans="1:11" x14ac:dyDescent="0.25">
      <c r="A226" s="524"/>
      <c r="B226" s="525"/>
      <c r="C226" s="525"/>
      <c r="D226" s="525"/>
      <c r="E226" s="525"/>
      <c r="F226" s="525"/>
      <c r="G226" s="525"/>
      <c r="H226" s="526"/>
      <c r="I226" s="526"/>
      <c r="J226" s="525"/>
      <c r="K226" s="525"/>
    </row>
    <row r="227" spans="1:11" x14ac:dyDescent="0.25">
      <c r="A227" s="524"/>
      <c r="B227" s="525"/>
      <c r="C227" s="525"/>
      <c r="D227" s="525"/>
      <c r="E227" s="525"/>
      <c r="F227" s="525"/>
      <c r="G227" s="525"/>
      <c r="H227" s="526"/>
      <c r="I227" s="526"/>
      <c r="J227" s="525"/>
      <c r="K227" s="525"/>
    </row>
    <row r="228" spans="1:11" x14ac:dyDescent="0.25">
      <c r="A228" s="524"/>
      <c r="B228" s="525"/>
      <c r="C228" s="525"/>
      <c r="D228" s="525"/>
      <c r="E228" s="525"/>
      <c r="F228" s="525"/>
      <c r="G228" s="525"/>
      <c r="H228" s="526"/>
      <c r="I228" s="526"/>
      <c r="J228" s="525"/>
      <c r="K228" s="525"/>
    </row>
    <row r="229" spans="1:11" x14ac:dyDescent="0.25">
      <c r="A229" s="524"/>
      <c r="B229" s="525"/>
      <c r="C229" s="525"/>
      <c r="D229" s="525"/>
      <c r="E229" s="525"/>
      <c r="F229" s="525"/>
      <c r="G229" s="525"/>
      <c r="H229" s="526"/>
      <c r="I229" s="526"/>
      <c r="J229" s="525"/>
      <c r="K229" s="525"/>
    </row>
    <row r="230" spans="1:11" x14ac:dyDescent="0.25">
      <c r="A230" s="524"/>
      <c r="B230" s="525"/>
      <c r="C230" s="525"/>
      <c r="D230" s="525"/>
      <c r="E230" s="525"/>
      <c r="F230" s="525"/>
      <c r="G230" s="525"/>
      <c r="H230" s="526"/>
      <c r="I230" s="526"/>
      <c r="J230" s="525"/>
      <c r="K230" s="525"/>
    </row>
    <row r="231" spans="1:11" x14ac:dyDescent="0.25">
      <c r="A231" s="524"/>
      <c r="B231" s="525"/>
      <c r="C231" s="525"/>
      <c r="D231" s="525"/>
      <c r="E231" s="525"/>
      <c r="F231" s="525"/>
      <c r="G231" s="525"/>
      <c r="H231" s="526"/>
      <c r="I231" s="526"/>
      <c r="J231" s="525"/>
      <c r="K231" s="525"/>
    </row>
    <row r="232" spans="1:11" x14ac:dyDescent="0.25">
      <c r="A232" s="524"/>
      <c r="B232" s="525"/>
      <c r="C232" s="525"/>
      <c r="D232" s="525"/>
      <c r="E232" s="525"/>
      <c r="F232" s="525"/>
      <c r="G232" s="525"/>
      <c r="H232" s="526"/>
      <c r="I232" s="526"/>
      <c r="J232" s="525"/>
      <c r="K232" s="525"/>
    </row>
    <row r="233" spans="1:11" x14ac:dyDescent="0.25">
      <c r="A233" s="524"/>
      <c r="B233" s="525"/>
      <c r="C233" s="525"/>
      <c r="D233" s="525"/>
      <c r="E233" s="525"/>
      <c r="F233" s="525"/>
      <c r="G233" s="525"/>
      <c r="H233" s="526"/>
      <c r="I233" s="526"/>
      <c r="J233" s="525"/>
      <c r="K233" s="525"/>
    </row>
    <row r="234" spans="1:11" x14ac:dyDescent="0.25">
      <c r="A234" s="524"/>
      <c r="B234" s="525"/>
      <c r="C234" s="525"/>
      <c r="D234" s="525"/>
      <c r="E234" s="525"/>
      <c r="F234" s="525"/>
      <c r="G234" s="525"/>
      <c r="H234" s="526"/>
      <c r="I234" s="526"/>
      <c r="J234" s="525"/>
      <c r="K234" s="525"/>
    </row>
    <row r="235" spans="1:11" x14ac:dyDescent="0.25">
      <c r="A235" s="524"/>
      <c r="B235" s="525"/>
      <c r="C235" s="525"/>
      <c r="D235" s="527"/>
      <c r="E235" s="527"/>
      <c r="F235" s="527"/>
      <c r="G235" s="525"/>
      <c r="H235" s="526"/>
      <c r="I235" s="526"/>
      <c r="J235" s="525"/>
      <c r="K235" s="525"/>
    </row>
    <row r="236" spans="1:11" x14ac:dyDescent="0.25">
      <c r="A236" s="524"/>
      <c r="B236" s="525"/>
      <c r="C236" s="525"/>
      <c r="D236" s="527"/>
      <c r="E236" s="527"/>
      <c r="F236" s="527"/>
      <c r="G236" s="525"/>
      <c r="H236" s="526"/>
      <c r="I236" s="526"/>
      <c r="J236" s="525"/>
      <c r="K236" s="525"/>
    </row>
    <row r="237" spans="1:11" x14ac:dyDescent="0.25">
      <c r="A237" s="524"/>
      <c r="B237" s="525"/>
      <c r="C237" s="525"/>
      <c r="D237" s="527"/>
      <c r="E237" s="527"/>
      <c r="F237" s="527"/>
      <c r="G237" s="525"/>
      <c r="H237" s="526"/>
      <c r="I237" s="526"/>
      <c r="J237" s="525"/>
      <c r="K237" s="525"/>
    </row>
    <row r="238" spans="1:11" x14ac:dyDescent="0.25">
      <c r="A238" s="524"/>
      <c r="B238" s="525"/>
      <c r="C238" s="525"/>
      <c r="D238" s="527"/>
      <c r="E238" s="527"/>
      <c r="F238" s="527"/>
      <c r="G238" s="525"/>
      <c r="H238" s="526"/>
      <c r="I238" s="526"/>
      <c r="J238" s="525"/>
      <c r="K238" s="525"/>
    </row>
    <row r="239" spans="1:11" x14ac:dyDescent="0.25">
      <c r="A239" s="524"/>
      <c r="B239" s="525"/>
      <c r="C239" s="525"/>
      <c r="D239" s="527"/>
      <c r="E239" s="527"/>
      <c r="F239" s="527"/>
      <c r="G239" s="525"/>
      <c r="H239" s="526"/>
      <c r="I239" s="526"/>
      <c r="J239" s="525"/>
      <c r="K239" s="525"/>
    </row>
    <row r="240" spans="1:11" x14ac:dyDescent="0.25">
      <c r="A240" s="524"/>
      <c r="B240" s="525"/>
      <c r="C240" s="525"/>
      <c r="D240" s="527"/>
      <c r="E240" s="527"/>
      <c r="F240" s="527"/>
      <c r="G240" s="525"/>
      <c r="H240" s="526"/>
      <c r="I240" s="526"/>
      <c r="J240" s="525"/>
      <c r="K240" s="525"/>
    </row>
    <row r="241" spans="1:11" x14ac:dyDescent="0.25">
      <c r="A241" s="524"/>
      <c r="B241" s="525"/>
      <c r="C241" s="525"/>
      <c r="D241" s="527"/>
      <c r="E241" s="527"/>
      <c r="F241" s="527"/>
      <c r="G241" s="525"/>
      <c r="H241" s="526"/>
      <c r="I241" s="526"/>
      <c r="J241" s="525"/>
      <c r="K241" s="525"/>
    </row>
    <row r="242" spans="1:11" x14ac:dyDescent="0.25">
      <c r="A242" s="524"/>
      <c r="B242" s="525"/>
      <c r="C242" s="525"/>
      <c r="D242" s="527"/>
      <c r="E242" s="527"/>
      <c r="F242" s="527"/>
      <c r="G242" s="525"/>
      <c r="H242" s="526"/>
      <c r="I242" s="526"/>
      <c r="J242" s="525"/>
      <c r="K242" s="525"/>
    </row>
    <row r="243" spans="1:11" x14ac:dyDescent="0.25">
      <c r="A243" s="524"/>
      <c r="B243" s="525"/>
      <c r="C243" s="525"/>
      <c r="D243" s="527"/>
      <c r="E243" s="527"/>
      <c r="F243" s="527"/>
      <c r="G243" s="525"/>
      <c r="H243" s="526"/>
      <c r="I243" s="526"/>
      <c r="J243" s="525"/>
      <c r="K243" s="525"/>
    </row>
    <row r="244" spans="1:11" x14ac:dyDescent="0.25">
      <c r="A244" s="524"/>
      <c r="B244" s="525"/>
      <c r="C244" s="525"/>
      <c r="D244" s="527"/>
      <c r="E244" s="527"/>
      <c r="F244" s="527"/>
      <c r="G244" s="525"/>
      <c r="H244" s="526"/>
      <c r="I244" s="526"/>
      <c r="J244" s="525"/>
      <c r="K244" s="525"/>
    </row>
    <row r="245" spans="1:11" x14ac:dyDescent="0.25">
      <c r="A245" s="524"/>
      <c r="B245" s="525"/>
      <c r="C245" s="525"/>
      <c r="D245" s="527"/>
      <c r="E245" s="527"/>
      <c r="F245" s="527"/>
      <c r="G245" s="525"/>
      <c r="H245" s="526"/>
      <c r="I245" s="526"/>
      <c r="J245" s="525"/>
      <c r="K245" s="525"/>
    </row>
    <row r="246" spans="1:11" x14ac:dyDescent="0.25">
      <c r="A246" s="524"/>
      <c r="B246" s="525"/>
      <c r="C246" s="525"/>
      <c r="D246" s="527"/>
      <c r="E246" s="527"/>
      <c r="F246" s="527"/>
      <c r="G246" s="525"/>
      <c r="H246" s="526"/>
      <c r="I246" s="526"/>
      <c r="J246" s="525"/>
      <c r="K246" s="525"/>
    </row>
    <row r="247" spans="1:11" x14ac:dyDescent="0.25">
      <c r="A247" s="524"/>
      <c r="B247" s="525"/>
      <c r="C247" s="525"/>
      <c r="D247" s="527"/>
      <c r="E247" s="527"/>
      <c r="F247" s="527"/>
      <c r="G247" s="525"/>
      <c r="H247" s="526"/>
      <c r="I247" s="526"/>
      <c r="J247" s="525"/>
      <c r="K247" s="525"/>
    </row>
    <row r="248" spans="1:11" x14ac:dyDescent="0.25">
      <c r="A248" s="524"/>
      <c r="B248" s="525"/>
      <c r="C248" s="525"/>
      <c r="D248" s="527"/>
      <c r="E248" s="527"/>
      <c r="F248" s="527"/>
      <c r="G248" s="525"/>
      <c r="H248" s="526"/>
      <c r="I248" s="526"/>
      <c r="J248" s="525"/>
      <c r="K248" s="525"/>
    </row>
    <row r="249" spans="1:11" x14ac:dyDescent="0.25">
      <c r="A249" s="524"/>
      <c r="B249" s="525"/>
      <c r="C249" s="525"/>
      <c r="D249" s="527"/>
      <c r="E249" s="527"/>
      <c r="F249" s="527"/>
      <c r="G249" s="525"/>
      <c r="H249" s="526"/>
      <c r="I249" s="526"/>
      <c r="J249" s="525"/>
      <c r="K249" s="525"/>
    </row>
    <row r="250" spans="1:11" x14ac:dyDescent="0.25">
      <c r="A250" s="524"/>
      <c r="B250" s="525"/>
      <c r="C250" s="525"/>
      <c r="D250" s="527"/>
      <c r="E250" s="527"/>
      <c r="F250" s="527"/>
      <c r="G250" s="525"/>
      <c r="H250" s="526"/>
      <c r="I250" s="526"/>
      <c r="J250" s="525"/>
      <c r="K250" s="525"/>
    </row>
    <row r="251" spans="1:11" x14ac:dyDescent="0.25">
      <c r="A251" s="524"/>
      <c r="B251" s="525"/>
      <c r="C251" s="525"/>
      <c r="D251" s="527"/>
      <c r="E251" s="527"/>
      <c r="F251" s="527"/>
      <c r="G251" s="525"/>
      <c r="H251" s="526"/>
      <c r="I251" s="526"/>
      <c r="J251" s="525"/>
      <c r="K251" s="525"/>
    </row>
    <row r="252" spans="1:11" x14ac:dyDescent="0.25">
      <c r="A252" s="524"/>
      <c r="B252" s="525"/>
      <c r="C252" s="525"/>
      <c r="D252" s="527"/>
      <c r="E252" s="527"/>
      <c r="F252" s="527"/>
      <c r="G252" s="525"/>
      <c r="H252" s="526"/>
      <c r="I252" s="526"/>
      <c r="J252" s="525"/>
      <c r="K252" s="525"/>
    </row>
    <row r="253" spans="1:11" x14ac:dyDescent="0.25">
      <c r="A253" s="524"/>
      <c r="B253" s="525"/>
      <c r="C253" s="525"/>
      <c r="D253" s="527"/>
      <c r="E253" s="527"/>
      <c r="F253" s="527"/>
      <c r="G253" s="525"/>
      <c r="H253" s="526"/>
      <c r="I253" s="526"/>
      <c r="J253" s="525"/>
      <c r="K253" s="525"/>
    </row>
    <row r="254" spans="1:11" x14ac:dyDescent="0.25">
      <c r="A254" s="524"/>
      <c r="B254" s="525"/>
      <c r="C254" s="525"/>
      <c r="D254" s="527"/>
      <c r="E254" s="527"/>
      <c r="F254" s="527"/>
      <c r="G254" s="525"/>
      <c r="H254" s="526"/>
      <c r="I254" s="526"/>
      <c r="J254" s="525"/>
      <c r="K254" s="525"/>
    </row>
    <row r="255" spans="1:11" x14ac:dyDescent="0.25">
      <c r="A255" s="524"/>
      <c r="B255" s="525"/>
      <c r="C255" s="525"/>
      <c r="D255" s="527"/>
      <c r="E255" s="527"/>
      <c r="F255" s="527"/>
      <c r="G255" s="525"/>
      <c r="H255" s="526"/>
      <c r="I255" s="526"/>
      <c r="J255" s="525"/>
      <c r="K255" s="525"/>
    </row>
    <row r="256" spans="1:11" x14ac:dyDescent="0.25">
      <c r="A256" s="524"/>
      <c r="B256" s="525"/>
      <c r="C256" s="525"/>
      <c r="D256" s="527"/>
      <c r="E256" s="527"/>
      <c r="F256" s="527"/>
      <c r="G256" s="525"/>
      <c r="H256" s="526"/>
      <c r="I256" s="526"/>
      <c r="J256" s="525"/>
      <c r="K256" s="525"/>
    </row>
    <row r="257" spans="1:11" x14ac:dyDescent="0.25">
      <c r="A257" s="524"/>
      <c r="B257" s="525"/>
      <c r="C257" s="525"/>
      <c r="D257" s="527"/>
      <c r="E257" s="527"/>
      <c r="F257" s="527"/>
      <c r="G257" s="525"/>
      <c r="H257" s="526"/>
      <c r="I257" s="526"/>
      <c r="J257" s="525"/>
      <c r="K257" s="525"/>
    </row>
    <row r="258" spans="1:11" x14ac:dyDescent="0.25">
      <c r="A258" s="524"/>
      <c r="B258" s="525"/>
      <c r="C258" s="525"/>
      <c r="D258" s="527"/>
      <c r="E258" s="527"/>
      <c r="F258" s="527"/>
      <c r="G258" s="525"/>
      <c r="H258" s="526"/>
      <c r="I258" s="526"/>
      <c r="J258" s="525"/>
      <c r="K258" s="525"/>
    </row>
    <row r="259" spans="1:11" x14ac:dyDescent="0.25">
      <c r="A259" s="524"/>
      <c r="B259" s="525"/>
      <c r="C259" s="525"/>
      <c r="D259" s="527"/>
      <c r="E259" s="527"/>
      <c r="F259" s="527"/>
      <c r="G259" s="525"/>
      <c r="H259" s="526"/>
      <c r="I259" s="526"/>
      <c r="J259" s="525"/>
      <c r="K259" s="525"/>
    </row>
    <row r="260" spans="1:11" x14ac:dyDescent="0.25">
      <c r="A260" s="524"/>
      <c r="B260" s="525"/>
      <c r="C260" s="525"/>
      <c r="D260" s="527"/>
      <c r="E260" s="527"/>
      <c r="F260" s="527"/>
      <c r="G260" s="525"/>
      <c r="H260" s="526"/>
      <c r="I260" s="526"/>
      <c r="J260" s="525"/>
      <c r="K260" s="525"/>
    </row>
    <row r="261" spans="1:11" x14ac:dyDescent="0.25">
      <c r="A261" s="524"/>
      <c r="B261" s="525"/>
      <c r="C261" s="525"/>
      <c r="D261" s="527"/>
      <c r="E261" s="527"/>
      <c r="F261" s="527"/>
      <c r="G261" s="525"/>
      <c r="H261" s="526"/>
      <c r="I261" s="526"/>
      <c r="J261" s="525"/>
      <c r="K261" s="525"/>
    </row>
    <row r="262" spans="1:11" x14ac:dyDescent="0.25">
      <c r="A262" s="524"/>
      <c r="B262" s="525"/>
      <c r="C262" s="525"/>
      <c r="D262" s="527"/>
      <c r="E262" s="527"/>
      <c r="F262" s="527"/>
      <c r="G262" s="525"/>
      <c r="H262" s="526"/>
      <c r="I262" s="526"/>
      <c r="J262" s="525"/>
      <c r="K262" s="525"/>
    </row>
    <row r="263" spans="1:11" x14ac:dyDescent="0.25">
      <c r="A263" s="524"/>
      <c r="B263" s="525"/>
      <c r="C263" s="525"/>
      <c r="D263" s="527"/>
      <c r="E263" s="527"/>
      <c r="F263" s="527"/>
      <c r="G263" s="525"/>
      <c r="H263" s="526"/>
      <c r="I263" s="526"/>
      <c r="J263" s="525"/>
      <c r="K263" s="525"/>
    </row>
    <row r="264" spans="1:11" x14ac:dyDescent="0.25">
      <c r="A264" s="524"/>
      <c r="B264" s="525"/>
      <c r="C264" s="525"/>
      <c r="D264" s="527"/>
      <c r="E264" s="527"/>
      <c r="F264" s="527"/>
      <c r="G264" s="525"/>
      <c r="H264" s="526"/>
      <c r="I264" s="526"/>
      <c r="J264" s="525"/>
      <c r="K264" s="525"/>
    </row>
    <row r="265" spans="1:11" x14ac:dyDescent="0.25">
      <c r="A265" s="524"/>
      <c r="B265" s="525"/>
      <c r="C265" s="525"/>
      <c r="D265" s="527"/>
      <c r="E265" s="527"/>
      <c r="F265" s="527"/>
      <c r="G265" s="525"/>
      <c r="H265" s="526"/>
      <c r="I265" s="526"/>
      <c r="J265" s="525"/>
      <c r="K265" s="525"/>
    </row>
    <row r="266" spans="1:11" x14ac:dyDescent="0.25">
      <c r="A266" s="524"/>
      <c r="B266" s="525"/>
      <c r="C266" s="525"/>
      <c r="D266" s="527"/>
      <c r="E266" s="527"/>
      <c r="F266" s="527"/>
      <c r="G266" s="525"/>
      <c r="H266" s="526"/>
      <c r="I266" s="526"/>
      <c r="J266" s="525"/>
      <c r="K266" s="525"/>
    </row>
    <row r="267" spans="1:11" x14ac:dyDescent="0.25">
      <c r="A267" s="524"/>
      <c r="B267" s="525"/>
      <c r="C267" s="525"/>
      <c r="D267" s="527"/>
      <c r="E267" s="527"/>
      <c r="F267" s="527"/>
      <c r="G267" s="525"/>
      <c r="H267" s="526"/>
      <c r="I267" s="526"/>
      <c r="J267" s="525"/>
      <c r="K267" s="525"/>
    </row>
    <row r="268" spans="1:11" x14ac:dyDescent="0.25">
      <c r="A268" s="524"/>
      <c r="B268" s="525"/>
      <c r="C268" s="525"/>
      <c r="D268" s="527"/>
      <c r="E268" s="527"/>
      <c r="F268" s="527"/>
      <c r="G268" s="525"/>
      <c r="H268" s="526"/>
      <c r="I268" s="526"/>
      <c r="J268" s="525"/>
      <c r="K268" s="525"/>
    </row>
    <row r="269" spans="1:11" x14ac:dyDescent="0.25">
      <c r="A269" s="524"/>
      <c r="B269" s="525"/>
      <c r="C269" s="525"/>
      <c r="D269" s="527"/>
      <c r="E269" s="527"/>
      <c r="F269" s="527"/>
      <c r="G269" s="525"/>
      <c r="H269" s="526"/>
      <c r="I269" s="526"/>
      <c r="J269" s="525"/>
      <c r="K269" s="525"/>
    </row>
    <row r="270" spans="1:11" x14ac:dyDescent="0.25">
      <c r="A270" s="524"/>
      <c r="B270" s="525"/>
      <c r="C270" s="525"/>
      <c r="D270" s="527"/>
      <c r="E270" s="527"/>
      <c r="F270" s="527"/>
      <c r="G270" s="525"/>
      <c r="H270" s="526"/>
      <c r="I270" s="526"/>
      <c r="J270" s="525"/>
      <c r="K270" s="525"/>
    </row>
    <row r="271" spans="1:11" x14ac:dyDescent="0.25">
      <c r="A271" s="524"/>
      <c r="B271" s="525"/>
      <c r="C271" s="525"/>
      <c r="D271" s="527"/>
      <c r="E271" s="527"/>
      <c r="F271" s="527"/>
      <c r="G271" s="525"/>
      <c r="H271" s="526"/>
      <c r="I271" s="526"/>
      <c r="J271" s="525"/>
      <c r="K271" s="525"/>
    </row>
    <row r="272" spans="1:11" x14ac:dyDescent="0.25">
      <c r="A272" s="524"/>
      <c r="B272" s="525"/>
      <c r="C272" s="525"/>
      <c r="D272" s="527"/>
      <c r="E272" s="527"/>
      <c r="F272" s="527"/>
      <c r="G272" s="525"/>
      <c r="H272" s="526"/>
      <c r="I272" s="526"/>
      <c r="J272" s="525"/>
      <c r="K272" s="525"/>
    </row>
    <row r="273" spans="1:11" x14ac:dyDescent="0.25">
      <c r="A273" s="524"/>
      <c r="B273" s="525"/>
      <c r="C273" s="525"/>
      <c r="D273" s="527"/>
      <c r="E273" s="527"/>
      <c r="F273" s="527"/>
      <c r="G273" s="525"/>
      <c r="H273" s="526"/>
      <c r="I273" s="526"/>
      <c r="J273" s="525"/>
      <c r="K273" s="525"/>
    </row>
    <row r="274" spans="1:11" x14ac:dyDescent="0.25">
      <c r="A274" s="524"/>
      <c r="B274" s="525"/>
      <c r="C274" s="525"/>
      <c r="D274" s="527"/>
      <c r="E274" s="527"/>
      <c r="F274" s="527"/>
      <c r="G274" s="525"/>
      <c r="H274" s="526"/>
      <c r="I274" s="526"/>
      <c r="J274" s="525"/>
      <c r="K274" s="525"/>
    </row>
    <row r="275" spans="1:11" x14ac:dyDescent="0.25">
      <c r="A275" s="524"/>
      <c r="B275" s="525"/>
      <c r="C275" s="525"/>
      <c r="D275" s="527"/>
      <c r="E275" s="527"/>
      <c r="F275" s="527"/>
      <c r="G275" s="525"/>
      <c r="H275" s="526"/>
      <c r="I275" s="526"/>
      <c r="J275" s="525"/>
      <c r="K275" s="525"/>
    </row>
    <row r="276" spans="1:11" x14ac:dyDescent="0.25">
      <c r="A276" s="524"/>
      <c r="B276" s="525"/>
      <c r="C276" s="525"/>
      <c r="D276" s="527"/>
      <c r="E276" s="527"/>
      <c r="F276" s="527"/>
      <c r="G276" s="525"/>
      <c r="H276" s="526"/>
      <c r="I276" s="526"/>
      <c r="J276" s="525"/>
      <c r="K276" s="525"/>
    </row>
    <row r="277" spans="1:11" x14ac:dyDescent="0.25">
      <c r="A277" s="524"/>
      <c r="B277" s="525"/>
      <c r="C277" s="525"/>
      <c r="D277" s="527"/>
      <c r="E277" s="527"/>
      <c r="F277" s="527"/>
      <c r="G277" s="525"/>
      <c r="H277" s="526"/>
      <c r="I277" s="526"/>
      <c r="J277" s="525"/>
      <c r="K277" s="525"/>
    </row>
    <row r="278" spans="1:11" x14ac:dyDescent="0.25">
      <c r="A278" s="524"/>
      <c r="B278" s="525"/>
      <c r="C278" s="525"/>
      <c r="D278" s="527"/>
      <c r="E278" s="527"/>
      <c r="F278" s="527"/>
      <c r="G278" s="525"/>
      <c r="H278" s="526"/>
      <c r="I278" s="526"/>
      <c r="J278" s="525"/>
      <c r="K278" s="525"/>
    </row>
    <row r="279" spans="1:11" x14ac:dyDescent="0.25">
      <c r="A279" s="524"/>
      <c r="B279" s="525"/>
      <c r="C279" s="525"/>
      <c r="D279" s="527"/>
      <c r="E279" s="527"/>
      <c r="F279" s="527"/>
      <c r="G279" s="525"/>
      <c r="H279" s="526"/>
      <c r="I279" s="526"/>
      <c r="J279" s="525"/>
      <c r="K279" s="525"/>
    </row>
    <row r="280" spans="1:11" x14ac:dyDescent="0.25">
      <c r="A280" s="524"/>
      <c r="B280" s="525"/>
      <c r="C280" s="525"/>
      <c r="D280" s="527"/>
      <c r="E280" s="527"/>
      <c r="F280" s="527"/>
      <c r="G280" s="525"/>
      <c r="H280" s="526"/>
      <c r="I280" s="526"/>
      <c r="J280" s="525"/>
      <c r="K280" s="525"/>
    </row>
    <row r="281" spans="1:11" x14ac:dyDescent="0.25">
      <c r="A281" s="524"/>
      <c r="B281" s="525"/>
      <c r="C281" s="525"/>
      <c r="D281" s="527"/>
      <c r="E281" s="527"/>
      <c r="F281" s="527"/>
      <c r="G281" s="525"/>
      <c r="H281" s="526"/>
      <c r="I281" s="526"/>
      <c r="J281" s="525"/>
      <c r="K281" s="525"/>
    </row>
    <row r="282" spans="1:11" x14ac:dyDescent="0.25">
      <c r="A282" s="524"/>
      <c r="B282" s="525"/>
      <c r="C282" s="525"/>
      <c r="D282" s="527"/>
      <c r="E282" s="527"/>
      <c r="F282" s="527"/>
      <c r="G282" s="525"/>
      <c r="H282" s="526"/>
      <c r="I282" s="526"/>
      <c r="J282" s="525"/>
      <c r="K282" s="525"/>
    </row>
    <row r="283" spans="1:11" x14ac:dyDescent="0.25">
      <c r="A283" s="524"/>
      <c r="B283" s="525"/>
      <c r="C283" s="525"/>
      <c r="D283" s="527"/>
      <c r="E283" s="527"/>
      <c r="F283" s="527"/>
      <c r="G283" s="525"/>
      <c r="H283" s="526"/>
      <c r="I283" s="526"/>
      <c r="J283" s="525"/>
      <c r="K283" s="525"/>
    </row>
    <row r="284" spans="1:11" x14ac:dyDescent="0.25">
      <c r="A284" s="524"/>
      <c r="B284" s="525"/>
      <c r="C284" s="525"/>
      <c r="D284" s="527"/>
      <c r="E284" s="527"/>
      <c r="F284" s="527"/>
      <c r="G284" s="525"/>
      <c r="H284" s="526"/>
      <c r="I284" s="526"/>
      <c r="J284" s="525"/>
      <c r="K284" s="525"/>
    </row>
    <row r="285" spans="1:11" x14ac:dyDescent="0.25">
      <c r="A285" s="524"/>
      <c r="B285" s="525"/>
      <c r="C285" s="525"/>
      <c r="D285" s="527"/>
      <c r="E285" s="527"/>
      <c r="F285" s="527"/>
      <c r="G285" s="525"/>
      <c r="H285" s="526"/>
      <c r="I285" s="526"/>
      <c r="J285" s="525"/>
      <c r="K285" s="525"/>
    </row>
    <row r="286" spans="1:11" x14ac:dyDescent="0.25">
      <c r="A286" s="524"/>
      <c r="B286" s="525"/>
      <c r="C286" s="525"/>
      <c r="D286" s="527"/>
      <c r="E286" s="527"/>
      <c r="F286" s="527"/>
      <c r="G286" s="525"/>
      <c r="H286" s="526"/>
      <c r="I286" s="526"/>
      <c r="J286" s="525"/>
      <c r="K286" s="525"/>
    </row>
    <row r="287" spans="1:11" x14ac:dyDescent="0.25">
      <c r="A287" s="524"/>
      <c r="B287" s="525"/>
      <c r="C287" s="525"/>
      <c r="D287" s="527"/>
      <c r="E287" s="527"/>
      <c r="F287" s="527"/>
      <c r="G287" s="525"/>
      <c r="H287" s="526"/>
      <c r="I287" s="526"/>
      <c r="J287" s="525"/>
      <c r="K287" s="525"/>
    </row>
    <row r="288" spans="1:11" x14ac:dyDescent="0.25">
      <c r="A288" s="524"/>
      <c r="B288" s="525"/>
      <c r="C288" s="525"/>
      <c r="D288" s="527"/>
      <c r="E288" s="527"/>
      <c r="F288" s="527"/>
      <c r="G288" s="525"/>
      <c r="H288" s="526"/>
      <c r="I288" s="526"/>
      <c r="J288" s="525"/>
      <c r="K288" s="525"/>
    </row>
    <row r="289" spans="1:11" x14ac:dyDescent="0.25">
      <c r="A289" s="524"/>
      <c r="B289" s="525"/>
      <c r="C289" s="525"/>
      <c r="D289" s="527"/>
      <c r="E289" s="527"/>
      <c r="F289" s="527"/>
      <c r="G289" s="525"/>
      <c r="H289" s="526"/>
      <c r="I289" s="526"/>
      <c r="J289" s="525"/>
      <c r="K289" s="525"/>
    </row>
    <row r="290" spans="1:11" x14ac:dyDescent="0.25">
      <c r="A290" s="524"/>
      <c r="B290" s="525"/>
      <c r="C290" s="525"/>
      <c r="D290" s="527"/>
      <c r="E290" s="527"/>
      <c r="F290" s="527"/>
      <c r="G290" s="525"/>
      <c r="H290" s="526"/>
      <c r="I290" s="526"/>
      <c r="J290" s="525"/>
      <c r="K290" s="525"/>
    </row>
    <row r="291" spans="1:11" x14ac:dyDescent="0.25">
      <c r="A291" s="524"/>
      <c r="B291" s="525"/>
      <c r="C291" s="525"/>
      <c r="D291" s="527"/>
      <c r="E291" s="527"/>
      <c r="F291" s="527"/>
      <c r="G291" s="525"/>
      <c r="H291" s="526"/>
      <c r="I291" s="526"/>
      <c r="J291" s="525"/>
      <c r="K291" s="525"/>
    </row>
    <row r="292" spans="1:11" x14ac:dyDescent="0.25">
      <c r="A292" s="524"/>
      <c r="B292" s="525"/>
      <c r="C292" s="525"/>
      <c r="D292" s="527"/>
      <c r="E292" s="527"/>
      <c r="F292" s="527"/>
      <c r="G292" s="525"/>
      <c r="H292" s="526"/>
      <c r="I292" s="526"/>
      <c r="J292" s="525"/>
      <c r="K292" s="525"/>
    </row>
    <row r="293" spans="1:11" x14ac:dyDescent="0.25">
      <c r="A293" s="524"/>
      <c r="B293" s="525"/>
      <c r="C293" s="525"/>
      <c r="D293" s="527"/>
      <c r="E293" s="527"/>
      <c r="F293" s="527"/>
      <c r="G293" s="525"/>
      <c r="H293" s="526"/>
      <c r="I293" s="526"/>
      <c r="J293" s="525"/>
      <c r="K293" s="525"/>
    </row>
    <row r="294" spans="1:11" x14ac:dyDescent="0.25">
      <c r="A294" s="524"/>
      <c r="B294" s="525"/>
      <c r="C294" s="525"/>
      <c r="D294" s="527"/>
      <c r="E294" s="527"/>
      <c r="F294" s="527"/>
      <c r="G294" s="525"/>
      <c r="H294" s="526"/>
      <c r="I294" s="526"/>
      <c r="J294" s="525"/>
      <c r="K294" s="525"/>
    </row>
    <row r="295" spans="1:11" x14ac:dyDescent="0.25">
      <c r="A295" s="524"/>
      <c r="B295" s="525"/>
      <c r="C295" s="525"/>
      <c r="D295" s="527"/>
      <c r="E295" s="527"/>
      <c r="F295" s="527"/>
      <c r="G295" s="525"/>
      <c r="H295" s="526"/>
      <c r="I295" s="526"/>
      <c r="J295" s="525"/>
      <c r="K295" s="525"/>
    </row>
    <row r="296" spans="1:11" x14ac:dyDescent="0.25">
      <c r="A296" s="524"/>
      <c r="B296" s="525"/>
      <c r="C296" s="525"/>
      <c r="D296" s="527"/>
      <c r="E296" s="527"/>
      <c r="F296" s="527"/>
      <c r="G296" s="525"/>
      <c r="H296" s="526"/>
      <c r="I296" s="526"/>
      <c r="J296" s="525"/>
      <c r="K296" s="525"/>
    </row>
    <row r="297" spans="1:11" x14ac:dyDescent="0.25">
      <c r="A297" s="524"/>
      <c r="B297" s="525"/>
      <c r="C297" s="525"/>
      <c r="D297" s="527"/>
      <c r="E297" s="527"/>
      <c r="F297" s="527"/>
      <c r="G297" s="525"/>
      <c r="H297" s="526"/>
      <c r="I297" s="526"/>
      <c r="J297" s="525"/>
      <c r="K297" s="525"/>
    </row>
    <row r="298" spans="1:11" x14ac:dyDescent="0.25">
      <c r="A298" s="524"/>
      <c r="B298" s="525"/>
      <c r="C298" s="525"/>
      <c r="D298" s="527"/>
      <c r="E298" s="527"/>
      <c r="F298" s="527"/>
      <c r="G298" s="525"/>
      <c r="H298" s="526"/>
      <c r="I298" s="526"/>
      <c r="J298" s="525"/>
      <c r="K298" s="525"/>
    </row>
    <row r="299" spans="1:11" x14ac:dyDescent="0.25">
      <c r="A299" s="524"/>
      <c r="B299" s="525"/>
      <c r="C299" s="525"/>
      <c r="D299" s="527"/>
      <c r="E299" s="527"/>
      <c r="F299" s="527"/>
      <c r="G299" s="525"/>
      <c r="H299" s="526"/>
      <c r="I299" s="526"/>
      <c r="J299" s="525"/>
      <c r="K299" s="525"/>
    </row>
    <row r="300" spans="1:11" x14ac:dyDescent="0.25">
      <c r="A300" s="524"/>
      <c r="B300" s="525"/>
      <c r="C300" s="525"/>
      <c r="D300" s="527"/>
      <c r="E300" s="527"/>
      <c r="F300" s="527"/>
      <c r="G300" s="525"/>
      <c r="H300" s="526"/>
      <c r="I300" s="526"/>
      <c r="J300" s="525"/>
      <c r="K300" s="525"/>
    </row>
    <row r="301" spans="1:11" x14ac:dyDescent="0.25">
      <c r="A301" s="524"/>
      <c r="B301" s="525"/>
      <c r="C301" s="525"/>
      <c r="D301" s="527"/>
      <c r="E301" s="527"/>
      <c r="F301" s="527"/>
      <c r="G301" s="525"/>
      <c r="H301" s="526"/>
      <c r="I301" s="526"/>
      <c r="J301" s="525"/>
      <c r="K301" s="525"/>
    </row>
    <row r="302" spans="1:11" x14ac:dyDescent="0.25">
      <c r="A302" s="524"/>
      <c r="B302" s="525"/>
      <c r="C302" s="525"/>
      <c r="D302" s="527"/>
      <c r="E302" s="527"/>
      <c r="F302" s="527"/>
      <c r="G302" s="525"/>
      <c r="H302" s="526"/>
      <c r="I302" s="526"/>
      <c r="J302" s="525"/>
      <c r="K302" s="525"/>
    </row>
    <row r="303" spans="1:11" x14ac:dyDescent="0.25">
      <c r="A303" s="524"/>
      <c r="B303" s="525"/>
      <c r="C303" s="525"/>
      <c r="D303" s="527"/>
      <c r="E303" s="527"/>
      <c r="F303" s="527"/>
      <c r="G303" s="525"/>
      <c r="H303" s="526"/>
      <c r="I303" s="526"/>
      <c r="J303" s="525"/>
      <c r="K303" s="525"/>
    </row>
    <row r="304" spans="1:11" x14ac:dyDescent="0.25">
      <c r="A304" s="524"/>
      <c r="B304" s="525"/>
      <c r="C304" s="525"/>
      <c r="D304" s="527"/>
      <c r="E304" s="527"/>
      <c r="F304" s="527"/>
      <c r="G304" s="525"/>
      <c r="H304" s="526"/>
      <c r="I304" s="526"/>
      <c r="J304" s="525"/>
      <c r="K304" s="525"/>
    </row>
    <row r="305" spans="1:11" x14ac:dyDescent="0.25">
      <c r="A305" s="524"/>
      <c r="B305" s="525"/>
      <c r="C305" s="525"/>
      <c r="D305" s="527"/>
      <c r="E305" s="527"/>
      <c r="F305" s="527"/>
      <c r="G305" s="525"/>
      <c r="H305" s="526"/>
      <c r="I305" s="526"/>
      <c r="J305" s="525"/>
      <c r="K305" s="525"/>
    </row>
    <row r="306" spans="1:11" x14ac:dyDescent="0.25">
      <c r="A306" s="524"/>
      <c r="B306" s="525"/>
      <c r="C306" s="525"/>
      <c r="D306" s="527"/>
      <c r="E306" s="527"/>
      <c r="F306" s="527"/>
      <c r="G306" s="525"/>
      <c r="H306" s="526"/>
      <c r="I306" s="526"/>
      <c r="J306" s="525"/>
      <c r="K306" s="525"/>
    </row>
    <row r="307" spans="1:11" x14ac:dyDescent="0.25">
      <c r="A307" s="524"/>
      <c r="B307" s="525"/>
      <c r="C307" s="525"/>
      <c r="D307" s="527"/>
      <c r="E307" s="527"/>
      <c r="F307" s="527"/>
      <c r="G307" s="525"/>
      <c r="H307" s="526"/>
      <c r="I307" s="526"/>
      <c r="J307" s="525"/>
      <c r="K307" s="525"/>
    </row>
    <row r="308" spans="1:11" x14ac:dyDescent="0.25">
      <c r="A308" s="524"/>
      <c r="B308" s="525"/>
      <c r="C308" s="525"/>
      <c r="D308" s="527"/>
      <c r="E308" s="527"/>
      <c r="F308" s="527"/>
      <c r="G308" s="525"/>
      <c r="H308" s="526"/>
      <c r="I308" s="526"/>
      <c r="J308" s="525"/>
      <c r="K308" s="525"/>
    </row>
    <row r="309" spans="1:11" x14ac:dyDescent="0.25">
      <c r="A309" s="524"/>
      <c r="B309" s="525"/>
      <c r="C309" s="525"/>
      <c r="D309" s="527"/>
      <c r="E309" s="527"/>
      <c r="F309" s="527"/>
      <c r="G309" s="525"/>
      <c r="H309" s="526"/>
      <c r="I309" s="526"/>
      <c r="J309" s="525"/>
      <c r="K309" s="525"/>
    </row>
    <row r="310" spans="1:11" x14ac:dyDescent="0.25">
      <c r="A310" s="524"/>
      <c r="B310" s="525"/>
      <c r="C310" s="525"/>
      <c r="D310" s="527"/>
      <c r="E310" s="527"/>
      <c r="F310" s="527"/>
      <c r="G310" s="525"/>
      <c r="H310" s="526"/>
      <c r="I310" s="526"/>
      <c r="J310" s="525"/>
      <c r="K310" s="525"/>
    </row>
    <row r="311" spans="1:11" x14ac:dyDescent="0.25">
      <c r="A311" s="524"/>
      <c r="B311" s="525"/>
      <c r="C311" s="525"/>
      <c r="D311" s="527"/>
      <c r="E311" s="527"/>
      <c r="F311" s="527"/>
      <c r="G311" s="525"/>
      <c r="H311" s="526"/>
      <c r="I311" s="526"/>
      <c r="J311" s="525"/>
      <c r="K311" s="525"/>
    </row>
    <row r="312" spans="1:11" x14ac:dyDescent="0.25">
      <c r="A312" s="524"/>
      <c r="B312" s="525"/>
      <c r="C312" s="525"/>
      <c r="D312" s="527"/>
      <c r="E312" s="527"/>
      <c r="F312" s="527"/>
      <c r="G312" s="525"/>
      <c r="H312" s="526"/>
      <c r="I312" s="526"/>
      <c r="J312" s="525"/>
      <c r="K312" s="525"/>
    </row>
    <row r="313" spans="1:11" x14ac:dyDescent="0.25">
      <c r="A313" s="524"/>
      <c r="B313" s="525"/>
      <c r="C313" s="525"/>
      <c r="D313" s="527"/>
      <c r="E313" s="527"/>
      <c r="F313" s="527"/>
      <c r="G313" s="525"/>
      <c r="H313" s="526"/>
      <c r="I313" s="526"/>
      <c r="J313" s="525"/>
      <c r="K313" s="525"/>
    </row>
    <row r="314" spans="1:11" x14ac:dyDescent="0.25">
      <c r="A314" s="524"/>
      <c r="B314" s="525"/>
      <c r="C314" s="525"/>
      <c r="D314" s="527"/>
      <c r="E314" s="527"/>
      <c r="F314" s="527"/>
      <c r="G314" s="525"/>
      <c r="H314" s="526"/>
      <c r="I314" s="526"/>
      <c r="J314" s="525"/>
      <c r="K314" s="525"/>
    </row>
    <row r="315" spans="1:11" x14ac:dyDescent="0.25">
      <c r="A315" s="524"/>
      <c r="B315" s="525"/>
      <c r="C315" s="525"/>
      <c r="D315" s="527"/>
      <c r="E315" s="527"/>
      <c r="F315" s="527"/>
      <c r="G315" s="525"/>
      <c r="H315" s="526"/>
      <c r="I315" s="526"/>
      <c r="J315" s="525"/>
      <c r="K315" s="525"/>
    </row>
    <row r="316" spans="1:11" x14ac:dyDescent="0.25">
      <c r="A316" s="524"/>
      <c r="B316" s="525"/>
      <c r="C316" s="525"/>
      <c r="D316" s="527"/>
      <c r="E316" s="527"/>
      <c r="F316" s="527"/>
      <c r="G316" s="525"/>
      <c r="H316" s="526"/>
      <c r="I316" s="526"/>
      <c r="J316" s="525"/>
      <c r="K316" s="525"/>
    </row>
    <row r="317" spans="1:11" x14ac:dyDescent="0.25">
      <c r="A317" s="524"/>
      <c r="B317" s="525"/>
      <c r="C317" s="525"/>
      <c r="D317" s="527"/>
      <c r="E317" s="527"/>
      <c r="F317" s="527"/>
      <c r="G317" s="525"/>
      <c r="H317" s="526"/>
      <c r="I317" s="526"/>
      <c r="J317" s="525"/>
      <c r="K317" s="525"/>
    </row>
    <row r="318" spans="1:11" x14ac:dyDescent="0.25">
      <c r="A318" s="524"/>
      <c r="B318" s="525"/>
      <c r="C318" s="525"/>
      <c r="D318" s="527"/>
      <c r="E318" s="527"/>
      <c r="F318" s="527"/>
      <c r="G318" s="525"/>
      <c r="H318" s="526"/>
      <c r="I318" s="526"/>
      <c r="J318" s="525"/>
      <c r="K318" s="525"/>
    </row>
    <row r="319" spans="1:11" x14ac:dyDescent="0.25">
      <c r="A319" s="524"/>
      <c r="B319" s="525"/>
      <c r="C319" s="525"/>
      <c r="D319" s="527"/>
      <c r="E319" s="527"/>
      <c r="F319" s="527"/>
      <c r="G319" s="525"/>
      <c r="H319" s="526"/>
      <c r="I319" s="526"/>
      <c r="J319" s="525"/>
      <c r="K319" s="525"/>
    </row>
    <row r="320" spans="1:11" x14ac:dyDescent="0.25">
      <c r="A320" s="524"/>
      <c r="B320" s="525"/>
      <c r="C320" s="525"/>
      <c r="D320" s="527"/>
      <c r="E320" s="527"/>
      <c r="F320" s="527"/>
      <c r="G320" s="525"/>
      <c r="H320" s="526"/>
      <c r="I320" s="526"/>
      <c r="J320" s="525"/>
      <c r="K320" s="525"/>
    </row>
    <row r="321" spans="1:11" x14ac:dyDescent="0.25">
      <c r="A321" s="524"/>
      <c r="B321" s="525"/>
      <c r="C321" s="525"/>
      <c r="D321" s="527"/>
      <c r="E321" s="527"/>
      <c r="F321" s="527"/>
      <c r="G321" s="525"/>
      <c r="H321" s="526"/>
      <c r="I321" s="526"/>
      <c r="J321" s="525"/>
      <c r="K321" s="525"/>
    </row>
    <row r="322" spans="1:11" x14ac:dyDescent="0.25">
      <c r="A322" s="524"/>
      <c r="B322" s="525"/>
      <c r="C322" s="525"/>
      <c r="D322" s="527"/>
      <c r="E322" s="527"/>
      <c r="F322" s="527"/>
      <c r="G322" s="525"/>
      <c r="H322" s="526"/>
      <c r="I322" s="526"/>
      <c r="J322" s="525"/>
      <c r="K322" s="525"/>
    </row>
    <row r="323" spans="1:11" x14ac:dyDescent="0.25">
      <c r="A323" s="524"/>
      <c r="B323" s="525"/>
      <c r="C323" s="525"/>
      <c r="D323" s="527"/>
      <c r="E323" s="527"/>
      <c r="F323" s="527"/>
      <c r="G323" s="525"/>
      <c r="H323" s="526"/>
      <c r="I323" s="526"/>
      <c r="J323" s="525"/>
      <c r="K323" s="525"/>
    </row>
    <row r="324" spans="1:11" x14ac:dyDescent="0.25">
      <c r="A324" s="524"/>
      <c r="B324" s="525"/>
      <c r="C324" s="525"/>
      <c r="D324" s="527"/>
      <c r="E324" s="527"/>
      <c r="F324" s="527"/>
      <c r="G324" s="525"/>
      <c r="H324" s="526"/>
      <c r="I324" s="526"/>
      <c r="J324" s="525"/>
      <c r="K324" s="525"/>
    </row>
    <row r="325" spans="1:11" x14ac:dyDescent="0.25">
      <c r="A325" s="524"/>
      <c r="B325" s="525"/>
      <c r="C325" s="525"/>
      <c r="D325" s="527"/>
      <c r="E325" s="527"/>
      <c r="F325" s="527"/>
      <c r="G325" s="525"/>
      <c r="H325" s="526"/>
      <c r="I325" s="526"/>
      <c r="J325" s="525"/>
      <c r="K325" s="525"/>
    </row>
    <row r="326" spans="1:11" x14ac:dyDescent="0.25">
      <c r="A326" s="524"/>
      <c r="B326" s="525"/>
      <c r="C326" s="525"/>
      <c r="D326" s="527"/>
      <c r="E326" s="527"/>
      <c r="F326" s="527"/>
      <c r="G326" s="525"/>
      <c r="H326" s="526"/>
      <c r="I326" s="526"/>
      <c r="J326" s="525"/>
      <c r="K326" s="525"/>
    </row>
    <row r="327" spans="1:11" x14ac:dyDescent="0.25">
      <c r="A327" s="524"/>
      <c r="B327" s="525"/>
      <c r="C327" s="525"/>
      <c r="D327" s="527"/>
      <c r="E327" s="527"/>
      <c r="F327" s="527"/>
      <c r="G327" s="525"/>
      <c r="H327" s="526"/>
      <c r="I327" s="526"/>
      <c r="J327" s="525"/>
      <c r="K327" s="525"/>
    </row>
    <row r="328" spans="1:11" x14ac:dyDescent="0.25">
      <c r="A328" s="524"/>
      <c r="B328" s="525"/>
      <c r="C328" s="525"/>
      <c r="D328" s="527"/>
      <c r="E328" s="527"/>
      <c r="F328" s="527"/>
      <c r="G328" s="525"/>
      <c r="H328" s="526"/>
      <c r="I328" s="526"/>
      <c r="J328" s="525"/>
      <c r="K328" s="525"/>
    </row>
    <row r="329" spans="1:11" x14ac:dyDescent="0.25">
      <c r="A329" s="524"/>
      <c r="B329" s="525"/>
      <c r="C329" s="525"/>
      <c r="D329" s="527"/>
      <c r="E329" s="527"/>
      <c r="F329" s="527"/>
      <c r="G329" s="525"/>
      <c r="H329" s="526"/>
      <c r="I329" s="526"/>
      <c r="J329" s="525"/>
      <c r="K329" s="525"/>
    </row>
    <row r="330" spans="1:11" x14ac:dyDescent="0.25">
      <c r="A330" s="524"/>
      <c r="B330" s="525"/>
      <c r="C330" s="525"/>
      <c r="D330" s="527"/>
      <c r="E330" s="527"/>
      <c r="F330" s="527"/>
      <c r="G330" s="525"/>
      <c r="H330" s="526"/>
      <c r="I330" s="526"/>
      <c r="J330" s="525"/>
      <c r="K330" s="525"/>
    </row>
    <row r="331" spans="1:11" x14ac:dyDescent="0.25">
      <c r="A331" s="524"/>
      <c r="B331" s="525"/>
      <c r="C331" s="525"/>
      <c r="D331" s="527"/>
      <c r="E331" s="527"/>
      <c r="F331" s="527"/>
      <c r="G331" s="525"/>
      <c r="H331" s="526"/>
      <c r="I331" s="526"/>
      <c r="J331" s="525"/>
      <c r="K331" s="525"/>
    </row>
    <row r="332" spans="1:11" x14ac:dyDescent="0.25">
      <c r="A332" s="524"/>
      <c r="B332" s="525"/>
      <c r="C332" s="525"/>
      <c r="D332" s="527"/>
      <c r="E332" s="527"/>
      <c r="F332" s="527"/>
      <c r="G332" s="525"/>
      <c r="H332" s="526"/>
      <c r="I332" s="526"/>
      <c r="J332" s="525"/>
      <c r="K332" s="525"/>
    </row>
    <row r="333" spans="1:11" x14ac:dyDescent="0.25">
      <c r="A333" s="524"/>
      <c r="B333" s="525"/>
      <c r="C333" s="525"/>
      <c r="D333" s="527"/>
      <c r="E333" s="527"/>
      <c r="F333" s="527"/>
      <c r="G333" s="525"/>
      <c r="H333" s="526"/>
      <c r="I333" s="526"/>
      <c r="J333" s="525"/>
      <c r="K333" s="525"/>
    </row>
    <row r="334" spans="1:11" x14ac:dyDescent="0.25">
      <c r="A334" s="524"/>
      <c r="B334" s="525"/>
      <c r="C334" s="525"/>
      <c r="D334" s="527"/>
      <c r="E334" s="527"/>
      <c r="F334" s="527"/>
      <c r="G334" s="525"/>
      <c r="H334" s="526"/>
      <c r="I334" s="526"/>
      <c r="J334" s="525"/>
      <c r="K334" s="525"/>
    </row>
    <row r="335" spans="1:11" x14ac:dyDescent="0.25">
      <c r="A335" s="524"/>
      <c r="B335" s="525"/>
      <c r="C335" s="525"/>
      <c r="D335" s="527"/>
      <c r="E335" s="527"/>
      <c r="F335" s="527"/>
      <c r="G335" s="525"/>
      <c r="H335" s="526"/>
      <c r="I335" s="526"/>
      <c r="J335" s="525"/>
      <c r="K335" s="525"/>
    </row>
    <row r="336" spans="1:11" x14ac:dyDescent="0.25">
      <c r="A336" s="524"/>
      <c r="B336" s="525"/>
      <c r="C336" s="525"/>
      <c r="D336" s="527"/>
      <c r="E336" s="527"/>
      <c r="F336" s="527"/>
      <c r="G336" s="525"/>
      <c r="H336" s="526"/>
      <c r="I336" s="526"/>
      <c r="J336" s="525"/>
      <c r="K336" s="525"/>
    </row>
    <row r="337" spans="1:11" x14ac:dyDescent="0.25">
      <c r="A337" s="524"/>
      <c r="B337" s="525"/>
      <c r="C337" s="525"/>
      <c r="D337" s="527"/>
      <c r="E337" s="527"/>
      <c r="F337" s="527"/>
      <c r="G337" s="525"/>
      <c r="H337" s="526"/>
      <c r="I337" s="526"/>
      <c r="J337" s="525"/>
      <c r="K337" s="525"/>
    </row>
    <row r="338" spans="1:11" x14ac:dyDescent="0.25">
      <c r="A338" s="524"/>
      <c r="B338" s="525"/>
      <c r="C338" s="525"/>
      <c r="D338" s="527"/>
      <c r="E338" s="527"/>
      <c r="F338" s="527"/>
      <c r="G338" s="525"/>
      <c r="H338" s="526"/>
      <c r="I338" s="526"/>
      <c r="J338" s="525"/>
      <c r="K338" s="525"/>
    </row>
    <row r="339" spans="1:11" x14ac:dyDescent="0.25">
      <c r="A339" s="524"/>
      <c r="B339" s="525"/>
      <c r="C339" s="525"/>
      <c r="D339" s="527"/>
      <c r="E339" s="527"/>
      <c r="F339" s="527"/>
      <c r="G339" s="525"/>
      <c r="H339" s="526"/>
      <c r="I339" s="526"/>
      <c r="J339" s="525"/>
      <c r="K339" s="525"/>
    </row>
    <row r="340" spans="1:11" x14ac:dyDescent="0.25">
      <c r="A340" s="524"/>
      <c r="B340" s="525"/>
      <c r="C340" s="525"/>
      <c r="D340" s="527"/>
      <c r="E340" s="527"/>
      <c r="F340" s="527"/>
      <c r="G340" s="525"/>
      <c r="H340" s="526"/>
      <c r="I340" s="526"/>
      <c r="J340" s="525"/>
      <c r="K340" s="525"/>
    </row>
    <row r="341" spans="1:11" x14ac:dyDescent="0.25">
      <c r="A341" s="524"/>
      <c r="B341" s="525"/>
      <c r="C341" s="525"/>
      <c r="D341" s="527"/>
      <c r="E341" s="527"/>
      <c r="F341" s="527"/>
      <c r="G341" s="525"/>
      <c r="H341" s="526"/>
      <c r="I341" s="526"/>
      <c r="J341" s="525"/>
      <c r="K341" s="525"/>
    </row>
    <row r="342" spans="1:11" x14ac:dyDescent="0.25">
      <c r="A342" s="524"/>
      <c r="B342" s="525"/>
      <c r="C342" s="525"/>
      <c r="D342" s="527"/>
      <c r="E342" s="527"/>
      <c r="F342" s="527"/>
      <c r="G342" s="525"/>
      <c r="H342" s="526"/>
      <c r="I342" s="526"/>
      <c r="J342" s="525"/>
      <c r="K342" s="525"/>
    </row>
    <row r="343" spans="1:11" x14ac:dyDescent="0.25">
      <c r="A343" s="524"/>
      <c r="B343" s="525"/>
      <c r="C343" s="525"/>
      <c r="D343" s="527"/>
      <c r="E343" s="527"/>
      <c r="F343" s="527"/>
      <c r="G343" s="525"/>
      <c r="H343" s="526"/>
      <c r="I343" s="526"/>
      <c r="J343" s="525"/>
      <c r="K343" s="525"/>
    </row>
    <row r="344" spans="1:11" x14ac:dyDescent="0.25">
      <c r="A344" s="524"/>
      <c r="B344" s="525"/>
      <c r="C344" s="525"/>
      <c r="D344" s="527"/>
      <c r="E344" s="527"/>
      <c r="F344" s="527"/>
      <c r="G344" s="525"/>
      <c r="H344" s="526"/>
      <c r="I344" s="526"/>
      <c r="J344" s="525"/>
      <c r="K344" s="525"/>
    </row>
    <row r="345" spans="1:11" x14ac:dyDescent="0.25">
      <c r="A345" s="524"/>
      <c r="B345" s="525"/>
      <c r="C345" s="525"/>
      <c r="D345" s="527"/>
      <c r="E345" s="527"/>
      <c r="F345" s="527"/>
      <c r="G345" s="525"/>
      <c r="H345" s="526"/>
      <c r="I345" s="526"/>
      <c r="J345" s="525"/>
      <c r="K345" s="525"/>
    </row>
    <row r="346" spans="1:11" x14ac:dyDescent="0.25">
      <c r="A346" s="524"/>
      <c r="B346" s="525"/>
      <c r="C346" s="525"/>
      <c r="D346" s="527"/>
      <c r="E346" s="527"/>
      <c r="F346" s="527"/>
      <c r="G346" s="525"/>
      <c r="H346" s="526"/>
      <c r="I346" s="526"/>
      <c r="J346" s="525"/>
      <c r="K346" s="525"/>
    </row>
    <row r="347" spans="1:11" x14ac:dyDescent="0.25">
      <c r="A347" s="524"/>
      <c r="B347" s="525"/>
      <c r="C347" s="525"/>
      <c r="D347" s="527"/>
      <c r="E347" s="527"/>
      <c r="F347" s="527"/>
      <c r="G347" s="525"/>
      <c r="H347" s="526"/>
      <c r="I347" s="526"/>
      <c r="J347" s="525"/>
      <c r="K347" s="525"/>
    </row>
    <row r="348" spans="1:11" x14ac:dyDescent="0.25">
      <c r="A348" s="524"/>
      <c r="B348" s="525"/>
      <c r="C348" s="525"/>
      <c r="D348" s="527"/>
      <c r="E348" s="527"/>
      <c r="F348" s="527"/>
      <c r="G348" s="525"/>
      <c r="H348" s="526"/>
      <c r="I348" s="526"/>
      <c r="J348" s="525"/>
      <c r="K348" s="525"/>
    </row>
    <row r="349" spans="1:11" x14ac:dyDescent="0.25">
      <c r="A349" s="524"/>
      <c r="B349" s="525"/>
      <c r="C349" s="525"/>
      <c r="D349" s="527"/>
      <c r="E349" s="527"/>
      <c r="F349" s="527"/>
      <c r="G349" s="525"/>
      <c r="H349" s="526"/>
      <c r="I349" s="526"/>
      <c r="J349" s="525"/>
      <c r="K349" s="525"/>
    </row>
    <row r="350" spans="1:11" x14ac:dyDescent="0.25">
      <c r="A350" s="524"/>
      <c r="B350" s="525"/>
      <c r="C350" s="525"/>
      <c r="D350" s="527"/>
      <c r="E350" s="527"/>
      <c r="F350" s="527"/>
      <c r="G350" s="525"/>
      <c r="H350" s="526"/>
      <c r="I350" s="526"/>
      <c r="J350" s="525"/>
      <c r="K350" s="525"/>
    </row>
    <row r="351" spans="1:11" x14ac:dyDescent="0.25">
      <c r="A351" s="524"/>
      <c r="B351" s="525"/>
      <c r="C351" s="525"/>
      <c r="D351" s="527"/>
      <c r="E351" s="527"/>
      <c r="F351" s="527"/>
      <c r="G351" s="525"/>
      <c r="H351" s="526"/>
      <c r="I351" s="526"/>
      <c r="J351" s="525"/>
      <c r="K351" s="525"/>
    </row>
    <row r="352" spans="1:11" x14ac:dyDescent="0.25">
      <c r="A352" s="524"/>
      <c r="B352" s="525"/>
      <c r="C352" s="525"/>
      <c r="D352" s="527"/>
      <c r="E352" s="527"/>
      <c r="F352" s="527"/>
      <c r="G352" s="525"/>
      <c r="H352" s="526"/>
      <c r="I352" s="526"/>
      <c r="J352" s="525"/>
      <c r="K352" s="525"/>
    </row>
    <row r="353" spans="1:11" x14ac:dyDescent="0.25">
      <c r="A353" s="524"/>
      <c r="B353" s="525"/>
      <c r="C353" s="525"/>
      <c r="D353" s="527"/>
      <c r="E353" s="527"/>
      <c r="F353" s="527"/>
      <c r="G353" s="525"/>
      <c r="H353" s="526"/>
      <c r="I353" s="526"/>
      <c r="J353" s="525"/>
      <c r="K353" s="525"/>
    </row>
    <row r="354" spans="1:11" x14ac:dyDescent="0.25">
      <c r="A354" s="524"/>
      <c r="B354" s="525"/>
      <c r="C354" s="525"/>
      <c r="D354" s="527"/>
      <c r="E354" s="527"/>
      <c r="F354" s="527"/>
      <c r="G354" s="525"/>
      <c r="H354" s="526"/>
      <c r="I354" s="526"/>
      <c r="J354" s="525"/>
      <c r="K354" s="525"/>
    </row>
    <row r="355" spans="1:11" x14ac:dyDescent="0.25">
      <c r="A355" s="524"/>
      <c r="B355" s="525"/>
      <c r="C355" s="525"/>
      <c r="D355" s="527"/>
      <c r="E355" s="527"/>
      <c r="F355" s="527"/>
      <c r="G355" s="525"/>
      <c r="H355" s="526"/>
      <c r="I355" s="526"/>
      <c r="J355" s="525"/>
      <c r="K355" s="525"/>
    </row>
    <row r="356" spans="1:11" x14ac:dyDescent="0.25">
      <c r="A356" s="524"/>
      <c r="B356" s="525"/>
      <c r="C356" s="525"/>
      <c r="D356" s="527"/>
      <c r="E356" s="527"/>
      <c r="F356" s="527"/>
      <c r="G356" s="525"/>
      <c r="H356" s="526"/>
      <c r="I356" s="526"/>
      <c r="J356" s="525"/>
      <c r="K356" s="525"/>
    </row>
    <row r="357" spans="1:11" x14ac:dyDescent="0.25">
      <c r="A357" s="524"/>
      <c r="B357" s="525"/>
      <c r="C357" s="525"/>
      <c r="D357" s="527"/>
      <c r="E357" s="527"/>
      <c r="F357" s="527"/>
      <c r="G357" s="525"/>
      <c r="H357" s="526"/>
      <c r="I357" s="526"/>
      <c r="J357" s="525"/>
      <c r="K357" s="525"/>
    </row>
    <row r="358" spans="1:11" x14ac:dyDescent="0.25">
      <c r="A358" s="524"/>
      <c r="B358" s="525"/>
      <c r="C358" s="525"/>
      <c r="D358" s="527"/>
      <c r="E358" s="527"/>
      <c r="F358" s="527"/>
      <c r="G358" s="525"/>
      <c r="H358" s="526"/>
      <c r="I358" s="526"/>
      <c r="J358" s="525"/>
      <c r="K358" s="525"/>
    </row>
    <row r="359" spans="1:11" x14ac:dyDescent="0.25">
      <c r="A359" s="524"/>
      <c r="B359" s="525"/>
      <c r="C359" s="525"/>
      <c r="D359" s="527"/>
      <c r="E359" s="527"/>
      <c r="F359" s="527"/>
      <c r="G359" s="525"/>
      <c r="H359" s="526"/>
      <c r="I359" s="526"/>
      <c r="J359" s="525"/>
      <c r="K359" s="525"/>
    </row>
    <row r="360" spans="1:11" x14ac:dyDescent="0.25">
      <c r="A360" s="524"/>
      <c r="B360" s="525"/>
      <c r="C360" s="525"/>
      <c r="D360" s="527"/>
      <c r="E360" s="527"/>
      <c r="F360" s="527"/>
      <c r="G360" s="525"/>
      <c r="H360" s="526"/>
      <c r="I360" s="526"/>
      <c r="J360" s="525"/>
      <c r="K360" s="525"/>
    </row>
    <row r="361" spans="1:11" x14ac:dyDescent="0.25">
      <c r="A361" s="524"/>
      <c r="B361" s="525"/>
      <c r="C361" s="525"/>
      <c r="D361" s="527"/>
      <c r="E361" s="527"/>
      <c r="F361" s="527"/>
      <c r="G361" s="525"/>
      <c r="H361" s="526"/>
      <c r="I361" s="526"/>
      <c r="J361" s="525"/>
      <c r="K361" s="525"/>
    </row>
    <row r="362" spans="1:11" x14ac:dyDescent="0.25">
      <c r="A362" s="524"/>
      <c r="B362" s="525"/>
      <c r="C362" s="525"/>
      <c r="D362" s="527"/>
      <c r="E362" s="527"/>
      <c r="F362" s="527"/>
      <c r="G362" s="525"/>
      <c r="H362" s="526"/>
      <c r="I362" s="526"/>
      <c r="J362" s="525"/>
      <c r="K362" s="525"/>
    </row>
    <row r="363" spans="1:11" x14ac:dyDescent="0.25">
      <c r="A363" s="524"/>
      <c r="B363" s="525"/>
      <c r="C363" s="525"/>
      <c r="D363" s="527"/>
      <c r="E363" s="527"/>
      <c r="F363" s="527"/>
      <c r="G363" s="525"/>
      <c r="H363" s="526"/>
      <c r="I363" s="526"/>
      <c r="J363" s="525"/>
      <c r="K363" s="525"/>
    </row>
    <row r="364" spans="1:11" x14ac:dyDescent="0.25">
      <c r="A364" s="524"/>
      <c r="B364" s="525"/>
      <c r="C364" s="525"/>
      <c r="D364" s="527"/>
      <c r="E364" s="527"/>
      <c r="F364" s="527"/>
      <c r="G364" s="525"/>
      <c r="H364" s="526"/>
      <c r="I364" s="526"/>
      <c r="J364" s="525"/>
      <c r="K364" s="525"/>
    </row>
    <row r="365" spans="1:11" x14ac:dyDescent="0.25">
      <c r="A365" s="524"/>
      <c r="B365" s="525"/>
      <c r="C365" s="525"/>
      <c r="D365" s="527"/>
      <c r="E365" s="527"/>
      <c r="F365" s="527"/>
      <c r="G365" s="525"/>
      <c r="H365" s="526"/>
      <c r="I365" s="526"/>
      <c r="J365" s="525"/>
      <c r="K365" s="525"/>
    </row>
    <row r="366" spans="1:11" x14ac:dyDescent="0.25">
      <c r="A366" s="524"/>
      <c r="B366" s="525"/>
      <c r="C366" s="525"/>
      <c r="D366" s="527"/>
      <c r="E366" s="527"/>
      <c r="F366" s="527"/>
      <c r="G366" s="525"/>
      <c r="H366" s="526"/>
      <c r="I366" s="526"/>
      <c r="J366" s="525"/>
      <c r="K366" s="525"/>
    </row>
    <row r="367" spans="1:11" x14ac:dyDescent="0.25">
      <c r="A367" s="524"/>
      <c r="B367" s="525"/>
      <c r="C367" s="525"/>
      <c r="D367" s="527"/>
      <c r="E367" s="527"/>
      <c r="F367" s="527"/>
      <c r="G367" s="525"/>
      <c r="H367" s="526"/>
      <c r="I367" s="526"/>
      <c r="J367" s="525"/>
      <c r="K367" s="525"/>
    </row>
    <row r="368" spans="1:11" x14ac:dyDescent="0.25">
      <c r="A368" s="524"/>
      <c r="B368" s="525"/>
      <c r="C368" s="525"/>
      <c r="D368" s="527"/>
      <c r="E368" s="527"/>
      <c r="F368" s="527"/>
      <c r="G368" s="525"/>
      <c r="H368" s="526"/>
      <c r="I368" s="526"/>
      <c r="J368" s="525"/>
      <c r="K368" s="525"/>
    </row>
    <row r="369" spans="1:11" x14ac:dyDescent="0.25">
      <c r="A369" s="524"/>
      <c r="B369" s="525"/>
      <c r="C369" s="525"/>
      <c r="D369" s="527"/>
      <c r="E369" s="527"/>
      <c r="F369" s="527"/>
      <c r="G369" s="525"/>
      <c r="H369" s="526"/>
      <c r="I369" s="526"/>
      <c r="J369" s="525"/>
      <c r="K369" s="525"/>
    </row>
    <row r="370" spans="1:11" x14ac:dyDescent="0.25">
      <c r="A370" s="524"/>
      <c r="B370" s="525"/>
      <c r="C370" s="525"/>
      <c r="D370" s="527"/>
      <c r="E370" s="527"/>
      <c r="F370" s="527"/>
      <c r="G370" s="525"/>
      <c r="H370" s="526"/>
      <c r="I370" s="526"/>
      <c r="J370" s="525"/>
      <c r="K370" s="525"/>
    </row>
    <row r="371" spans="1:11" x14ac:dyDescent="0.25">
      <c r="A371" s="524"/>
      <c r="B371" s="525"/>
      <c r="C371" s="525"/>
      <c r="D371" s="527"/>
      <c r="E371" s="527"/>
      <c r="F371" s="527"/>
      <c r="G371" s="525"/>
      <c r="H371" s="526"/>
      <c r="I371" s="526"/>
      <c r="J371" s="525"/>
      <c r="K371" s="525"/>
    </row>
    <row r="372" spans="1:11" x14ac:dyDescent="0.25">
      <c r="A372" s="524"/>
      <c r="B372" s="525"/>
      <c r="C372" s="525"/>
      <c r="D372" s="527"/>
      <c r="E372" s="527"/>
      <c r="F372" s="527"/>
      <c r="G372" s="525"/>
      <c r="H372" s="526"/>
      <c r="I372" s="526"/>
      <c r="J372" s="525"/>
      <c r="K372" s="525"/>
    </row>
    <row r="373" spans="1:11" x14ac:dyDescent="0.25">
      <c r="A373" s="524"/>
      <c r="B373" s="525"/>
      <c r="C373" s="525"/>
      <c r="D373" s="527"/>
      <c r="E373" s="527"/>
      <c r="F373" s="527"/>
      <c r="G373" s="525"/>
      <c r="H373" s="526"/>
      <c r="I373" s="526"/>
      <c r="J373" s="525"/>
      <c r="K373" s="525"/>
    </row>
    <row r="374" spans="1:11" x14ac:dyDescent="0.25">
      <c r="A374" s="524"/>
      <c r="B374" s="525"/>
      <c r="C374" s="525"/>
      <c r="D374" s="527"/>
      <c r="E374" s="527"/>
      <c r="F374" s="527"/>
      <c r="G374" s="525"/>
      <c r="H374" s="526"/>
      <c r="I374" s="526"/>
      <c r="J374" s="525"/>
      <c r="K374" s="525"/>
    </row>
    <row r="375" spans="1:11" x14ac:dyDescent="0.25">
      <c r="A375" s="524"/>
      <c r="B375" s="525"/>
      <c r="C375" s="525"/>
      <c r="D375" s="527"/>
      <c r="E375" s="527"/>
      <c r="F375" s="527"/>
      <c r="G375" s="525"/>
      <c r="H375" s="526"/>
      <c r="I375" s="526"/>
      <c r="J375" s="525"/>
      <c r="K375" s="525"/>
    </row>
    <row r="376" spans="1:11" x14ac:dyDescent="0.25">
      <c r="A376" s="524"/>
      <c r="B376" s="525"/>
      <c r="C376" s="525"/>
      <c r="D376" s="527"/>
      <c r="E376" s="527"/>
      <c r="F376" s="527"/>
      <c r="G376" s="525"/>
      <c r="H376" s="526"/>
      <c r="I376" s="526"/>
      <c r="J376" s="525"/>
      <c r="K376" s="525"/>
    </row>
    <row r="377" spans="1:11" x14ac:dyDescent="0.25">
      <c r="A377" s="524"/>
      <c r="B377" s="525"/>
      <c r="C377" s="525"/>
      <c r="D377" s="527"/>
      <c r="E377" s="527"/>
      <c r="F377" s="527"/>
      <c r="G377" s="525"/>
      <c r="H377" s="526"/>
      <c r="I377" s="526"/>
      <c r="J377" s="525"/>
      <c r="K377" s="525"/>
    </row>
    <row r="378" spans="1:11" x14ac:dyDescent="0.25">
      <c r="A378" s="524"/>
      <c r="B378" s="525"/>
      <c r="C378" s="525"/>
      <c r="D378" s="527"/>
      <c r="E378" s="527"/>
      <c r="F378" s="527"/>
      <c r="G378" s="525"/>
      <c r="H378" s="526"/>
      <c r="I378" s="526"/>
      <c r="J378" s="525"/>
      <c r="K378" s="525"/>
    </row>
    <row r="379" spans="1:11" x14ac:dyDescent="0.25">
      <c r="A379" s="524"/>
      <c r="B379" s="525"/>
      <c r="C379" s="525"/>
      <c r="D379" s="527"/>
      <c r="E379" s="527"/>
      <c r="F379" s="527"/>
      <c r="G379" s="525"/>
      <c r="H379" s="526"/>
      <c r="I379" s="526"/>
      <c r="J379" s="525"/>
      <c r="K379" s="525"/>
    </row>
    <row r="380" spans="1:11" x14ac:dyDescent="0.25">
      <c r="A380" s="524"/>
      <c r="B380" s="525"/>
      <c r="C380" s="525"/>
      <c r="D380" s="527"/>
      <c r="E380" s="527"/>
      <c r="F380" s="527"/>
      <c r="G380" s="525"/>
      <c r="H380" s="526"/>
      <c r="I380" s="526"/>
      <c r="J380" s="525"/>
      <c r="K380" s="525"/>
    </row>
    <row r="381" spans="1:11" x14ac:dyDescent="0.25">
      <c r="A381" s="524"/>
      <c r="B381" s="525"/>
      <c r="C381" s="525"/>
      <c r="D381" s="527"/>
      <c r="E381" s="527"/>
      <c r="F381" s="527"/>
      <c r="G381" s="525"/>
      <c r="H381" s="526"/>
      <c r="I381" s="526"/>
      <c r="J381" s="525"/>
      <c r="K381" s="525"/>
    </row>
    <row r="382" spans="1:11" x14ac:dyDescent="0.25">
      <c r="A382" s="524"/>
      <c r="B382" s="525"/>
      <c r="C382" s="525"/>
      <c r="D382" s="527"/>
      <c r="E382" s="527"/>
      <c r="F382" s="527"/>
      <c r="G382" s="525"/>
      <c r="H382" s="526"/>
      <c r="I382" s="526"/>
      <c r="J382" s="525"/>
      <c r="K382" s="525"/>
    </row>
    <row r="383" spans="1:11" x14ac:dyDescent="0.25">
      <c r="A383" s="524"/>
      <c r="B383" s="525"/>
      <c r="C383" s="525"/>
      <c r="D383" s="527"/>
      <c r="E383" s="527"/>
      <c r="F383" s="527"/>
      <c r="G383" s="525"/>
      <c r="H383" s="526"/>
      <c r="I383" s="526"/>
      <c r="J383" s="525"/>
      <c r="K383" s="525"/>
    </row>
    <row r="384" spans="1:11" x14ac:dyDescent="0.25">
      <c r="A384" s="524"/>
      <c r="B384" s="525"/>
      <c r="C384" s="525"/>
      <c r="D384" s="527"/>
      <c r="E384" s="527"/>
      <c r="F384" s="527"/>
      <c r="G384" s="525"/>
      <c r="H384" s="526"/>
      <c r="I384" s="526"/>
      <c r="J384" s="525"/>
      <c r="K384" s="525"/>
    </row>
    <row r="385" spans="1:11" x14ac:dyDescent="0.25">
      <c r="A385" s="524"/>
      <c r="B385" s="525"/>
      <c r="C385" s="525"/>
      <c r="D385" s="527"/>
      <c r="E385" s="527"/>
      <c r="F385" s="527"/>
      <c r="G385" s="525"/>
      <c r="H385" s="526"/>
      <c r="I385" s="526"/>
      <c r="J385" s="525"/>
      <c r="K385" s="525"/>
    </row>
    <row r="386" spans="1:11" x14ac:dyDescent="0.25">
      <c r="A386" s="524"/>
      <c r="B386" s="525"/>
      <c r="C386" s="525"/>
      <c r="D386" s="527"/>
      <c r="E386" s="527"/>
      <c r="F386" s="527"/>
      <c r="G386" s="525"/>
      <c r="H386" s="526"/>
      <c r="I386" s="526"/>
      <c r="J386" s="525"/>
      <c r="K386" s="525"/>
    </row>
    <row r="387" spans="1:11" x14ac:dyDescent="0.25">
      <c r="A387" s="524"/>
      <c r="B387" s="525"/>
      <c r="C387" s="525"/>
      <c r="D387" s="527"/>
      <c r="E387" s="527"/>
      <c r="F387" s="527"/>
      <c r="G387" s="525"/>
      <c r="H387" s="526"/>
      <c r="I387" s="526"/>
      <c r="J387" s="525"/>
      <c r="K387" s="525"/>
    </row>
    <row r="388" spans="1:11" x14ac:dyDescent="0.25">
      <c r="A388" s="524"/>
      <c r="B388" s="525"/>
      <c r="C388" s="525"/>
      <c r="D388" s="527"/>
      <c r="E388" s="527"/>
      <c r="F388" s="527"/>
      <c r="G388" s="525"/>
      <c r="H388" s="526"/>
      <c r="I388" s="526"/>
      <c r="J388" s="525"/>
      <c r="K388" s="525"/>
    </row>
    <row r="389" spans="1:11" x14ac:dyDescent="0.25">
      <c r="A389" s="524"/>
      <c r="B389" s="525"/>
      <c r="C389" s="525"/>
      <c r="D389" s="527"/>
      <c r="E389" s="527"/>
      <c r="F389" s="527"/>
      <c r="G389" s="525"/>
      <c r="H389" s="526"/>
      <c r="I389" s="526"/>
      <c r="J389" s="525"/>
      <c r="K389" s="525"/>
    </row>
    <row r="390" spans="1:11" x14ac:dyDescent="0.25">
      <c r="A390" s="524"/>
      <c r="B390" s="525"/>
      <c r="C390" s="525"/>
      <c r="D390" s="527"/>
      <c r="E390" s="527"/>
      <c r="F390" s="527"/>
      <c r="G390" s="525"/>
      <c r="H390" s="526"/>
      <c r="I390" s="526"/>
      <c r="J390" s="525"/>
      <c r="K390" s="525"/>
    </row>
    <row r="391" spans="1:11" x14ac:dyDescent="0.25">
      <c r="A391" s="524"/>
      <c r="B391" s="525"/>
      <c r="C391" s="525"/>
      <c r="D391" s="527"/>
      <c r="E391" s="527"/>
      <c r="F391" s="527"/>
      <c r="G391" s="525"/>
      <c r="H391" s="526"/>
      <c r="I391" s="526"/>
      <c r="J391" s="525"/>
      <c r="K391" s="525"/>
    </row>
    <row r="392" spans="1:11" x14ac:dyDescent="0.25">
      <c r="A392" s="524"/>
      <c r="B392" s="525"/>
      <c r="C392" s="525"/>
      <c r="D392" s="527"/>
      <c r="E392" s="527"/>
      <c r="F392" s="527"/>
      <c r="G392" s="525"/>
      <c r="H392" s="526"/>
      <c r="I392" s="526"/>
      <c r="J392" s="525"/>
      <c r="K392" s="525"/>
    </row>
    <row r="393" spans="1:11" x14ac:dyDescent="0.25">
      <c r="A393" s="524"/>
      <c r="B393" s="525"/>
      <c r="C393" s="525"/>
      <c r="D393" s="527"/>
      <c r="E393" s="527"/>
      <c r="F393" s="527"/>
      <c r="G393" s="525"/>
      <c r="H393" s="526"/>
      <c r="I393" s="526"/>
      <c r="J393" s="525"/>
      <c r="K393" s="525"/>
    </row>
    <row r="394" spans="1:11" x14ac:dyDescent="0.25">
      <c r="A394" s="524"/>
      <c r="B394" s="525"/>
      <c r="C394" s="525"/>
      <c r="D394" s="527"/>
      <c r="E394" s="527"/>
      <c r="F394" s="527"/>
      <c r="G394" s="525"/>
      <c r="H394" s="526"/>
      <c r="I394" s="526"/>
      <c r="J394" s="525"/>
      <c r="K394" s="525"/>
    </row>
    <row r="395" spans="1:11" x14ac:dyDescent="0.25">
      <c r="A395" s="524"/>
      <c r="B395" s="525"/>
      <c r="C395" s="525"/>
      <c r="D395" s="527"/>
      <c r="E395" s="527"/>
      <c r="F395" s="527"/>
      <c r="G395" s="525"/>
      <c r="H395" s="526"/>
      <c r="I395" s="526"/>
      <c r="J395" s="525"/>
      <c r="K395" s="525"/>
    </row>
    <row r="396" spans="1:11" x14ac:dyDescent="0.25">
      <c r="A396" s="524"/>
      <c r="B396" s="525"/>
      <c r="C396" s="525"/>
      <c r="D396" s="527"/>
      <c r="E396" s="527"/>
      <c r="F396" s="527"/>
      <c r="G396" s="525"/>
      <c r="H396" s="526"/>
      <c r="I396" s="526"/>
      <c r="J396" s="525"/>
      <c r="K396" s="525"/>
    </row>
    <row r="397" spans="1:11" x14ac:dyDescent="0.25">
      <c r="A397" s="524"/>
      <c r="B397" s="525"/>
      <c r="C397" s="525"/>
      <c r="D397" s="527"/>
      <c r="E397" s="527"/>
      <c r="F397" s="527"/>
      <c r="G397" s="525"/>
      <c r="H397" s="526"/>
      <c r="I397" s="526"/>
      <c r="J397" s="525"/>
      <c r="K397" s="525"/>
    </row>
    <row r="398" spans="1:11" x14ac:dyDescent="0.25">
      <c r="A398" s="524"/>
      <c r="B398" s="525"/>
      <c r="C398" s="525"/>
      <c r="D398" s="527"/>
      <c r="E398" s="527"/>
      <c r="F398" s="527"/>
      <c r="G398" s="525"/>
      <c r="H398" s="526"/>
      <c r="I398" s="526"/>
      <c r="J398" s="525"/>
      <c r="K398" s="525"/>
    </row>
    <row r="399" spans="1:11" x14ac:dyDescent="0.25">
      <c r="A399" s="524"/>
      <c r="B399" s="525"/>
      <c r="C399" s="525"/>
      <c r="D399" s="527"/>
      <c r="E399" s="527"/>
      <c r="F399" s="527"/>
      <c r="G399" s="525"/>
      <c r="H399" s="526"/>
      <c r="I399" s="526"/>
      <c r="J399" s="525"/>
      <c r="K399" s="525"/>
    </row>
    <row r="400" spans="1:11" x14ac:dyDescent="0.25">
      <c r="A400" s="524"/>
      <c r="B400" s="525"/>
      <c r="C400" s="525"/>
      <c r="D400" s="527"/>
      <c r="E400" s="527"/>
      <c r="F400" s="527"/>
      <c r="G400" s="525"/>
      <c r="H400" s="526"/>
      <c r="I400" s="526"/>
      <c r="J400" s="525"/>
      <c r="K400" s="525"/>
    </row>
    <row r="401" spans="1:11" x14ac:dyDescent="0.25">
      <c r="A401" s="524"/>
      <c r="B401" s="525"/>
      <c r="C401" s="525"/>
      <c r="D401" s="527"/>
      <c r="E401" s="527"/>
      <c r="F401" s="527"/>
      <c r="G401" s="525"/>
      <c r="H401" s="526"/>
      <c r="I401" s="526"/>
      <c r="J401" s="525"/>
      <c r="K401" s="525"/>
    </row>
    <row r="402" spans="1:11" x14ac:dyDescent="0.25">
      <c r="A402" s="524"/>
      <c r="B402" s="525"/>
      <c r="C402" s="525"/>
      <c r="D402" s="527"/>
      <c r="E402" s="527"/>
      <c r="F402" s="527"/>
      <c r="G402" s="525"/>
      <c r="H402" s="526"/>
      <c r="I402" s="526"/>
      <c r="J402" s="525"/>
      <c r="K402" s="525"/>
    </row>
    <row r="403" spans="1:11" x14ac:dyDescent="0.25">
      <c r="A403" s="524"/>
      <c r="B403" s="525"/>
      <c r="C403" s="525"/>
      <c r="D403" s="527"/>
      <c r="E403" s="527"/>
      <c r="F403" s="527"/>
      <c r="G403" s="525"/>
      <c r="H403" s="526"/>
      <c r="I403" s="526"/>
      <c r="J403" s="525"/>
      <c r="K403" s="525"/>
    </row>
    <row r="404" spans="1:11" x14ac:dyDescent="0.25">
      <c r="A404" s="524"/>
      <c r="B404" s="525"/>
      <c r="C404" s="525"/>
      <c r="D404" s="527"/>
      <c r="E404" s="527"/>
      <c r="F404" s="527"/>
      <c r="G404" s="525"/>
      <c r="H404" s="526"/>
      <c r="I404" s="526"/>
      <c r="J404" s="525"/>
      <c r="K404" s="525"/>
    </row>
    <row r="405" spans="1:11" x14ac:dyDescent="0.25">
      <c r="A405" s="524"/>
      <c r="B405" s="525"/>
      <c r="C405" s="525"/>
      <c r="D405" s="527"/>
      <c r="E405" s="527"/>
      <c r="F405" s="527"/>
      <c r="G405" s="525"/>
      <c r="H405" s="526"/>
      <c r="I405" s="526"/>
      <c r="J405" s="525"/>
      <c r="K405" s="525"/>
    </row>
    <row r="406" spans="1:11" x14ac:dyDescent="0.25">
      <c r="A406" s="524"/>
      <c r="B406" s="525"/>
      <c r="C406" s="525"/>
      <c r="D406" s="527"/>
      <c r="E406" s="527"/>
      <c r="F406" s="527"/>
      <c r="G406" s="525"/>
      <c r="H406" s="526"/>
      <c r="I406" s="526"/>
      <c r="J406" s="525"/>
      <c r="K406" s="525"/>
    </row>
    <row r="407" spans="1:11" x14ac:dyDescent="0.25">
      <c r="A407" s="524"/>
      <c r="B407" s="525"/>
      <c r="C407" s="525"/>
      <c r="D407" s="527"/>
      <c r="E407" s="527"/>
      <c r="F407" s="527"/>
      <c r="G407" s="525"/>
      <c r="H407" s="526"/>
      <c r="I407" s="526"/>
      <c r="J407" s="525"/>
      <c r="K407" s="525"/>
    </row>
    <row r="408" spans="1:11" x14ac:dyDescent="0.25">
      <c r="A408" s="524"/>
      <c r="B408" s="525"/>
      <c r="C408" s="525"/>
      <c r="D408" s="527"/>
      <c r="E408" s="527"/>
      <c r="F408" s="527"/>
      <c r="G408" s="525"/>
      <c r="H408" s="526"/>
      <c r="I408" s="526"/>
      <c r="J408" s="525"/>
      <c r="K408" s="525"/>
    </row>
    <row r="409" spans="1:11" x14ac:dyDescent="0.25">
      <c r="A409" s="524"/>
      <c r="B409" s="525"/>
      <c r="C409" s="525"/>
      <c r="D409" s="527"/>
      <c r="E409" s="527"/>
      <c r="F409" s="527"/>
      <c r="G409" s="525"/>
      <c r="H409" s="526"/>
      <c r="I409" s="526"/>
      <c r="J409" s="525"/>
      <c r="K409" s="525"/>
    </row>
    <row r="410" spans="1:11" x14ac:dyDescent="0.25">
      <c r="A410" s="524"/>
      <c r="B410" s="525"/>
      <c r="C410" s="525"/>
      <c r="D410" s="527"/>
      <c r="E410" s="527"/>
      <c r="F410" s="527"/>
      <c r="G410" s="525"/>
      <c r="H410" s="526"/>
      <c r="I410" s="526"/>
      <c r="J410" s="525"/>
      <c r="K410" s="525"/>
    </row>
    <row r="411" spans="1:11" x14ac:dyDescent="0.25">
      <c r="A411" s="524"/>
      <c r="B411" s="525"/>
      <c r="C411" s="525"/>
      <c r="D411" s="527"/>
      <c r="E411" s="527"/>
      <c r="F411" s="527"/>
      <c r="G411" s="525"/>
      <c r="H411" s="526"/>
      <c r="I411" s="526"/>
      <c r="J411" s="525"/>
      <c r="K411" s="525"/>
    </row>
    <row r="412" spans="1:11" x14ac:dyDescent="0.25">
      <c r="A412" s="524"/>
      <c r="B412" s="525"/>
      <c r="C412" s="525"/>
      <c r="D412" s="527"/>
      <c r="E412" s="527"/>
      <c r="F412" s="527"/>
      <c r="G412" s="525"/>
      <c r="H412" s="526"/>
      <c r="I412" s="526"/>
      <c r="J412" s="525"/>
      <c r="K412" s="525"/>
    </row>
    <row r="413" spans="1:11" x14ac:dyDescent="0.25">
      <c r="A413" s="524"/>
      <c r="B413" s="525"/>
      <c r="C413" s="525"/>
      <c r="D413" s="527"/>
      <c r="E413" s="527"/>
      <c r="F413" s="527"/>
      <c r="G413" s="525"/>
      <c r="H413" s="526"/>
      <c r="I413" s="526"/>
      <c r="J413" s="525"/>
      <c r="K413" s="525"/>
    </row>
    <row r="414" spans="1:11" x14ac:dyDescent="0.25">
      <c r="A414" s="524"/>
      <c r="B414" s="525"/>
      <c r="C414" s="525"/>
      <c r="D414" s="527"/>
      <c r="E414" s="527"/>
      <c r="F414" s="527"/>
      <c r="G414" s="525"/>
      <c r="H414" s="526"/>
      <c r="I414" s="526"/>
      <c r="J414" s="525"/>
      <c r="K414" s="525"/>
    </row>
    <row r="415" spans="1:11" x14ac:dyDescent="0.25">
      <c r="A415" s="524"/>
      <c r="B415" s="525"/>
      <c r="C415" s="525"/>
      <c r="D415" s="527"/>
      <c r="E415" s="527"/>
      <c r="F415" s="527"/>
      <c r="G415" s="525"/>
      <c r="H415" s="526"/>
      <c r="I415" s="526"/>
      <c r="J415" s="525"/>
      <c r="K415" s="525"/>
    </row>
    <row r="416" spans="1:11" x14ac:dyDescent="0.25">
      <c r="A416" s="524"/>
      <c r="B416" s="525"/>
      <c r="C416" s="525"/>
      <c r="D416" s="527"/>
      <c r="E416" s="527"/>
      <c r="F416" s="527"/>
      <c r="G416" s="525"/>
      <c r="H416" s="526"/>
      <c r="I416" s="526"/>
      <c r="J416" s="525"/>
      <c r="K416" s="525"/>
    </row>
    <row r="417" spans="1:11" x14ac:dyDescent="0.25">
      <c r="A417" s="524"/>
      <c r="B417" s="525"/>
      <c r="C417" s="525"/>
      <c r="D417" s="527"/>
      <c r="E417" s="527"/>
      <c r="F417" s="527"/>
      <c r="G417" s="525"/>
      <c r="H417" s="526"/>
      <c r="I417" s="526"/>
      <c r="J417" s="525"/>
      <c r="K417" s="525"/>
    </row>
    <row r="418" spans="1:11" x14ac:dyDescent="0.25">
      <c r="A418" s="524"/>
      <c r="B418" s="525"/>
      <c r="C418" s="525"/>
      <c r="D418" s="527"/>
      <c r="E418" s="527"/>
      <c r="F418" s="527"/>
      <c r="G418" s="525"/>
      <c r="H418" s="526"/>
      <c r="I418" s="526"/>
      <c r="J418" s="525"/>
      <c r="K418" s="525"/>
    </row>
    <row r="419" spans="1:11" x14ac:dyDescent="0.25">
      <c r="A419" s="524"/>
      <c r="B419" s="525"/>
      <c r="C419" s="525"/>
      <c r="D419" s="527"/>
      <c r="E419" s="527"/>
      <c r="F419" s="527"/>
      <c r="G419" s="525"/>
      <c r="H419" s="526"/>
      <c r="I419" s="526"/>
      <c r="J419" s="525"/>
      <c r="K419" s="525"/>
    </row>
    <row r="420" spans="1:11" x14ac:dyDescent="0.25">
      <c r="A420" s="524"/>
      <c r="B420" s="525"/>
      <c r="C420" s="525"/>
      <c r="D420" s="527"/>
      <c r="E420" s="527"/>
      <c r="F420" s="527"/>
      <c r="G420" s="525"/>
      <c r="H420" s="526"/>
      <c r="I420" s="526"/>
      <c r="J420" s="525"/>
      <c r="K420" s="525"/>
    </row>
    <row r="421" spans="1:11" x14ac:dyDescent="0.25">
      <c r="A421" s="524"/>
      <c r="B421" s="525"/>
      <c r="C421" s="525"/>
      <c r="D421" s="527"/>
      <c r="E421" s="527"/>
      <c r="F421" s="527"/>
      <c r="G421" s="525"/>
      <c r="H421" s="526"/>
      <c r="I421" s="526"/>
      <c r="J421" s="525"/>
      <c r="K421" s="525"/>
    </row>
    <row r="422" spans="1:11" x14ac:dyDescent="0.25">
      <c r="A422" s="524"/>
      <c r="B422" s="525"/>
      <c r="C422" s="525"/>
      <c r="D422" s="527"/>
      <c r="E422" s="527"/>
      <c r="F422" s="527"/>
      <c r="G422" s="525"/>
      <c r="H422" s="526"/>
      <c r="I422" s="526"/>
      <c r="J422" s="525"/>
      <c r="K422" s="525"/>
    </row>
    <row r="423" spans="1:11" x14ac:dyDescent="0.25">
      <c r="A423" s="524"/>
      <c r="B423" s="525"/>
      <c r="C423" s="525"/>
      <c r="D423" s="527"/>
      <c r="E423" s="527"/>
      <c r="F423" s="527"/>
      <c r="G423" s="525"/>
      <c r="H423" s="526"/>
      <c r="I423" s="526"/>
      <c r="J423" s="525"/>
      <c r="K423" s="525"/>
    </row>
    <row r="424" spans="1:11" x14ac:dyDescent="0.25">
      <c r="A424" s="524"/>
      <c r="B424" s="525"/>
      <c r="C424" s="525"/>
      <c r="D424" s="527"/>
      <c r="E424" s="527"/>
      <c r="F424" s="527"/>
      <c r="G424" s="525"/>
      <c r="H424" s="526"/>
      <c r="I424" s="526"/>
      <c r="J424" s="525"/>
      <c r="K424" s="525"/>
    </row>
    <row r="425" spans="1:11" x14ac:dyDescent="0.25">
      <c r="A425" s="524"/>
      <c r="B425" s="525"/>
      <c r="C425" s="525"/>
      <c r="D425" s="527"/>
      <c r="E425" s="527"/>
      <c r="F425" s="527"/>
      <c r="G425" s="525"/>
      <c r="H425" s="526"/>
      <c r="I425" s="526"/>
      <c r="J425" s="525"/>
      <c r="K425" s="525"/>
    </row>
    <row r="426" spans="1:11" x14ac:dyDescent="0.25">
      <c r="A426" s="524"/>
      <c r="B426" s="525"/>
      <c r="C426" s="525"/>
      <c r="D426" s="527"/>
      <c r="E426" s="527"/>
      <c r="F426" s="527"/>
      <c r="G426" s="525"/>
      <c r="H426" s="526"/>
      <c r="I426" s="526"/>
      <c r="J426" s="525"/>
      <c r="K426" s="525"/>
    </row>
    <row r="427" spans="1:11" x14ac:dyDescent="0.25">
      <c r="A427" s="524"/>
      <c r="B427" s="525"/>
      <c r="C427" s="525"/>
      <c r="D427" s="527"/>
      <c r="E427" s="527"/>
      <c r="F427" s="527"/>
      <c r="G427" s="525"/>
      <c r="H427" s="526"/>
      <c r="I427" s="526"/>
      <c r="J427" s="525"/>
      <c r="K427" s="525"/>
    </row>
    <row r="428" spans="1:11" x14ac:dyDescent="0.25">
      <c r="A428" s="524"/>
      <c r="B428" s="525"/>
      <c r="C428" s="525"/>
      <c r="D428" s="527"/>
      <c r="E428" s="527"/>
      <c r="F428" s="527"/>
      <c r="G428" s="525"/>
      <c r="H428" s="526"/>
      <c r="I428" s="526"/>
      <c r="J428" s="525"/>
      <c r="K428" s="525"/>
    </row>
    <row r="429" spans="1:11" x14ac:dyDescent="0.25">
      <c r="A429" s="524"/>
      <c r="B429" s="525"/>
      <c r="C429" s="525"/>
      <c r="D429" s="527"/>
      <c r="E429" s="527"/>
      <c r="F429" s="527"/>
      <c r="G429" s="525"/>
      <c r="H429" s="526"/>
      <c r="I429" s="526"/>
      <c r="J429" s="525"/>
      <c r="K429" s="525"/>
    </row>
    <row r="430" spans="1:11" x14ac:dyDescent="0.25">
      <c r="A430" s="524"/>
      <c r="B430" s="525"/>
      <c r="C430" s="525"/>
      <c r="D430" s="527"/>
      <c r="E430" s="527"/>
      <c r="F430" s="527"/>
      <c r="G430" s="525"/>
      <c r="H430" s="526"/>
      <c r="I430" s="526"/>
      <c r="J430" s="525"/>
      <c r="K430" s="525"/>
    </row>
    <row r="431" spans="1:11" x14ac:dyDescent="0.25">
      <c r="A431" s="528"/>
      <c r="B431" s="527"/>
      <c r="C431" s="527"/>
      <c r="D431" s="527"/>
      <c r="E431" s="527"/>
      <c r="F431" s="527"/>
      <c r="G431" s="527"/>
      <c r="H431" s="529"/>
      <c r="I431" s="529"/>
      <c r="J431" s="527"/>
      <c r="K431" s="527"/>
    </row>
    <row r="432" spans="1:11" x14ac:dyDescent="0.25">
      <c r="A432" s="528"/>
      <c r="B432" s="527"/>
      <c r="C432" s="527"/>
      <c r="D432" s="527"/>
      <c r="E432" s="527"/>
      <c r="F432" s="527"/>
      <c r="G432" s="527"/>
      <c r="H432" s="529"/>
      <c r="I432" s="529"/>
      <c r="J432" s="527"/>
      <c r="K432" s="527"/>
    </row>
    <row r="433" spans="1:11" x14ac:dyDescent="0.25">
      <c r="A433" s="528"/>
      <c r="B433" s="527"/>
      <c r="C433" s="527"/>
      <c r="D433" s="527"/>
      <c r="E433" s="527"/>
      <c r="F433" s="527"/>
      <c r="G433" s="527"/>
      <c r="H433" s="529"/>
      <c r="I433" s="529"/>
      <c r="J433" s="527"/>
      <c r="K433" s="527"/>
    </row>
    <row r="434" spans="1:11" x14ac:dyDescent="0.25">
      <c r="A434" s="528"/>
      <c r="B434" s="527"/>
      <c r="C434" s="527"/>
      <c r="D434" s="527"/>
      <c r="E434" s="527"/>
      <c r="F434" s="527"/>
      <c r="G434" s="527"/>
      <c r="H434" s="529"/>
      <c r="I434" s="529"/>
      <c r="J434" s="527"/>
      <c r="K434" s="527"/>
    </row>
    <row r="435" spans="1:11" x14ac:dyDescent="0.25">
      <c r="A435" s="528"/>
      <c r="B435" s="527"/>
      <c r="C435" s="527"/>
      <c r="D435" s="527"/>
      <c r="E435" s="527"/>
      <c r="F435" s="527"/>
      <c r="G435" s="527"/>
      <c r="H435" s="529"/>
      <c r="I435" s="529"/>
      <c r="J435" s="527"/>
      <c r="K435" s="527"/>
    </row>
    <row r="436" spans="1:11" x14ac:dyDescent="0.25">
      <c r="A436" s="528"/>
      <c r="B436" s="527"/>
      <c r="C436" s="527"/>
      <c r="D436" s="527"/>
      <c r="E436" s="527"/>
      <c r="F436" s="527"/>
      <c r="G436" s="527"/>
      <c r="H436" s="529"/>
      <c r="I436" s="529"/>
      <c r="J436" s="527"/>
      <c r="K436" s="527"/>
    </row>
    <row r="437" spans="1:11" x14ac:dyDescent="0.25">
      <c r="A437" s="528"/>
      <c r="B437" s="527"/>
      <c r="C437" s="527"/>
      <c r="D437" s="527"/>
      <c r="E437" s="527"/>
      <c r="F437" s="527"/>
      <c r="G437" s="527"/>
      <c r="H437" s="529"/>
      <c r="I437" s="529"/>
      <c r="J437" s="527"/>
      <c r="K437" s="527"/>
    </row>
    <row r="438" spans="1:11" x14ac:dyDescent="0.25">
      <c r="A438" s="528"/>
      <c r="B438" s="527"/>
      <c r="C438" s="527"/>
      <c r="D438" s="527"/>
      <c r="E438" s="527"/>
      <c r="F438" s="527"/>
      <c r="G438" s="527"/>
      <c r="H438" s="529"/>
      <c r="I438" s="529"/>
      <c r="J438" s="527"/>
      <c r="K438" s="527"/>
    </row>
    <row r="439" spans="1:11" x14ac:dyDescent="0.25">
      <c r="A439" s="528"/>
      <c r="B439" s="527"/>
      <c r="C439" s="527"/>
      <c r="D439" s="527"/>
      <c r="E439" s="527"/>
      <c r="F439" s="527"/>
      <c r="G439" s="527"/>
      <c r="H439" s="529"/>
      <c r="I439" s="529"/>
      <c r="J439" s="527"/>
      <c r="K439" s="527"/>
    </row>
    <row r="440" spans="1:11" x14ac:dyDescent="0.25">
      <c r="A440" s="528"/>
      <c r="B440" s="527"/>
      <c r="C440" s="527"/>
      <c r="D440" s="527"/>
      <c r="E440" s="527"/>
      <c r="F440" s="527"/>
      <c r="G440" s="527"/>
      <c r="H440" s="529"/>
      <c r="I440" s="529"/>
      <c r="J440" s="527"/>
      <c r="K440" s="527"/>
    </row>
    <row r="441" spans="1:11" x14ac:dyDescent="0.25">
      <c r="A441" s="528"/>
      <c r="B441" s="527"/>
      <c r="C441" s="527"/>
      <c r="D441" s="527"/>
      <c r="E441" s="527"/>
      <c r="F441" s="527"/>
      <c r="G441" s="527"/>
      <c r="H441" s="529"/>
      <c r="I441" s="529"/>
      <c r="J441" s="527"/>
      <c r="K441" s="527"/>
    </row>
    <row r="442" spans="1:11" x14ac:dyDescent="0.25">
      <c r="A442" s="528"/>
      <c r="B442" s="527"/>
      <c r="C442" s="527"/>
      <c r="D442" s="527"/>
      <c r="E442" s="527"/>
      <c r="F442" s="527"/>
      <c r="G442" s="527"/>
      <c r="H442" s="529"/>
      <c r="I442" s="529"/>
      <c r="J442" s="527"/>
      <c r="K442" s="527"/>
    </row>
    <row r="443" spans="1:11" x14ac:dyDescent="0.25">
      <c r="A443" s="528"/>
      <c r="B443" s="527"/>
      <c r="C443" s="527"/>
      <c r="D443" s="527"/>
      <c r="E443" s="527"/>
      <c r="F443" s="527"/>
      <c r="G443" s="527"/>
      <c r="H443" s="529"/>
      <c r="I443" s="529"/>
      <c r="J443" s="527"/>
      <c r="K443" s="527"/>
    </row>
    <row r="444" spans="1:11" x14ac:dyDescent="0.25">
      <c r="A444" s="528"/>
      <c r="B444" s="527"/>
      <c r="C444" s="527"/>
      <c r="D444" s="527"/>
      <c r="E444" s="527"/>
      <c r="F444" s="527"/>
      <c r="G444" s="527"/>
      <c r="H444" s="529"/>
      <c r="I444" s="529"/>
      <c r="J444" s="527"/>
      <c r="K444" s="527"/>
    </row>
    <row r="445" spans="1:11" x14ac:dyDescent="0.25">
      <c r="A445" s="528"/>
      <c r="B445" s="527"/>
      <c r="C445" s="527"/>
      <c r="D445" s="527"/>
      <c r="E445" s="527"/>
      <c r="F445" s="527"/>
      <c r="G445" s="527"/>
      <c r="H445" s="529"/>
      <c r="I445" s="529"/>
      <c r="J445" s="527"/>
      <c r="K445" s="527"/>
    </row>
    <row r="446" spans="1:11" x14ac:dyDescent="0.25">
      <c r="A446" s="528"/>
      <c r="B446" s="527"/>
      <c r="C446" s="527"/>
      <c r="D446" s="527"/>
      <c r="E446" s="527"/>
      <c r="F446" s="527"/>
      <c r="G446" s="527"/>
      <c r="H446" s="529"/>
      <c r="I446" s="529"/>
      <c r="J446" s="527"/>
      <c r="K446" s="527"/>
    </row>
    <row r="447" spans="1:11" x14ac:dyDescent="0.25">
      <c r="A447" s="528"/>
      <c r="B447" s="527"/>
      <c r="C447" s="527"/>
      <c r="D447" s="527"/>
      <c r="E447" s="527"/>
      <c r="F447" s="527"/>
      <c r="G447" s="527"/>
      <c r="H447" s="529"/>
      <c r="I447" s="529"/>
      <c r="J447" s="527"/>
      <c r="K447" s="527"/>
    </row>
    <row r="448" spans="1:11" x14ac:dyDescent="0.25">
      <c r="A448" s="528"/>
      <c r="B448" s="527"/>
      <c r="C448" s="527"/>
      <c r="D448" s="527"/>
      <c r="E448" s="527"/>
      <c r="F448" s="527"/>
      <c r="G448" s="527"/>
      <c r="H448" s="529"/>
      <c r="I448" s="529"/>
      <c r="J448" s="527"/>
      <c r="K448" s="527"/>
    </row>
    <row r="449" spans="1:11" x14ac:dyDescent="0.25">
      <c r="A449" s="528"/>
      <c r="B449" s="527"/>
      <c r="C449" s="527"/>
      <c r="D449" s="527"/>
      <c r="E449" s="527"/>
      <c r="F449" s="527"/>
      <c r="G449" s="527"/>
      <c r="H449" s="529"/>
      <c r="I449" s="529"/>
      <c r="J449" s="527"/>
      <c r="K449" s="527"/>
    </row>
    <row r="450" spans="1:11" x14ac:dyDescent="0.25">
      <c r="A450" s="528"/>
      <c r="B450" s="527"/>
      <c r="C450" s="527"/>
      <c r="D450" s="527"/>
      <c r="E450" s="527"/>
      <c r="F450" s="527"/>
      <c r="G450" s="527"/>
      <c r="H450" s="529"/>
      <c r="I450" s="529"/>
      <c r="J450" s="527"/>
      <c r="K450" s="527"/>
    </row>
    <row r="451" spans="1:11" x14ac:dyDescent="0.25">
      <c r="A451" s="528"/>
      <c r="B451" s="527"/>
      <c r="C451" s="527"/>
      <c r="D451" s="527"/>
      <c r="E451" s="527"/>
      <c r="F451" s="527"/>
      <c r="G451" s="527"/>
      <c r="H451" s="529"/>
      <c r="I451" s="529"/>
      <c r="J451" s="527"/>
      <c r="K451" s="527"/>
    </row>
    <row r="452" spans="1:11" x14ac:dyDescent="0.25">
      <c r="A452" s="528"/>
      <c r="B452" s="527"/>
      <c r="C452" s="527"/>
      <c r="D452" s="527"/>
      <c r="E452" s="527"/>
      <c r="F452" s="527"/>
      <c r="G452" s="527"/>
      <c r="H452" s="529"/>
      <c r="I452" s="529"/>
      <c r="J452" s="527"/>
      <c r="K452" s="527"/>
    </row>
    <row r="453" spans="1:11" x14ac:dyDescent="0.25">
      <c r="A453" s="528"/>
      <c r="B453" s="527"/>
      <c r="C453" s="527"/>
      <c r="D453" s="527"/>
      <c r="E453" s="527"/>
      <c r="F453" s="527"/>
      <c r="G453" s="527"/>
      <c r="H453" s="529"/>
      <c r="I453" s="529"/>
      <c r="J453" s="527"/>
      <c r="K453" s="527"/>
    </row>
    <row r="454" spans="1:11" x14ac:dyDescent="0.25">
      <c r="A454" s="528"/>
      <c r="B454" s="527"/>
      <c r="C454" s="527"/>
      <c r="D454" s="527"/>
      <c r="E454" s="527"/>
      <c r="F454" s="527"/>
      <c r="G454" s="527"/>
      <c r="H454" s="529"/>
      <c r="I454" s="529"/>
      <c r="J454" s="527"/>
      <c r="K454" s="527"/>
    </row>
    <row r="455" spans="1:11" x14ac:dyDescent="0.25">
      <c r="A455" s="528"/>
      <c r="B455" s="527"/>
      <c r="C455" s="527"/>
      <c r="D455" s="527"/>
      <c r="E455" s="527"/>
      <c r="F455" s="527"/>
      <c r="G455" s="527"/>
      <c r="H455" s="529"/>
      <c r="I455" s="529"/>
      <c r="J455" s="527"/>
      <c r="K455" s="527"/>
    </row>
    <row r="456" spans="1:11" x14ac:dyDescent="0.25">
      <c r="A456" s="528"/>
      <c r="B456" s="527"/>
      <c r="C456" s="527"/>
      <c r="D456" s="527"/>
      <c r="E456" s="527"/>
      <c r="F456" s="527"/>
      <c r="G456" s="527"/>
      <c r="H456" s="529"/>
      <c r="I456" s="529"/>
      <c r="J456" s="527"/>
      <c r="K456" s="527"/>
    </row>
    <row r="457" spans="1:11" x14ac:dyDescent="0.25">
      <c r="A457" s="528"/>
      <c r="B457" s="527"/>
      <c r="C457" s="527"/>
      <c r="D457" s="527"/>
      <c r="E457" s="527"/>
      <c r="F457" s="527"/>
      <c r="G457" s="527"/>
      <c r="H457" s="529"/>
      <c r="I457" s="529"/>
      <c r="J457" s="527"/>
      <c r="K457" s="527"/>
    </row>
    <row r="458" spans="1:11" x14ac:dyDescent="0.25">
      <c r="A458" s="528"/>
      <c r="B458" s="527"/>
      <c r="C458" s="527"/>
      <c r="D458" s="527"/>
      <c r="E458" s="527"/>
      <c r="F458" s="527"/>
      <c r="G458" s="527"/>
      <c r="H458" s="529"/>
      <c r="I458" s="529"/>
      <c r="J458" s="527"/>
      <c r="K458" s="527"/>
    </row>
    <row r="459" spans="1:11" x14ac:dyDescent="0.25">
      <c r="A459" s="528"/>
      <c r="B459" s="527"/>
      <c r="C459" s="527"/>
      <c r="D459" s="527"/>
      <c r="E459" s="527"/>
      <c r="F459" s="527"/>
      <c r="G459" s="527"/>
      <c r="H459" s="529"/>
      <c r="I459" s="529"/>
      <c r="J459" s="527"/>
      <c r="K459" s="527"/>
    </row>
    <row r="460" spans="1:11" x14ac:dyDescent="0.25">
      <c r="A460" s="528"/>
      <c r="B460" s="527"/>
      <c r="C460" s="527"/>
      <c r="D460" s="527"/>
      <c r="E460" s="527"/>
      <c r="F460" s="527"/>
      <c r="G460" s="527"/>
      <c r="H460" s="529"/>
      <c r="I460" s="529"/>
      <c r="J460" s="527"/>
      <c r="K460" s="527"/>
    </row>
    <row r="461" spans="1:11" x14ac:dyDescent="0.25">
      <c r="A461" s="528"/>
      <c r="B461" s="527"/>
      <c r="C461" s="527"/>
      <c r="D461" s="527"/>
      <c r="E461" s="527"/>
      <c r="F461" s="527"/>
      <c r="G461" s="527"/>
      <c r="H461" s="529"/>
      <c r="I461" s="529"/>
      <c r="J461" s="527"/>
      <c r="K461" s="527"/>
    </row>
    <row r="462" spans="1:11" x14ac:dyDescent="0.25">
      <c r="A462" s="528"/>
      <c r="B462" s="527"/>
      <c r="C462" s="527"/>
      <c r="D462" s="527"/>
      <c r="E462" s="527"/>
      <c r="F462" s="527"/>
      <c r="G462" s="527"/>
      <c r="H462" s="529"/>
      <c r="I462" s="529"/>
      <c r="J462" s="527"/>
      <c r="K462" s="527"/>
    </row>
    <row r="463" spans="1:11" x14ac:dyDescent="0.25">
      <c r="A463" s="528"/>
      <c r="B463" s="527"/>
      <c r="C463" s="527"/>
      <c r="D463" s="527"/>
      <c r="E463" s="527"/>
      <c r="F463" s="527"/>
      <c r="G463" s="527"/>
      <c r="H463" s="529"/>
      <c r="I463" s="529"/>
      <c r="J463" s="527"/>
      <c r="K463" s="527"/>
    </row>
    <row r="464" spans="1:11" x14ac:dyDescent="0.25">
      <c r="A464" s="528"/>
      <c r="B464" s="527"/>
      <c r="C464" s="527"/>
      <c r="D464" s="527"/>
      <c r="E464" s="527"/>
      <c r="F464" s="527"/>
      <c r="G464" s="527"/>
      <c r="H464" s="529"/>
      <c r="I464" s="529"/>
      <c r="J464" s="527"/>
      <c r="K464" s="527"/>
    </row>
    <row r="465" spans="1:11" x14ac:dyDescent="0.25">
      <c r="A465" s="528"/>
      <c r="B465" s="527"/>
      <c r="C465" s="527"/>
      <c r="D465" s="527"/>
      <c r="E465" s="527"/>
      <c r="F465" s="527"/>
      <c r="G465" s="527"/>
      <c r="H465" s="529"/>
      <c r="I465" s="529"/>
      <c r="J465" s="527"/>
      <c r="K465" s="527"/>
    </row>
    <row r="466" spans="1:11" x14ac:dyDescent="0.25">
      <c r="A466" s="528"/>
      <c r="B466" s="527"/>
      <c r="C466" s="527"/>
      <c r="D466" s="527"/>
      <c r="E466" s="527"/>
      <c r="F466" s="527"/>
      <c r="G466" s="527"/>
      <c r="H466" s="529"/>
      <c r="I466" s="529"/>
      <c r="J466" s="527"/>
      <c r="K466" s="527"/>
    </row>
    <row r="467" spans="1:11" x14ac:dyDescent="0.25">
      <c r="A467" s="528"/>
      <c r="B467" s="527"/>
      <c r="C467" s="527"/>
      <c r="D467" s="527"/>
      <c r="E467" s="527"/>
      <c r="F467" s="527"/>
      <c r="G467" s="527"/>
      <c r="H467" s="529"/>
      <c r="I467" s="529"/>
      <c r="J467" s="527"/>
      <c r="K467" s="527"/>
    </row>
    <row r="468" spans="1:11" x14ac:dyDescent="0.25">
      <c r="A468" s="528"/>
      <c r="B468" s="527"/>
      <c r="C468" s="527"/>
      <c r="D468" s="527"/>
      <c r="E468" s="527"/>
      <c r="F468" s="527"/>
      <c r="G468" s="527"/>
      <c r="H468" s="529"/>
      <c r="I468" s="529"/>
      <c r="J468" s="527"/>
      <c r="K468" s="527"/>
    </row>
    <row r="469" spans="1:11" x14ac:dyDescent="0.25">
      <c r="A469" s="528"/>
      <c r="B469" s="527"/>
      <c r="C469" s="527"/>
      <c r="D469" s="527"/>
      <c r="E469" s="527"/>
      <c r="F469" s="527"/>
      <c r="G469" s="527"/>
      <c r="H469" s="529"/>
      <c r="I469" s="529"/>
      <c r="J469" s="527"/>
      <c r="K469" s="527"/>
    </row>
    <row r="470" spans="1:11" x14ac:dyDescent="0.25">
      <c r="A470" s="528"/>
      <c r="B470" s="527"/>
      <c r="C470" s="527"/>
      <c r="D470" s="527"/>
      <c r="E470" s="527"/>
      <c r="F470" s="527"/>
      <c r="G470" s="527"/>
      <c r="H470" s="529"/>
      <c r="I470" s="529"/>
      <c r="J470" s="527"/>
      <c r="K470" s="527"/>
    </row>
    <row r="471" spans="1:11" x14ac:dyDescent="0.25">
      <c r="A471" s="528"/>
      <c r="B471" s="527"/>
      <c r="C471" s="527"/>
      <c r="D471" s="527"/>
      <c r="E471" s="527"/>
      <c r="F471" s="527"/>
      <c r="G471" s="527"/>
      <c r="H471" s="529"/>
      <c r="I471" s="529"/>
      <c r="J471" s="527"/>
      <c r="K471" s="527"/>
    </row>
    <row r="472" spans="1:11" x14ac:dyDescent="0.25">
      <c r="A472" s="528"/>
      <c r="B472" s="527"/>
      <c r="C472" s="527"/>
      <c r="D472" s="527"/>
      <c r="E472" s="527"/>
      <c r="F472" s="527"/>
      <c r="G472" s="527"/>
      <c r="H472" s="529"/>
      <c r="I472" s="529"/>
      <c r="J472" s="527"/>
      <c r="K472" s="527"/>
    </row>
    <row r="473" spans="1:11" x14ac:dyDescent="0.25">
      <c r="A473" s="528"/>
      <c r="B473" s="527"/>
      <c r="C473" s="527"/>
      <c r="D473" s="527"/>
      <c r="E473" s="527"/>
      <c r="F473" s="527"/>
      <c r="G473" s="527"/>
      <c r="H473" s="529"/>
      <c r="I473" s="529"/>
      <c r="J473" s="527"/>
      <c r="K473" s="527"/>
    </row>
    <row r="474" spans="1:11" x14ac:dyDescent="0.25">
      <c r="A474" s="528"/>
      <c r="B474" s="527"/>
      <c r="C474" s="527"/>
      <c r="D474" s="527"/>
      <c r="E474" s="527"/>
      <c r="F474" s="527"/>
      <c r="G474" s="527"/>
      <c r="H474" s="529"/>
      <c r="I474" s="529"/>
      <c r="J474" s="527"/>
      <c r="K474" s="527"/>
    </row>
    <row r="475" spans="1:11" x14ac:dyDescent="0.25">
      <c r="A475" s="528"/>
      <c r="B475" s="527"/>
      <c r="C475" s="527"/>
      <c r="D475" s="527"/>
      <c r="E475" s="527"/>
      <c r="F475" s="527"/>
      <c r="G475" s="527"/>
      <c r="H475" s="529"/>
      <c r="I475" s="529"/>
      <c r="J475" s="527"/>
      <c r="K475" s="527"/>
    </row>
    <row r="476" spans="1:11" x14ac:dyDescent="0.25">
      <c r="A476" s="528"/>
      <c r="B476" s="527"/>
      <c r="C476" s="527"/>
      <c r="D476" s="527"/>
      <c r="E476" s="527"/>
      <c r="F476" s="527"/>
      <c r="G476" s="527"/>
      <c r="H476" s="529"/>
      <c r="I476" s="529"/>
      <c r="J476" s="527"/>
      <c r="K476" s="527"/>
    </row>
    <row r="477" spans="1:11" x14ac:dyDescent="0.25">
      <c r="A477" s="528"/>
      <c r="B477" s="527"/>
      <c r="C477" s="527"/>
      <c r="D477" s="527"/>
      <c r="E477" s="527"/>
      <c r="F477" s="527"/>
      <c r="G477" s="527"/>
      <c r="H477" s="529"/>
      <c r="I477" s="529"/>
      <c r="J477" s="527"/>
      <c r="K477" s="527"/>
    </row>
    <row r="478" spans="1:11" x14ac:dyDescent="0.25">
      <c r="A478" s="528"/>
      <c r="B478" s="527"/>
      <c r="C478" s="527"/>
      <c r="D478" s="527"/>
      <c r="E478" s="527"/>
      <c r="F478" s="527"/>
      <c r="G478" s="527"/>
      <c r="H478" s="529"/>
      <c r="I478" s="529"/>
      <c r="J478" s="527"/>
      <c r="K478" s="527"/>
    </row>
    <row r="479" spans="1:11" x14ac:dyDescent="0.25">
      <c r="A479" s="528"/>
      <c r="B479" s="527"/>
      <c r="C479" s="527"/>
      <c r="D479" s="527"/>
      <c r="E479" s="527"/>
      <c r="F479" s="527"/>
      <c r="G479" s="527"/>
      <c r="H479" s="529"/>
      <c r="I479" s="529"/>
      <c r="J479" s="527"/>
      <c r="K479" s="527"/>
    </row>
    <row r="480" spans="1:11" x14ac:dyDescent="0.25">
      <c r="A480" s="528"/>
      <c r="B480" s="527"/>
      <c r="C480" s="527"/>
      <c r="D480" s="527"/>
      <c r="E480" s="527"/>
      <c r="F480" s="527"/>
      <c r="G480" s="527"/>
      <c r="H480" s="529"/>
      <c r="I480" s="529"/>
      <c r="J480" s="527"/>
      <c r="K480" s="527"/>
    </row>
    <row r="481" spans="1:11" x14ac:dyDescent="0.25">
      <c r="A481" s="528"/>
      <c r="B481" s="527"/>
      <c r="C481" s="527"/>
      <c r="D481" s="527"/>
      <c r="E481" s="527"/>
      <c r="F481" s="527"/>
      <c r="G481" s="527"/>
      <c r="H481" s="529"/>
      <c r="I481" s="529"/>
      <c r="J481" s="527"/>
      <c r="K481" s="527"/>
    </row>
    <row r="482" spans="1:11" x14ac:dyDescent="0.25">
      <c r="A482" s="528"/>
      <c r="B482" s="527"/>
      <c r="C482" s="527"/>
      <c r="D482" s="527"/>
      <c r="E482" s="527"/>
      <c r="F482" s="527"/>
      <c r="G482" s="527"/>
      <c r="H482" s="529"/>
      <c r="I482" s="529"/>
      <c r="J482" s="527"/>
      <c r="K482" s="527"/>
    </row>
    <row r="483" spans="1:11" x14ac:dyDescent="0.25">
      <c r="A483" s="528"/>
      <c r="B483" s="527"/>
      <c r="C483" s="527"/>
      <c r="D483" s="527"/>
      <c r="E483" s="527"/>
      <c r="F483" s="527"/>
      <c r="G483" s="527"/>
      <c r="H483" s="529"/>
      <c r="I483" s="529"/>
      <c r="J483" s="527"/>
      <c r="K483" s="527"/>
    </row>
    <row r="484" spans="1:11" x14ac:dyDescent="0.25">
      <c r="A484" s="528"/>
      <c r="B484" s="527"/>
      <c r="C484" s="527"/>
      <c r="D484" s="527"/>
      <c r="E484" s="527"/>
      <c r="F484" s="527"/>
      <c r="G484" s="527"/>
      <c r="H484" s="529"/>
      <c r="I484" s="529"/>
      <c r="J484" s="527"/>
      <c r="K484" s="527"/>
    </row>
    <row r="485" spans="1:11" x14ac:dyDescent="0.25">
      <c r="A485" s="528"/>
      <c r="B485" s="527"/>
      <c r="C485" s="527"/>
      <c r="D485" s="527"/>
      <c r="E485" s="527"/>
      <c r="F485" s="527"/>
      <c r="G485" s="527"/>
      <c r="H485" s="529"/>
      <c r="I485" s="529"/>
      <c r="J485" s="527"/>
      <c r="K485" s="527"/>
    </row>
    <row r="486" spans="1:11" x14ac:dyDescent="0.25">
      <c r="A486" s="528"/>
      <c r="B486" s="527"/>
      <c r="C486" s="527"/>
      <c r="D486" s="527"/>
      <c r="E486" s="527"/>
      <c r="F486" s="527"/>
      <c r="G486" s="527"/>
      <c r="H486" s="529"/>
      <c r="I486" s="529"/>
      <c r="J486" s="527"/>
      <c r="K486" s="527"/>
    </row>
    <row r="487" spans="1:11" x14ac:dyDescent="0.25">
      <c r="A487" s="528"/>
      <c r="B487" s="527"/>
      <c r="C487" s="527"/>
      <c r="D487" s="527"/>
      <c r="E487" s="527"/>
      <c r="F487" s="527"/>
      <c r="G487" s="527"/>
      <c r="H487" s="529"/>
      <c r="I487" s="529"/>
      <c r="J487" s="527"/>
      <c r="K487" s="527"/>
    </row>
    <row r="488" spans="1:11" x14ac:dyDescent="0.25">
      <c r="A488" s="528"/>
      <c r="B488" s="527"/>
      <c r="C488" s="527"/>
      <c r="D488" s="527"/>
      <c r="E488" s="527"/>
      <c r="F488" s="527"/>
      <c r="G488" s="527"/>
      <c r="H488" s="529"/>
      <c r="I488" s="529"/>
      <c r="J488" s="527"/>
      <c r="K488" s="527"/>
    </row>
    <row r="489" spans="1:11" x14ac:dyDescent="0.25">
      <c r="A489" s="528"/>
      <c r="B489" s="527"/>
      <c r="C489" s="527"/>
      <c r="D489" s="527"/>
      <c r="E489" s="527"/>
      <c r="F489" s="527"/>
      <c r="G489" s="527"/>
      <c r="H489" s="529"/>
      <c r="I489" s="529"/>
      <c r="J489" s="527"/>
      <c r="K489" s="527"/>
    </row>
    <row r="490" spans="1:11" x14ac:dyDescent="0.25">
      <c r="A490" s="528"/>
      <c r="B490" s="527"/>
      <c r="C490" s="527"/>
      <c r="D490" s="527"/>
      <c r="E490" s="527"/>
      <c r="F490" s="527"/>
      <c r="G490" s="527"/>
      <c r="H490" s="529"/>
      <c r="I490" s="529"/>
      <c r="J490" s="527"/>
      <c r="K490" s="527"/>
    </row>
    <row r="491" spans="1:11" x14ac:dyDescent="0.25">
      <c r="A491" s="528"/>
      <c r="B491" s="527"/>
      <c r="C491" s="527"/>
      <c r="D491" s="527"/>
      <c r="E491" s="527"/>
      <c r="F491" s="527"/>
      <c r="G491" s="527"/>
      <c r="H491" s="529"/>
      <c r="I491" s="529"/>
      <c r="J491" s="527"/>
      <c r="K491" s="527"/>
    </row>
    <row r="492" spans="1:11" x14ac:dyDescent="0.25">
      <c r="A492" s="528"/>
      <c r="B492" s="527"/>
      <c r="C492" s="527"/>
      <c r="D492" s="527"/>
      <c r="E492" s="527"/>
      <c r="F492" s="527"/>
      <c r="G492" s="527"/>
      <c r="H492" s="529"/>
      <c r="I492" s="529"/>
      <c r="J492" s="527"/>
      <c r="K492" s="527"/>
    </row>
    <row r="493" spans="1:11" x14ac:dyDescent="0.25">
      <c r="A493" s="528"/>
      <c r="B493" s="527"/>
      <c r="C493" s="527"/>
      <c r="D493" s="527"/>
      <c r="E493" s="527"/>
      <c r="F493" s="527"/>
      <c r="G493" s="527"/>
      <c r="H493" s="529"/>
      <c r="I493" s="529"/>
      <c r="J493" s="527"/>
      <c r="K493" s="527"/>
    </row>
    <row r="494" spans="1:11" x14ac:dyDescent="0.25">
      <c r="A494" s="528"/>
      <c r="B494" s="527"/>
      <c r="C494" s="527"/>
      <c r="D494" s="527"/>
      <c r="E494" s="527"/>
      <c r="F494" s="527"/>
      <c r="G494" s="527"/>
      <c r="H494" s="529"/>
      <c r="I494" s="529"/>
      <c r="J494" s="527"/>
      <c r="K494" s="527"/>
    </row>
    <row r="495" spans="1:11" x14ac:dyDescent="0.25">
      <c r="A495" s="528"/>
      <c r="B495" s="527"/>
      <c r="C495" s="527"/>
      <c r="D495" s="527"/>
      <c r="E495" s="527"/>
      <c r="F495" s="527"/>
      <c r="G495" s="527"/>
      <c r="H495" s="529"/>
      <c r="I495" s="529"/>
      <c r="J495" s="527"/>
      <c r="K495" s="527"/>
    </row>
    <row r="496" spans="1:11" x14ac:dyDescent="0.25">
      <c r="A496" s="528"/>
      <c r="B496" s="527"/>
      <c r="C496" s="527"/>
      <c r="D496" s="527"/>
      <c r="E496" s="527"/>
      <c r="F496" s="527"/>
      <c r="G496" s="527"/>
      <c r="H496" s="529"/>
      <c r="I496" s="529"/>
      <c r="J496" s="527"/>
      <c r="K496" s="527"/>
    </row>
    <row r="497" spans="1:11" x14ac:dyDescent="0.25">
      <c r="A497" s="528"/>
      <c r="B497" s="527"/>
      <c r="C497" s="527"/>
      <c r="D497" s="527"/>
      <c r="E497" s="527"/>
      <c r="F497" s="527"/>
      <c r="G497" s="527"/>
      <c r="H497" s="529"/>
      <c r="I497" s="529"/>
      <c r="J497" s="527"/>
      <c r="K497" s="527"/>
    </row>
    <row r="498" spans="1:11" x14ac:dyDescent="0.25">
      <c r="A498" s="528"/>
      <c r="B498" s="527"/>
      <c r="C498" s="527"/>
      <c r="D498" s="527"/>
      <c r="E498" s="527"/>
      <c r="F498" s="527"/>
      <c r="G498" s="527"/>
      <c r="H498" s="529"/>
      <c r="I498" s="529"/>
      <c r="J498" s="527"/>
      <c r="K498" s="527"/>
    </row>
    <row r="499" spans="1:11" x14ac:dyDescent="0.25">
      <c r="A499" s="528"/>
      <c r="B499" s="527"/>
      <c r="C499" s="527"/>
      <c r="D499" s="527"/>
      <c r="E499" s="527"/>
      <c r="F499" s="527"/>
      <c r="G499" s="527"/>
      <c r="H499" s="529"/>
      <c r="I499" s="529"/>
      <c r="J499" s="527"/>
      <c r="K499" s="527"/>
    </row>
    <row r="500" spans="1:11" x14ac:dyDescent="0.25">
      <c r="A500" s="528"/>
      <c r="B500" s="527"/>
      <c r="C500" s="527"/>
      <c r="D500" s="527"/>
      <c r="E500" s="527"/>
      <c r="F500" s="527"/>
      <c r="G500" s="527"/>
      <c r="H500" s="529"/>
      <c r="I500" s="529"/>
      <c r="J500" s="527"/>
      <c r="K500" s="527"/>
    </row>
    <row r="501" spans="1:11" x14ac:dyDescent="0.25">
      <c r="A501" s="528"/>
      <c r="B501" s="527"/>
      <c r="C501" s="527"/>
      <c r="D501" s="527"/>
      <c r="E501" s="527"/>
      <c r="F501" s="527"/>
      <c r="G501" s="527"/>
      <c r="H501" s="529"/>
      <c r="I501" s="529"/>
      <c r="J501" s="527"/>
      <c r="K501" s="527"/>
    </row>
    <row r="502" spans="1:11" x14ac:dyDescent="0.25">
      <c r="A502" s="528"/>
      <c r="B502" s="527"/>
      <c r="C502" s="527"/>
      <c r="D502" s="527"/>
      <c r="E502" s="527"/>
      <c r="F502" s="527"/>
      <c r="G502" s="527"/>
      <c r="H502" s="529"/>
      <c r="I502" s="529"/>
      <c r="J502" s="527"/>
      <c r="K502" s="527"/>
    </row>
    <row r="503" spans="1:11" x14ac:dyDescent="0.25">
      <c r="A503" s="528"/>
      <c r="B503" s="527"/>
      <c r="C503" s="527"/>
      <c r="D503" s="527"/>
      <c r="E503" s="527"/>
      <c r="F503" s="527"/>
      <c r="G503" s="527"/>
      <c r="H503" s="529"/>
      <c r="I503" s="529"/>
      <c r="J503" s="527"/>
      <c r="K503" s="527"/>
    </row>
    <row r="504" spans="1:11" x14ac:dyDescent="0.25">
      <c r="A504" s="528"/>
      <c r="B504" s="527"/>
      <c r="C504" s="527"/>
      <c r="D504" s="527"/>
      <c r="E504" s="527"/>
      <c r="F504" s="527"/>
      <c r="G504" s="527"/>
      <c r="H504" s="529"/>
      <c r="I504" s="529"/>
      <c r="J504" s="527"/>
      <c r="K504" s="527"/>
    </row>
    <row r="505" spans="1:11" x14ac:dyDescent="0.25">
      <c r="A505" s="528"/>
      <c r="B505" s="527"/>
      <c r="C505" s="527"/>
      <c r="D505" s="527"/>
      <c r="E505" s="527"/>
      <c r="F505" s="527"/>
      <c r="G505" s="527"/>
      <c r="H505" s="529"/>
      <c r="I505" s="529"/>
      <c r="J505" s="527"/>
      <c r="K505" s="527"/>
    </row>
    <row r="506" spans="1:11" x14ac:dyDescent="0.25">
      <c r="A506" s="528"/>
      <c r="B506" s="527"/>
      <c r="C506" s="527"/>
      <c r="D506" s="527"/>
      <c r="E506" s="527"/>
      <c r="F506" s="527"/>
      <c r="G506" s="527"/>
      <c r="H506" s="529"/>
      <c r="I506" s="529"/>
      <c r="J506" s="527"/>
      <c r="K506" s="527"/>
    </row>
    <row r="507" spans="1:11" x14ac:dyDescent="0.25">
      <c r="A507" s="528"/>
      <c r="B507" s="527"/>
      <c r="C507" s="527"/>
      <c r="D507" s="527"/>
      <c r="E507" s="527"/>
      <c r="F507" s="527"/>
      <c r="G507" s="527"/>
      <c r="H507" s="529"/>
      <c r="I507" s="529"/>
      <c r="J507" s="527"/>
      <c r="K507" s="527"/>
    </row>
    <row r="508" spans="1:11" x14ac:dyDescent="0.25">
      <c r="A508" s="528"/>
      <c r="B508" s="527"/>
      <c r="C508" s="527"/>
      <c r="D508" s="527"/>
      <c r="E508" s="527"/>
      <c r="F508" s="527"/>
      <c r="G508" s="527"/>
      <c r="H508" s="529"/>
      <c r="I508" s="529"/>
      <c r="J508" s="527"/>
      <c r="K508" s="527"/>
    </row>
    <row r="509" spans="1:11" x14ac:dyDescent="0.25">
      <c r="A509" s="528"/>
      <c r="B509" s="527"/>
      <c r="C509" s="527"/>
      <c r="D509" s="527"/>
      <c r="E509" s="527"/>
      <c r="F509" s="527"/>
      <c r="G509" s="527"/>
      <c r="H509" s="529"/>
      <c r="I509" s="529"/>
      <c r="J509" s="527"/>
      <c r="K509" s="527"/>
    </row>
    <row r="510" spans="1:11" x14ac:dyDescent="0.25">
      <c r="A510" s="528"/>
      <c r="B510" s="527"/>
      <c r="C510" s="527"/>
      <c r="D510" s="527"/>
      <c r="E510" s="527"/>
      <c r="F510" s="527"/>
      <c r="G510" s="527"/>
      <c r="H510" s="529"/>
      <c r="I510" s="529"/>
      <c r="J510" s="527"/>
      <c r="K510" s="527"/>
    </row>
    <row r="511" spans="1:11" x14ac:dyDescent="0.25">
      <c r="A511" s="528"/>
      <c r="B511" s="527"/>
      <c r="C511" s="527"/>
      <c r="D511" s="527"/>
      <c r="E511" s="527"/>
      <c r="F511" s="527"/>
      <c r="G511" s="527"/>
      <c r="H511" s="529"/>
      <c r="I511" s="529"/>
      <c r="J511" s="527"/>
      <c r="K511" s="527"/>
    </row>
    <row r="512" spans="1:11" x14ac:dyDescent="0.25">
      <c r="A512" s="528"/>
      <c r="B512" s="527"/>
      <c r="C512" s="527"/>
      <c r="D512" s="527"/>
      <c r="E512" s="527"/>
      <c r="F512" s="527"/>
      <c r="G512" s="527"/>
      <c r="H512" s="529"/>
      <c r="I512" s="529"/>
      <c r="J512" s="527"/>
      <c r="K512" s="527"/>
    </row>
    <row r="513" spans="1:11" x14ac:dyDescent="0.25">
      <c r="A513" s="528"/>
      <c r="B513" s="527"/>
      <c r="C513" s="527"/>
      <c r="D513" s="527"/>
      <c r="E513" s="527"/>
      <c r="F513" s="527"/>
      <c r="G513" s="527"/>
      <c r="H513" s="529"/>
      <c r="I513" s="529"/>
      <c r="J513" s="527"/>
      <c r="K513" s="527"/>
    </row>
    <row r="514" spans="1:11" x14ac:dyDescent="0.25">
      <c r="A514" s="528"/>
      <c r="B514" s="527"/>
      <c r="C514" s="527"/>
      <c r="D514" s="527"/>
      <c r="E514" s="527"/>
      <c r="F514" s="527"/>
      <c r="G514" s="527"/>
      <c r="H514" s="529"/>
      <c r="I514" s="529"/>
      <c r="J514" s="527"/>
      <c r="K514" s="527"/>
    </row>
    <row r="515" spans="1:11" x14ac:dyDescent="0.25">
      <c r="A515" s="528"/>
      <c r="B515" s="527"/>
      <c r="C515" s="527"/>
      <c r="D515" s="527"/>
      <c r="E515" s="527"/>
      <c r="F515" s="527"/>
      <c r="G515" s="527"/>
      <c r="H515" s="529"/>
      <c r="I515" s="529"/>
      <c r="J515" s="527"/>
      <c r="K515" s="527"/>
    </row>
    <row r="516" spans="1:11" x14ac:dyDescent="0.25">
      <c r="A516" s="528"/>
      <c r="B516" s="527"/>
      <c r="C516" s="527"/>
      <c r="D516" s="527"/>
      <c r="E516" s="527"/>
      <c r="F516" s="527"/>
      <c r="G516" s="527"/>
      <c r="H516" s="529"/>
      <c r="I516" s="529"/>
      <c r="J516" s="527"/>
      <c r="K516" s="527"/>
    </row>
    <row r="517" spans="1:11" x14ac:dyDescent="0.25">
      <c r="A517" s="528"/>
      <c r="B517" s="527"/>
      <c r="C517" s="527"/>
      <c r="D517" s="527"/>
      <c r="E517" s="527"/>
      <c r="F517" s="527"/>
      <c r="G517" s="527"/>
      <c r="H517" s="529"/>
      <c r="I517" s="529"/>
      <c r="J517" s="527"/>
      <c r="K517" s="527"/>
    </row>
    <row r="518" spans="1:11" x14ac:dyDescent="0.25">
      <c r="A518" s="528"/>
      <c r="B518" s="527"/>
      <c r="C518" s="527"/>
      <c r="D518" s="527"/>
      <c r="E518" s="527"/>
      <c r="F518" s="527"/>
      <c r="G518" s="527"/>
      <c r="H518" s="529"/>
      <c r="I518" s="529"/>
      <c r="J518" s="527"/>
      <c r="K518" s="527"/>
    </row>
    <row r="519" spans="1:11" x14ac:dyDescent="0.25">
      <c r="A519" s="528"/>
      <c r="B519" s="527"/>
      <c r="C519" s="527"/>
      <c r="D519" s="527"/>
      <c r="E519" s="527"/>
      <c r="F519" s="527"/>
      <c r="G519" s="527"/>
      <c r="H519" s="529"/>
      <c r="I519" s="529"/>
      <c r="J519" s="527"/>
      <c r="K519" s="527"/>
    </row>
    <row r="520" spans="1:11" x14ac:dyDescent="0.25">
      <c r="A520" s="528"/>
      <c r="B520" s="527"/>
      <c r="C520" s="527"/>
      <c r="D520" s="527"/>
      <c r="E520" s="527"/>
      <c r="F520" s="527"/>
      <c r="G520" s="527"/>
      <c r="H520" s="529"/>
      <c r="I520" s="529"/>
      <c r="J520" s="527"/>
      <c r="K520" s="527"/>
    </row>
    <row r="521" spans="1:11" x14ac:dyDescent="0.25">
      <c r="A521" s="528"/>
      <c r="B521" s="527"/>
      <c r="C521" s="527"/>
      <c r="D521" s="527"/>
      <c r="E521" s="527"/>
      <c r="F521" s="527"/>
      <c r="G521" s="527"/>
      <c r="H521" s="529"/>
      <c r="I521" s="529"/>
      <c r="J521" s="527"/>
      <c r="K521" s="527"/>
    </row>
    <row r="522" spans="1:11" x14ac:dyDescent="0.25">
      <c r="A522" s="528"/>
      <c r="B522" s="527"/>
      <c r="C522" s="527"/>
      <c r="D522" s="527"/>
      <c r="E522" s="527"/>
      <c r="F522" s="527"/>
      <c r="G522" s="527"/>
      <c r="H522" s="529"/>
      <c r="I522" s="529"/>
      <c r="J522" s="527"/>
      <c r="K522" s="527"/>
    </row>
    <row r="523" spans="1:11" x14ac:dyDescent="0.25">
      <c r="A523" s="528"/>
      <c r="B523" s="527"/>
      <c r="C523" s="527"/>
      <c r="D523" s="527"/>
      <c r="E523" s="527"/>
      <c r="F523" s="527"/>
      <c r="G523" s="527"/>
      <c r="H523" s="529"/>
      <c r="I523" s="529"/>
      <c r="J523" s="527"/>
      <c r="K523" s="527"/>
    </row>
    <row r="524" spans="1:11" x14ac:dyDescent="0.25">
      <c r="A524" s="528"/>
      <c r="B524" s="527"/>
      <c r="C524" s="527"/>
      <c r="D524" s="527"/>
      <c r="E524" s="527"/>
      <c r="F524" s="527"/>
      <c r="G524" s="527"/>
      <c r="H524" s="529"/>
      <c r="I524" s="529"/>
      <c r="J524" s="527"/>
      <c r="K524" s="527"/>
    </row>
    <row r="525" spans="1:11" x14ac:dyDescent="0.25">
      <c r="A525" s="528"/>
      <c r="B525" s="527"/>
      <c r="C525" s="527"/>
      <c r="D525" s="527"/>
      <c r="E525" s="527"/>
      <c r="F525" s="527"/>
      <c r="G525" s="527"/>
      <c r="H525" s="529"/>
      <c r="I525" s="529"/>
      <c r="J525" s="527"/>
      <c r="K525" s="527"/>
    </row>
    <row r="526" spans="1:11" x14ac:dyDescent="0.25">
      <c r="A526" s="528"/>
      <c r="B526" s="527"/>
      <c r="C526" s="527"/>
      <c r="D526" s="527"/>
      <c r="E526" s="527"/>
      <c r="F526" s="527"/>
      <c r="G526" s="527"/>
      <c r="H526" s="529"/>
      <c r="I526" s="529"/>
      <c r="J526" s="527"/>
      <c r="K526" s="527"/>
    </row>
    <row r="527" spans="1:11" x14ac:dyDescent="0.25">
      <c r="A527" s="528"/>
      <c r="B527" s="527"/>
      <c r="C527" s="527"/>
      <c r="D527" s="527"/>
      <c r="E527" s="527"/>
      <c r="F527" s="527"/>
      <c r="G527" s="527"/>
      <c r="H527" s="529"/>
      <c r="I527" s="529"/>
      <c r="J527" s="527"/>
      <c r="K527" s="527"/>
    </row>
    <row r="528" spans="1:11" x14ac:dyDescent="0.25">
      <c r="A528" s="528"/>
      <c r="B528" s="527"/>
      <c r="C528" s="527"/>
      <c r="D528" s="527"/>
      <c r="E528" s="527"/>
      <c r="F528" s="527"/>
      <c r="G528" s="527"/>
      <c r="H528" s="529"/>
      <c r="I528" s="529"/>
      <c r="J528" s="527"/>
      <c r="K528" s="527"/>
    </row>
    <row r="529" spans="1:11" x14ac:dyDescent="0.25">
      <c r="A529" s="528"/>
      <c r="B529" s="527"/>
      <c r="C529" s="527"/>
      <c r="D529" s="527"/>
      <c r="E529" s="527"/>
      <c r="F529" s="527"/>
      <c r="G529" s="527"/>
      <c r="H529" s="529"/>
      <c r="I529" s="529"/>
      <c r="J529" s="527"/>
      <c r="K529" s="527"/>
    </row>
    <row r="530" spans="1:11" x14ac:dyDescent="0.25">
      <c r="A530" s="528"/>
      <c r="B530" s="527"/>
      <c r="C530" s="527"/>
      <c r="D530" s="527"/>
      <c r="E530" s="527"/>
      <c r="F530" s="527"/>
      <c r="G530" s="527"/>
      <c r="H530" s="529"/>
      <c r="I530" s="529"/>
      <c r="J530" s="527"/>
      <c r="K530" s="527"/>
    </row>
    <row r="531" spans="1:11" x14ac:dyDescent="0.25">
      <c r="A531" s="528"/>
      <c r="B531" s="527"/>
      <c r="C531" s="527"/>
      <c r="D531" s="527"/>
      <c r="E531" s="527"/>
      <c r="F531" s="527"/>
      <c r="G531" s="527"/>
      <c r="H531" s="529"/>
      <c r="I531" s="529"/>
      <c r="J531" s="527"/>
      <c r="K531" s="527"/>
    </row>
    <row r="532" spans="1:11" x14ac:dyDescent="0.25">
      <c r="A532" s="528"/>
      <c r="B532" s="527"/>
      <c r="C532" s="527"/>
      <c r="D532" s="527"/>
      <c r="E532" s="527"/>
      <c r="F532" s="527"/>
      <c r="G532" s="527"/>
      <c r="H532" s="529"/>
      <c r="I532" s="529"/>
      <c r="J532" s="527"/>
      <c r="K532" s="527"/>
    </row>
    <row r="533" spans="1:11" x14ac:dyDescent="0.25">
      <c r="A533" s="528"/>
      <c r="B533" s="527"/>
      <c r="C533" s="527"/>
      <c r="D533" s="527"/>
      <c r="E533" s="527"/>
      <c r="F533" s="527"/>
      <c r="G533" s="527"/>
      <c r="H533" s="529"/>
      <c r="I533" s="529"/>
      <c r="J533" s="527"/>
      <c r="K533" s="527"/>
    </row>
    <row r="534" spans="1:11" x14ac:dyDescent="0.25">
      <c r="A534" s="528"/>
      <c r="B534" s="527"/>
      <c r="C534" s="527"/>
      <c r="D534" s="527"/>
      <c r="E534" s="527"/>
      <c r="F534" s="527"/>
      <c r="G534" s="527"/>
      <c r="H534" s="529"/>
      <c r="I534" s="529"/>
      <c r="J534" s="527"/>
      <c r="K534" s="527"/>
    </row>
    <row r="535" spans="1:11" x14ac:dyDescent="0.25">
      <c r="A535" s="528"/>
      <c r="B535" s="527"/>
      <c r="C535" s="527"/>
      <c r="D535" s="527"/>
      <c r="E535" s="527"/>
      <c r="F535" s="527"/>
      <c r="G535" s="527"/>
      <c r="H535" s="529"/>
      <c r="I535" s="529"/>
      <c r="J535" s="527"/>
      <c r="K535" s="527"/>
    </row>
    <row r="536" spans="1:11" x14ac:dyDescent="0.25">
      <c r="A536" s="528"/>
      <c r="B536" s="527"/>
      <c r="C536" s="527"/>
      <c r="D536" s="527"/>
      <c r="E536" s="527"/>
      <c r="F536" s="527"/>
      <c r="G536" s="527"/>
      <c r="H536" s="529"/>
      <c r="I536" s="529"/>
      <c r="J536" s="527"/>
      <c r="K536" s="527"/>
    </row>
    <row r="537" spans="1:11" x14ac:dyDescent="0.25">
      <c r="A537" s="528"/>
      <c r="B537" s="527"/>
      <c r="C537" s="527"/>
      <c r="D537" s="527"/>
      <c r="E537" s="527"/>
      <c r="F537" s="527"/>
      <c r="G537" s="527"/>
      <c r="H537" s="529"/>
      <c r="I537" s="529"/>
      <c r="J537" s="527"/>
      <c r="K537" s="527"/>
    </row>
    <row r="538" spans="1:11" x14ac:dyDescent="0.25">
      <c r="A538" s="528"/>
      <c r="B538" s="527"/>
      <c r="C538" s="527"/>
      <c r="D538" s="527"/>
      <c r="E538" s="527"/>
      <c r="F538" s="527"/>
      <c r="G538" s="527"/>
      <c r="H538" s="529"/>
      <c r="I538" s="529"/>
      <c r="J538" s="527"/>
      <c r="K538" s="527"/>
    </row>
    <row r="539" spans="1:11" x14ac:dyDescent="0.25">
      <c r="A539" s="528"/>
      <c r="B539" s="527"/>
      <c r="C539" s="527"/>
      <c r="D539" s="527"/>
      <c r="E539" s="527"/>
      <c r="F539" s="527"/>
      <c r="G539" s="527"/>
      <c r="H539" s="529"/>
      <c r="I539" s="529"/>
      <c r="J539" s="527"/>
      <c r="K539" s="527"/>
    </row>
    <row r="540" spans="1:11" x14ac:dyDescent="0.25">
      <c r="A540" s="528"/>
      <c r="B540" s="527"/>
      <c r="C540" s="527"/>
      <c r="D540" s="527"/>
      <c r="E540" s="527"/>
      <c r="F540" s="527"/>
      <c r="G540" s="527"/>
      <c r="H540" s="529"/>
      <c r="I540" s="529"/>
      <c r="J540" s="527"/>
      <c r="K540" s="527"/>
    </row>
    <row r="541" spans="1:11" x14ac:dyDescent="0.25">
      <c r="A541" s="528"/>
      <c r="B541" s="527"/>
      <c r="C541" s="527"/>
      <c r="D541" s="527"/>
      <c r="E541" s="527"/>
      <c r="F541" s="527"/>
      <c r="G541" s="527"/>
      <c r="H541" s="529"/>
      <c r="I541" s="529"/>
      <c r="J541" s="527"/>
      <c r="K541" s="527"/>
    </row>
    <row r="542" spans="1:11" x14ac:dyDescent="0.25">
      <c r="A542" s="528"/>
      <c r="B542" s="527"/>
      <c r="C542" s="527"/>
      <c r="D542" s="527"/>
      <c r="E542" s="527"/>
      <c r="F542" s="527"/>
      <c r="G542" s="527"/>
      <c r="H542" s="529"/>
      <c r="I542" s="529"/>
      <c r="J542" s="527"/>
      <c r="K542" s="527"/>
    </row>
    <row r="543" spans="1:11" x14ac:dyDescent="0.25">
      <c r="A543" s="528"/>
      <c r="B543" s="527"/>
      <c r="C543" s="527"/>
      <c r="D543" s="527"/>
      <c r="E543" s="527"/>
      <c r="F543" s="527"/>
      <c r="G543" s="527"/>
      <c r="H543" s="529"/>
      <c r="I543" s="529"/>
      <c r="J543" s="527"/>
      <c r="K543" s="527"/>
    </row>
    <row r="544" spans="1:11" x14ac:dyDescent="0.25">
      <c r="A544" s="528"/>
      <c r="B544" s="527"/>
      <c r="C544" s="527"/>
      <c r="D544" s="527"/>
      <c r="E544" s="527"/>
      <c r="F544" s="527"/>
      <c r="G544" s="527"/>
      <c r="H544" s="529"/>
      <c r="I544" s="529"/>
      <c r="J544" s="527"/>
      <c r="K544" s="527"/>
    </row>
    <row r="545" spans="1:11" x14ac:dyDescent="0.25">
      <c r="A545" s="528"/>
      <c r="B545" s="527"/>
      <c r="C545" s="527"/>
      <c r="D545" s="527"/>
      <c r="E545" s="527"/>
      <c r="F545" s="527"/>
      <c r="G545" s="527"/>
      <c r="H545" s="529"/>
      <c r="I545" s="529"/>
      <c r="J545" s="527"/>
      <c r="K545" s="527"/>
    </row>
    <row r="546" spans="1:11" x14ac:dyDescent="0.25">
      <c r="A546" s="528"/>
      <c r="B546" s="527"/>
      <c r="C546" s="527"/>
      <c r="D546" s="527"/>
      <c r="E546" s="527"/>
      <c r="F546" s="527"/>
      <c r="G546" s="527"/>
      <c r="H546" s="529"/>
      <c r="I546" s="529"/>
      <c r="J546" s="527"/>
      <c r="K546" s="527"/>
    </row>
    <row r="547" spans="1:11" x14ac:dyDescent="0.25">
      <c r="A547" s="528"/>
      <c r="B547" s="527"/>
      <c r="C547" s="527"/>
      <c r="D547" s="527"/>
      <c r="E547" s="527"/>
      <c r="F547" s="527"/>
      <c r="G547" s="527"/>
      <c r="H547" s="529"/>
      <c r="I547" s="529"/>
      <c r="J547" s="527"/>
      <c r="K547" s="527"/>
    </row>
    <row r="548" spans="1:11" x14ac:dyDescent="0.25">
      <c r="A548" s="528"/>
      <c r="B548" s="527"/>
      <c r="C548" s="527"/>
      <c r="D548" s="527"/>
      <c r="E548" s="527"/>
      <c r="F548" s="527"/>
      <c r="G548" s="527"/>
      <c r="H548" s="529"/>
      <c r="I548" s="529"/>
      <c r="J548" s="527"/>
      <c r="K548" s="527"/>
    </row>
    <row r="549" spans="1:11" x14ac:dyDescent="0.25">
      <c r="A549" s="528"/>
      <c r="B549" s="527"/>
      <c r="C549" s="527"/>
      <c r="D549" s="527"/>
      <c r="E549" s="527"/>
      <c r="F549" s="527"/>
      <c r="G549" s="527"/>
      <c r="H549" s="529"/>
      <c r="I549" s="529"/>
      <c r="J549" s="527"/>
      <c r="K549" s="527"/>
    </row>
    <row r="550" spans="1:11" x14ac:dyDescent="0.25">
      <c r="A550" s="528"/>
      <c r="B550" s="527"/>
      <c r="C550" s="527"/>
      <c r="D550" s="527"/>
      <c r="E550" s="527"/>
      <c r="F550" s="527"/>
      <c r="G550" s="527"/>
      <c r="H550" s="529"/>
      <c r="I550" s="529"/>
      <c r="J550" s="527"/>
      <c r="K550" s="527"/>
    </row>
    <row r="551" spans="1:11" x14ac:dyDescent="0.25">
      <c r="A551" s="528"/>
      <c r="B551" s="527"/>
      <c r="C551" s="527"/>
      <c r="D551" s="527"/>
      <c r="E551" s="527"/>
      <c r="F551" s="527"/>
      <c r="G551" s="527"/>
      <c r="H551" s="529"/>
      <c r="I551" s="529"/>
      <c r="J551" s="527"/>
      <c r="K551" s="527"/>
    </row>
    <row r="552" spans="1:11" x14ac:dyDescent="0.25">
      <c r="A552" s="528"/>
      <c r="B552" s="527"/>
      <c r="C552" s="527"/>
      <c r="D552" s="527"/>
      <c r="E552" s="527"/>
      <c r="F552" s="527"/>
      <c r="G552" s="527"/>
      <c r="H552" s="529"/>
      <c r="I552" s="529"/>
      <c r="J552" s="527"/>
      <c r="K552" s="527"/>
    </row>
    <row r="553" spans="1:11" x14ac:dyDescent="0.25">
      <c r="A553" s="528"/>
      <c r="B553" s="527"/>
      <c r="C553" s="527"/>
      <c r="D553" s="527"/>
      <c r="E553" s="527"/>
      <c r="F553" s="527"/>
      <c r="G553" s="527"/>
      <c r="H553" s="529"/>
      <c r="I553" s="529"/>
      <c r="J553" s="527"/>
      <c r="K553" s="527"/>
    </row>
    <row r="554" spans="1:11" x14ac:dyDescent="0.25">
      <c r="A554" s="528"/>
      <c r="B554" s="527"/>
      <c r="C554" s="527"/>
      <c r="D554" s="527"/>
      <c r="E554" s="527"/>
      <c r="F554" s="527"/>
      <c r="G554" s="527"/>
      <c r="H554" s="529"/>
      <c r="I554" s="529"/>
      <c r="J554" s="527"/>
      <c r="K554" s="527"/>
    </row>
    <row r="555" spans="1:11" x14ac:dyDescent="0.25">
      <c r="A555" s="528"/>
      <c r="B555" s="527"/>
      <c r="C555" s="527"/>
      <c r="D555" s="527"/>
      <c r="E555" s="527"/>
      <c r="F555" s="527"/>
      <c r="G555" s="527"/>
      <c r="H555" s="529"/>
      <c r="I555" s="529"/>
      <c r="J555" s="527"/>
      <c r="K555" s="527"/>
    </row>
    <row r="556" spans="1:11" x14ac:dyDescent="0.25">
      <c r="A556" s="528"/>
      <c r="B556" s="527"/>
      <c r="C556" s="527"/>
      <c r="D556" s="527"/>
      <c r="E556" s="527"/>
      <c r="F556" s="527"/>
      <c r="G556" s="527"/>
      <c r="H556" s="529"/>
      <c r="I556" s="529"/>
      <c r="J556" s="527"/>
      <c r="K556" s="527"/>
    </row>
    <row r="557" spans="1:11" x14ac:dyDescent="0.25">
      <c r="A557" s="528"/>
      <c r="B557" s="527"/>
      <c r="C557" s="527"/>
      <c r="D557" s="527"/>
      <c r="E557" s="527"/>
      <c r="F557" s="527"/>
      <c r="G557" s="527"/>
      <c r="H557" s="529"/>
      <c r="I557" s="529"/>
      <c r="J557" s="527"/>
      <c r="K557" s="527"/>
    </row>
    <row r="558" spans="1:11" x14ac:dyDescent="0.25">
      <c r="A558" s="528"/>
      <c r="B558" s="527"/>
      <c r="C558" s="527"/>
      <c r="D558" s="527"/>
      <c r="E558" s="527"/>
      <c r="F558" s="527"/>
      <c r="G558" s="527"/>
      <c r="H558" s="529"/>
      <c r="I558" s="529"/>
      <c r="J558" s="527"/>
      <c r="K558" s="527"/>
    </row>
    <row r="559" spans="1:11" x14ac:dyDescent="0.25">
      <c r="A559" s="528"/>
      <c r="B559" s="527"/>
      <c r="C559" s="527"/>
      <c r="D559" s="527"/>
      <c r="E559" s="527"/>
      <c r="F559" s="527"/>
      <c r="G559" s="527"/>
      <c r="H559" s="529"/>
      <c r="I559" s="529"/>
      <c r="J559" s="527"/>
      <c r="K559" s="527"/>
    </row>
    <row r="560" spans="1:11" x14ac:dyDescent="0.25">
      <c r="A560" s="528"/>
      <c r="B560" s="527"/>
      <c r="C560" s="527"/>
      <c r="D560" s="527"/>
      <c r="E560" s="527"/>
      <c r="F560" s="527"/>
      <c r="G560" s="527"/>
      <c r="H560" s="529"/>
      <c r="I560" s="529"/>
      <c r="J560" s="527"/>
      <c r="K560" s="527"/>
    </row>
    <row r="561" spans="1:11" x14ac:dyDescent="0.25">
      <c r="A561" s="528"/>
      <c r="B561" s="527"/>
      <c r="C561" s="527"/>
      <c r="D561" s="527"/>
      <c r="E561" s="527"/>
      <c r="F561" s="527"/>
      <c r="G561" s="527"/>
      <c r="H561" s="529"/>
      <c r="I561" s="529"/>
      <c r="J561" s="527"/>
      <c r="K561" s="527"/>
    </row>
    <row r="562" spans="1:11" x14ac:dyDescent="0.25">
      <c r="A562" s="528"/>
      <c r="B562" s="527"/>
      <c r="C562" s="527"/>
      <c r="D562" s="527"/>
      <c r="E562" s="527"/>
      <c r="F562" s="527"/>
      <c r="G562" s="527"/>
      <c r="H562" s="529"/>
      <c r="I562" s="529"/>
      <c r="J562" s="527"/>
      <c r="K562" s="527"/>
    </row>
    <row r="563" spans="1:11" x14ac:dyDescent="0.25">
      <c r="A563" s="528"/>
      <c r="B563" s="527"/>
      <c r="C563" s="527"/>
      <c r="D563" s="527"/>
      <c r="E563" s="527"/>
      <c r="F563" s="527"/>
      <c r="G563" s="527"/>
      <c r="H563" s="529"/>
      <c r="I563" s="529"/>
      <c r="J563" s="527"/>
      <c r="K563" s="527"/>
    </row>
    <row r="564" spans="1:11" x14ac:dyDescent="0.25">
      <c r="A564" s="528"/>
      <c r="B564" s="527"/>
      <c r="C564" s="527"/>
      <c r="D564" s="527"/>
      <c r="E564" s="527"/>
      <c r="F564" s="527"/>
      <c r="G564" s="527"/>
      <c r="H564" s="529"/>
      <c r="I564" s="529"/>
      <c r="J564" s="527"/>
      <c r="K564" s="527"/>
    </row>
    <row r="565" spans="1:11" x14ac:dyDescent="0.25">
      <c r="A565" s="528"/>
      <c r="B565" s="527"/>
      <c r="C565" s="527"/>
      <c r="D565" s="527"/>
      <c r="E565" s="527"/>
      <c r="F565" s="527"/>
      <c r="G565" s="527"/>
      <c r="H565" s="529"/>
      <c r="I565" s="529"/>
      <c r="J565" s="527"/>
      <c r="K565" s="527"/>
    </row>
    <row r="566" spans="1:11" x14ac:dyDescent="0.25">
      <c r="A566" s="528"/>
      <c r="B566" s="527"/>
      <c r="C566" s="527"/>
      <c r="D566" s="527"/>
      <c r="E566" s="527"/>
      <c r="F566" s="527"/>
      <c r="G566" s="527"/>
      <c r="H566" s="529"/>
      <c r="I566" s="529"/>
      <c r="J566" s="527"/>
      <c r="K566" s="527"/>
    </row>
    <row r="567" spans="1:11" x14ac:dyDescent="0.25">
      <c r="A567" s="528"/>
      <c r="B567" s="527"/>
      <c r="C567" s="527"/>
      <c r="D567" s="527"/>
      <c r="E567" s="527"/>
      <c r="F567" s="527"/>
      <c r="G567" s="527"/>
      <c r="H567" s="529"/>
      <c r="I567" s="529"/>
      <c r="J567" s="527"/>
      <c r="K567" s="527"/>
    </row>
    <row r="568" spans="1:11" x14ac:dyDescent="0.25">
      <c r="A568" s="528"/>
      <c r="B568" s="527"/>
      <c r="C568" s="527"/>
      <c r="D568" s="527"/>
      <c r="E568" s="527"/>
      <c r="F568" s="527"/>
      <c r="G568" s="527"/>
      <c r="H568" s="529"/>
      <c r="I568" s="529"/>
      <c r="J568" s="527"/>
      <c r="K568" s="527"/>
    </row>
    <row r="569" spans="1:11" x14ac:dyDescent="0.25">
      <c r="A569" s="528"/>
      <c r="B569" s="527"/>
      <c r="C569" s="527"/>
      <c r="D569" s="527"/>
      <c r="E569" s="527"/>
      <c r="F569" s="527"/>
      <c r="G569" s="527"/>
      <c r="H569" s="529"/>
      <c r="I569" s="529"/>
      <c r="J569" s="527"/>
      <c r="K569" s="527"/>
    </row>
    <row r="570" spans="1:11" x14ac:dyDescent="0.25">
      <c r="A570" s="528"/>
      <c r="B570" s="527"/>
      <c r="C570" s="527"/>
      <c r="D570" s="527"/>
      <c r="E570" s="527"/>
      <c r="F570" s="527"/>
      <c r="G570" s="527"/>
      <c r="H570" s="529"/>
      <c r="I570" s="529"/>
      <c r="J570" s="527"/>
      <c r="K570" s="527"/>
    </row>
    <row r="571" spans="1:11" x14ac:dyDescent="0.25">
      <c r="A571" s="528"/>
      <c r="B571" s="527"/>
      <c r="C571" s="527"/>
      <c r="D571" s="527"/>
      <c r="E571" s="527"/>
      <c r="F571" s="527"/>
      <c r="G571" s="527"/>
      <c r="H571" s="529"/>
      <c r="I571" s="529"/>
      <c r="J571" s="527"/>
      <c r="K571" s="527"/>
    </row>
    <row r="572" spans="1:11" x14ac:dyDescent="0.25">
      <c r="A572" s="528"/>
      <c r="B572" s="527"/>
      <c r="C572" s="527"/>
      <c r="D572" s="527"/>
      <c r="E572" s="527"/>
      <c r="F572" s="527"/>
      <c r="G572" s="527"/>
      <c r="H572" s="529"/>
      <c r="I572" s="529"/>
      <c r="J572" s="527"/>
      <c r="K572" s="527"/>
    </row>
    <row r="573" spans="1:11" x14ac:dyDescent="0.25">
      <c r="A573" s="528"/>
      <c r="B573" s="527"/>
      <c r="C573" s="527"/>
      <c r="D573" s="527"/>
      <c r="E573" s="527"/>
      <c r="F573" s="527"/>
      <c r="G573" s="527"/>
      <c r="H573" s="529"/>
      <c r="I573" s="529"/>
      <c r="J573" s="527"/>
      <c r="K573" s="527"/>
    </row>
    <row r="574" spans="1:11" x14ac:dyDescent="0.25">
      <c r="A574" s="528"/>
      <c r="B574" s="527"/>
      <c r="C574" s="527"/>
      <c r="D574" s="527"/>
      <c r="E574" s="527"/>
      <c r="F574" s="527"/>
      <c r="G574" s="527"/>
      <c r="H574" s="529"/>
      <c r="I574" s="529"/>
      <c r="J574" s="527"/>
      <c r="K574" s="527"/>
    </row>
    <row r="575" spans="1:11" x14ac:dyDescent="0.25">
      <c r="A575" s="528"/>
      <c r="B575" s="527"/>
      <c r="C575" s="527"/>
      <c r="D575" s="527"/>
      <c r="E575" s="527"/>
      <c r="F575" s="527"/>
      <c r="G575" s="527"/>
      <c r="H575" s="529"/>
      <c r="I575" s="529"/>
      <c r="J575" s="527"/>
      <c r="K575" s="527"/>
    </row>
    <row r="576" spans="1:11" x14ac:dyDescent="0.25">
      <c r="A576" s="528"/>
      <c r="B576" s="527"/>
      <c r="C576" s="527"/>
      <c r="D576" s="527"/>
      <c r="E576" s="527"/>
      <c r="F576" s="527"/>
      <c r="G576" s="527"/>
      <c r="H576" s="529"/>
      <c r="I576" s="529"/>
      <c r="J576" s="527"/>
      <c r="K576" s="527"/>
    </row>
    <row r="577" spans="1:11" x14ac:dyDescent="0.25">
      <c r="A577" s="528"/>
      <c r="B577" s="527"/>
      <c r="C577" s="527"/>
      <c r="D577" s="527"/>
      <c r="E577" s="527"/>
      <c r="F577" s="527"/>
      <c r="G577" s="527"/>
      <c r="H577" s="529"/>
      <c r="I577" s="529"/>
      <c r="J577" s="527"/>
      <c r="K577" s="527"/>
    </row>
    <row r="578" spans="1:11" x14ac:dyDescent="0.25">
      <c r="A578" s="528"/>
      <c r="B578" s="527"/>
      <c r="C578" s="527"/>
      <c r="D578" s="527"/>
      <c r="E578" s="527"/>
      <c r="F578" s="527"/>
      <c r="G578" s="527"/>
      <c r="H578" s="529"/>
      <c r="I578" s="529"/>
      <c r="J578" s="527"/>
      <c r="K578" s="527"/>
    </row>
    <row r="579" spans="1:11" x14ac:dyDescent="0.25">
      <c r="A579" s="528"/>
      <c r="B579" s="527"/>
      <c r="C579" s="527"/>
      <c r="D579" s="527"/>
      <c r="E579" s="527"/>
      <c r="F579" s="527"/>
      <c r="G579" s="527"/>
      <c r="H579" s="529"/>
      <c r="I579" s="529"/>
      <c r="J579" s="527"/>
      <c r="K579" s="527"/>
    </row>
    <row r="580" spans="1:11" x14ac:dyDescent="0.25">
      <c r="A580" s="528"/>
      <c r="B580" s="527"/>
      <c r="C580" s="527"/>
      <c r="D580" s="527"/>
      <c r="E580" s="527"/>
      <c r="F580" s="527"/>
      <c r="G580" s="527"/>
      <c r="H580" s="529"/>
      <c r="I580" s="529"/>
      <c r="J580" s="527"/>
      <c r="K580" s="527"/>
    </row>
    <row r="581" spans="1:11" x14ac:dyDescent="0.25">
      <c r="A581" s="528"/>
      <c r="B581" s="527"/>
      <c r="C581" s="527"/>
      <c r="D581" s="527"/>
      <c r="E581" s="527"/>
      <c r="F581" s="527"/>
      <c r="G581" s="527"/>
      <c r="H581" s="529"/>
      <c r="I581" s="529"/>
      <c r="J581" s="527"/>
      <c r="K581" s="527"/>
    </row>
    <row r="582" spans="1:11" x14ac:dyDescent="0.25">
      <c r="A582" s="528"/>
      <c r="B582" s="527"/>
      <c r="C582" s="527"/>
      <c r="D582" s="527"/>
      <c r="E582" s="527"/>
      <c r="F582" s="527"/>
      <c r="G582" s="527"/>
      <c r="H582" s="529"/>
      <c r="I582" s="529"/>
      <c r="J582" s="527"/>
      <c r="K582" s="527"/>
    </row>
    <row r="583" spans="1:11" x14ac:dyDescent="0.25">
      <c r="A583" s="528"/>
      <c r="B583" s="527"/>
      <c r="C583" s="527"/>
      <c r="D583" s="527"/>
      <c r="E583" s="527"/>
      <c r="F583" s="527"/>
      <c r="G583" s="527"/>
      <c r="H583" s="529"/>
      <c r="I583" s="529"/>
      <c r="J583" s="527"/>
      <c r="K583" s="527"/>
    </row>
    <row r="584" spans="1:11" x14ac:dyDescent="0.25">
      <c r="A584" s="528"/>
      <c r="B584" s="527"/>
      <c r="C584" s="527"/>
      <c r="D584" s="527"/>
      <c r="E584" s="527"/>
      <c r="F584" s="527"/>
      <c r="G584" s="527"/>
      <c r="H584" s="529"/>
      <c r="I584" s="529"/>
      <c r="J584" s="527"/>
      <c r="K584" s="527"/>
    </row>
    <row r="585" spans="1:11" x14ac:dyDescent="0.25">
      <c r="A585" s="528"/>
      <c r="B585" s="527"/>
      <c r="C585" s="527"/>
      <c r="D585" s="527"/>
      <c r="E585" s="527"/>
      <c r="F585" s="527"/>
      <c r="G585" s="527"/>
      <c r="H585" s="529"/>
      <c r="I585" s="529"/>
      <c r="J585" s="527"/>
      <c r="K585" s="527"/>
    </row>
    <row r="586" spans="1:11" x14ac:dyDescent="0.25">
      <c r="A586" s="528"/>
      <c r="B586" s="527"/>
      <c r="C586" s="527"/>
      <c r="D586" s="527"/>
      <c r="E586" s="527"/>
      <c r="F586" s="527"/>
      <c r="G586" s="527"/>
      <c r="H586" s="529"/>
      <c r="I586" s="529"/>
      <c r="J586" s="527"/>
      <c r="K586" s="527"/>
    </row>
    <row r="587" spans="1:11" x14ac:dyDescent="0.25">
      <c r="A587" s="528"/>
      <c r="B587" s="527"/>
      <c r="C587" s="527"/>
      <c r="D587" s="527"/>
      <c r="E587" s="527"/>
      <c r="F587" s="527"/>
      <c r="G587" s="527"/>
      <c r="H587" s="529"/>
      <c r="I587" s="529"/>
      <c r="J587" s="527"/>
      <c r="K587" s="527"/>
    </row>
    <row r="588" spans="1:11" x14ac:dyDescent="0.25">
      <c r="A588" s="528"/>
      <c r="B588" s="527"/>
      <c r="C588" s="527"/>
      <c r="D588" s="527"/>
      <c r="E588" s="527"/>
      <c r="F588" s="527"/>
      <c r="G588" s="527"/>
      <c r="H588" s="529"/>
      <c r="I588" s="529"/>
      <c r="J588" s="527"/>
      <c r="K588" s="527"/>
    </row>
    <row r="589" spans="1:11" x14ac:dyDescent="0.25">
      <c r="A589" s="528"/>
      <c r="B589" s="527"/>
      <c r="C589" s="527"/>
      <c r="D589" s="527"/>
      <c r="E589" s="527"/>
      <c r="F589" s="527"/>
      <c r="G589" s="527"/>
      <c r="H589" s="529"/>
      <c r="I589" s="529"/>
      <c r="J589" s="527"/>
      <c r="K589" s="527"/>
    </row>
    <row r="590" spans="1:11" x14ac:dyDescent="0.25">
      <c r="A590" s="528"/>
      <c r="B590" s="527"/>
      <c r="C590" s="527"/>
      <c r="D590" s="527"/>
      <c r="E590" s="527"/>
      <c r="F590" s="527"/>
      <c r="G590" s="527"/>
      <c r="H590" s="529"/>
      <c r="I590" s="529"/>
      <c r="J590" s="527"/>
      <c r="K590" s="527"/>
    </row>
    <row r="591" spans="1:11" x14ac:dyDescent="0.25">
      <c r="A591" s="528"/>
      <c r="B591" s="527"/>
      <c r="C591" s="527"/>
      <c r="D591" s="527"/>
      <c r="E591" s="527"/>
      <c r="F591" s="527"/>
      <c r="G591" s="527"/>
      <c r="H591" s="529"/>
      <c r="I591" s="529"/>
      <c r="J591" s="527"/>
      <c r="K591" s="527"/>
    </row>
    <row r="592" spans="1:11" x14ac:dyDescent="0.25">
      <c r="A592" s="528"/>
      <c r="B592" s="527"/>
      <c r="C592" s="527"/>
      <c r="D592" s="527"/>
      <c r="E592" s="527"/>
      <c r="F592" s="527"/>
      <c r="G592" s="527"/>
      <c r="H592" s="529"/>
      <c r="I592" s="529"/>
      <c r="J592" s="527"/>
      <c r="K592" s="527"/>
    </row>
    <row r="593" spans="1:11" x14ac:dyDescent="0.25">
      <c r="A593" s="528"/>
      <c r="B593" s="527"/>
      <c r="C593" s="527"/>
      <c r="D593" s="527"/>
      <c r="E593" s="527"/>
      <c r="F593" s="527"/>
      <c r="G593" s="527"/>
      <c r="H593" s="529"/>
      <c r="I593" s="529"/>
      <c r="J593" s="527"/>
      <c r="K593" s="527"/>
    </row>
    <row r="594" spans="1:11" x14ac:dyDescent="0.25">
      <c r="A594" s="528"/>
      <c r="B594" s="527"/>
      <c r="C594" s="527"/>
      <c r="D594" s="527"/>
      <c r="E594" s="527"/>
      <c r="F594" s="527"/>
      <c r="G594" s="527"/>
      <c r="H594" s="529"/>
      <c r="I594" s="529"/>
      <c r="J594" s="527"/>
      <c r="K594" s="527"/>
    </row>
    <row r="595" spans="1:11" x14ac:dyDescent="0.25">
      <c r="A595" s="528"/>
      <c r="B595" s="527"/>
      <c r="C595" s="527"/>
      <c r="D595" s="527"/>
      <c r="E595" s="527"/>
      <c r="F595" s="527"/>
      <c r="G595" s="527"/>
      <c r="H595" s="529"/>
      <c r="I595" s="529"/>
      <c r="J595" s="527"/>
      <c r="K595" s="527"/>
    </row>
    <row r="596" spans="1:11" x14ac:dyDescent="0.25">
      <c r="A596" s="528"/>
      <c r="B596" s="527"/>
      <c r="C596" s="527"/>
      <c r="D596" s="527"/>
      <c r="E596" s="527"/>
      <c r="F596" s="527"/>
      <c r="G596" s="527"/>
      <c r="H596" s="529"/>
      <c r="I596" s="529"/>
      <c r="J596" s="527"/>
      <c r="K596" s="527"/>
    </row>
    <row r="597" spans="1:11" x14ac:dyDescent="0.25">
      <c r="A597" s="528"/>
      <c r="B597" s="527"/>
      <c r="C597" s="527"/>
      <c r="D597" s="527"/>
      <c r="E597" s="527"/>
      <c r="F597" s="527"/>
      <c r="G597" s="527"/>
      <c r="H597" s="529"/>
      <c r="I597" s="529"/>
      <c r="J597" s="527"/>
      <c r="K597" s="527"/>
    </row>
    <row r="598" spans="1:11" x14ac:dyDescent="0.25">
      <c r="A598" s="528"/>
      <c r="B598" s="527"/>
      <c r="C598" s="527"/>
      <c r="D598" s="527"/>
      <c r="E598" s="527"/>
      <c r="F598" s="527"/>
      <c r="G598" s="527"/>
      <c r="H598" s="529"/>
      <c r="I598" s="529"/>
      <c r="J598" s="527"/>
      <c r="K598" s="527"/>
    </row>
    <row r="599" spans="1:11" x14ac:dyDescent="0.25">
      <c r="A599" s="528"/>
      <c r="B599" s="527"/>
      <c r="C599" s="527"/>
      <c r="D599" s="527"/>
      <c r="E599" s="527"/>
      <c r="F599" s="527"/>
      <c r="G599" s="527"/>
      <c r="H599" s="529"/>
      <c r="I599" s="529"/>
      <c r="J599" s="527"/>
      <c r="K599" s="527"/>
    </row>
    <row r="600" spans="1:11" x14ac:dyDescent="0.25">
      <c r="A600" s="528"/>
      <c r="B600" s="527"/>
      <c r="C600" s="527"/>
      <c r="D600" s="527"/>
      <c r="E600" s="527"/>
      <c r="F600" s="527"/>
      <c r="G600" s="527"/>
      <c r="H600" s="529"/>
      <c r="I600" s="529"/>
      <c r="J600" s="527"/>
      <c r="K600" s="527"/>
    </row>
    <row r="601" spans="1:11" x14ac:dyDescent="0.25">
      <c r="A601" s="528"/>
      <c r="B601" s="527"/>
      <c r="C601" s="527"/>
      <c r="D601" s="527"/>
      <c r="E601" s="527"/>
      <c r="F601" s="527"/>
      <c r="G601" s="527"/>
      <c r="H601" s="529"/>
      <c r="I601" s="529"/>
      <c r="J601" s="527"/>
      <c r="K601" s="527"/>
    </row>
    <row r="602" spans="1:11" x14ac:dyDescent="0.25">
      <c r="A602" s="528"/>
      <c r="B602" s="527"/>
      <c r="C602" s="527"/>
      <c r="D602" s="527"/>
      <c r="E602" s="527"/>
      <c r="F602" s="527"/>
      <c r="G602" s="527"/>
      <c r="H602" s="529"/>
      <c r="I602" s="529"/>
      <c r="J602" s="527"/>
      <c r="K602" s="527"/>
    </row>
    <row r="603" spans="1:11" x14ac:dyDescent="0.25">
      <c r="A603" s="528"/>
      <c r="B603" s="527"/>
      <c r="C603" s="527"/>
      <c r="D603" s="527"/>
      <c r="E603" s="527"/>
      <c r="F603" s="527"/>
      <c r="G603" s="527"/>
      <c r="H603" s="529"/>
      <c r="I603" s="529"/>
      <c r="J603" s="527"/>
      <c r="K603" s="527"/>
    </row>
    <row r="604" spans="1:11" x14ac:dyDescent="0.25">
      <c r="A604" s="528"/>
      <c r="B604" s="527"/>
      <c r="C604" s="527"/>
      <c r="D604" s="527"/>
      <c r="E604" s="527"/>
      <c r="F604" s="527"/>
      <c r="G604" s="527"/>
      <c r="H604" s="529"/>
      <c r="I604" s="529"/>
      <c r="J604" s="527"/>
      <c r="K604" s="527"/>
    </row>
    <row r="605" spans="1:11" x14ac:dyDescent="0.25">
      <c r="A605" s="528"/>
      <c r="B605" s="527"/>
      <c r="C605" s="527"/>
      <c r="D605" s="527"/>
      <c r="E605" s="527"/>
      <c r="F605" s="527"/>
      <c r="G605" s="527"/>
      <c r="H605" s="529"/>
      <c r="I605" s="529"/>
      <c r="J605" s="527"/>
      <c r="K605" s="527"/>
    </row>
    <row r="606" spans="1:11" x14ac:dyDescent="0.25">
      <c r="A606" s="528"/>
      <c r="B606" s="527"/>
      <c r="C606" s="527"/>
      <c r="D606" s="527"/>
      <c r="E606" s="527"/>
      <c r="F606" s="527"/>
      <c r="G606" s="527"/>
      <c r="H606" s="529"/>
      <c r="I606" s="529"/>
      <c r="J606" s="527"/>
      <c r="K606" s="527"/>
    </row>
    <row r="607" spans="1:11" x14ac:dyDescent="0.25">
      <c r="A607" s="528"/>
      <c r="B607" s="527"/>
      <c r="C607" s="527"/>
      <c r="D607" s="527"/>
      <c r="E607" s="527"/>
      <c r="F607" s="527"/>
      <c r="G607" s="527"/>
      <c r="H607" s="529"/>
      <c r="I607" s="529"/>
      <c r="J607" s="527"/>
      <c r="K607" s="527"/>
    </row>
    <row r="608" spans="1:11" x14ac:dyDescent="0.25">
      <c r="A608" s="528"/>
      <c r="B608" s="527"/>
      <c r="C608" s="527"/>
      <c r="D608" s="527"/>
      <c r="E608" s="527"/>
      <c r="F608" s="527"/>
      <c r="G608" s="527"/>
      <c r="H608" s="529"/>
      <c r="I608" s="529"/>
      <c r="J608" s="527"/>
      <c r="K608" s="527"/>
    </row>
    <row r="609" spans="1:11" x14ac:dyDescent="0.25">
      <c r="A609" s="528"/>
      <c r="B609" s="527"/>
      <c r="C609" s="527"/>
      <c r="D609" s="527"/>
      <c r="E609" s="527"/>
      <c r="F609" s="527"/>
      <c r="G609" s="527"/>
      <c r="H609" s="529"/>
      <c r="I609" s="529"/>
      <c r="J609" s="527"/>
      <c r="K609" s="527"/>
    </row>
    <row r="610" spans="1:11" x14ac:dyDescent="0.25">
      <c r="A610" s="528"/>
      <c r="B610" s="527"/>
      <c r="C610" s="527"/>
      <c r="D610" s="527"/>
      <c r="E610" s="527"/>
      <c r="F610" s="527"/>
      <c r="G610" s="527"/>
      <c r="H610" s="529"/>
      <c r="I610" s="529"/>
      <c r="J610" s="527"/>
      <c r="K610" s="527"/>
    </row>
    <row r="611" spans="1:11" x14ac:dyDescent="0.25">
      <c r="A611" s="528"/>
      <c r="B611" s="527"/>
      <c r="C611" s="527"/>
      <c r="D611" s="527"/>
      <c r="E611" s="527"/>
      <c r="F611" s="527"/>
      <c r="G611" s="527"/>
      <c r="H611" s="529"/>
      <c r="I611" s="529"/>
      <c r="J611" s="527"/>
      <c r="K611" s="527"/>
    </row>
    <row r="612" spans="1:11" x14ac:dyDescent="0.25">
      <c r="A612" s="528"/>
      <c r="B612" s="527"/>
      <c r="C612" s="527"/>
      <c r="D612" s="527"/>
      <c r="E612" s="527"/>
      <c r="F612" s="527"/>
      <c r="G612" s="527"/>
      <c r="H612" s="529"/>
      <c r="I612" s="529"/>
      <c r="J612" s="527"/>
      <c r="K612" s="527"/>
    </row>
    <row r="613" spans="1:11" x14ac:dyDescent="0.25">
      <c r="A613" s="528"/>
      <c r="B613" s="527"/>
      <c r="C613" s="527"/>
      <c r="D613" s="527"/>
      <c r="E613" s="527"/>
      <c r="F613" s="527"/>
      <c r="G613" s="527"/>
      <c r="H613" s="529"/>
      <c r="I613" s="529"/>
      <c r="J613" s="527"/>
      <c r="K613" s="527"/>
    </row>
    <row r="614" spans="1:11" x14ac:dyDescent="0.25">
      <c r="A614" s="528"/>
      <c r="B614" s="527"/>
      <c r="C614" s="527"/>
      <c r="D614" s="527"/>
      <c r="E614" s="527"/>
      <c r="F614" s="527"/>
      <c r="G614" s="527"/>
      <c r="H614" s="529"/>
      <c r="I614" s="529"/>
      <c r="J614" s="527"/>
      <c r="K614" s="527"/>
    </row>
    <row r="615" spans="1:11" x14ac:dyDescent="0.25">
      <c r="A615" s="528"/>
      <c r="B615" s="527"/>
      <c r="C615" s="527"/>
      <c r="D615" s="527"/>
      <c r="E615" s="527"/>
      <c r="F615" s="527"/>
      <c r="G615" s="527"/>
      <c r="H615" s="529"/>
      <c r="I615" s="529"/>
      <c r="J615" s="527"/>
      <c r="K615" s="527"/>
    </row>
    <row r="616" spans="1:11" x14ac:dyDescent="0.25">
      <c r="A616" s="528"/>
      <c r="B616" s="527"/>
      <c r="C616" s="527"/>
      <c r="D616" s="527"/>
      <c r="E616" s="527"/>
      <c r="F616" s="527"/>
      <c r="G616" s="527"/>
      <c r="H616" s="529"/>
      <c r="I616" s="529"/>
      <c r="J616" s="527"/>
      <c r="K616" s="527"/>
    </row>
    <row r="617" spans="1:11" x14ac:dyDescent="0.25">
      <c r="A617" s="528"/>
      <c r="B617" s="527"/>
      <c r="C617" s="527"/>
      <c r="D617" s="527"/>
      <c r="E617" s="527"/>
      <c r="F617" s="527"/>
      <c r="G617" s="527"/>
      <c r="H617" s="529"/>
      <c r="I617" s="529"/>
      <c r="J617" s="527"/>
      <c r="K617" s="527"/>
    </row>
    <row r="618" spans="1:11" x14ac:dyDescent="0.25">
      <c r="A618" s="528"/>
      <c r="B618" s="527"/>
      <c r="C618" s="527"/>
      <c r="D618" s="527"/>
      <c r="E618" s="527"/>
      <c r="F618" s="527"/>
      <c r="G618" s="527"/>
      <c r="H618" s="529"/>
      <c r="I618" s="529"/>
      <c r="J618" s="527"/>
      <c r="K618" s="527"/>
    </row>
    <row r="619" spans="1:11" x14ac:dyDescent="0.25">
      <c r="A619" s="528"/>
      <c r="B619" s="527"/>
      <c r="C619" s="527"/>
      <c r="D619" s="527"/>
      <c r="E619" s="527"/>
      <c r="F619" s="527"/>
      <c r="G619" s="527"/>
      <c r="H619" s="529"/>
      <c r="I619" s="529"/>
      <c r="J619" s="527"/>
      <c r="K619" s="527"/>
    </row>
    <row r="620" spans="1:11" x14ac:dyDescent="0.25">
      <c r="A620" s="528"/>
      <c r="B620" s="527"/>
      <c r="C620" s="527"/>
      <c r="D620" s="527"/>
      <c r="E620" s="527"/>
      <c r="F620" s="527"/>
      <c r="G620" s="527"/>
      <c r="H620" s="529"/>
      <c r="I620" s="529"/>
      <c r="J620" s="527"/>
      <c r="K620" s="527"/>
    </row>
    <row r="621" spans="1:11" x14ac:dyDescent="0.25">
      <c r="A621" s="528"/>
      <c r="B621" s="527"/>
      <c r="C621" s="527"/>
      <c r="D621" s="527"/>
      <c r="E621" s="527"/>
      <c r="F621" s="527"/>
      <c r="G621" s="527"/>
      <c r="H621" s="529"/>
      <c r="I621" s="529"/>
      <c r="J621" s="527"/>
      <c r="K621" s="527"/>
    </row>
    <row r="622" spans="1:11" x14ac:dyDescent="0.25">
      <c r="A622" s="528"/>
      <c r="B622" s="527"/>
      <c r="C622" s="527"/>
      <c r="D622" s="527"/>
      <c r="E622" s="527"/>
      <c r="F622" s="527"/>
      <c r="G622" s="527"/>
      <c r="H622" s="529"/>
      <c r="I622" s="529"/>
      <c r="J622" s="527"/>
      <c r="K622" s="527"/>
    </row>
    <row r="623" spans="1:11" x14ac:dyDescent="0.25">
      <c r="A623" s="528"/>
      <c r="B623" s="527"/>
      <c r="C623" s="527"/>
      <c r="D623" s="527"/>
      <c r="E623" s="527"/>
      <c r="F623" s="527"/>
      <c r="G623" s="527"/>
      <c r="H623" s="529"/>
      <c r="I623" s="529"/>
      <c r="J623" s="527"/>
      <c r="K623" s="527"/>
    </row>
    <row r="624" spans="1:11" x14ac:dyDescent="0.25">
      <c r="A624" s="528"/>
      <c r="B624" s="527"/>
      <c r="C624" s="527"/>
      <c r="D624" s="527"/>
      <c r="E624" s="527"/>
      <c r="F624" s="527"/>
      <c r="G624" s="527"/>
      <c r="H624" s="529"/>
      <c r="I624" s="529"/>
      <c r="J624" s="527"/>
      <c r="K624" s="527"/>
    </row>
    <row r="625" spans="1:11" x14ac:dyDescent="0.25">
      <c r="A625" s="528"/>
      <c r="B625" s="527"/>
      <c r="C625" s="527"/>
      <c r="D625" s="527"/>
      <c r="E625" s="527"/>
      <c r="F625" s="527"/>
      <c r="G625" s="527"/>
      <c r="H625" s="529"/>
      <c r="I625" s="529"/>
      <c r="J625" s="527"/>
      <c r="K625" s="527"/>
    </row>
    <row r="626" spans="1:11" x14ac:dyDescent="0.25">
      <c r="A626" s="528"/>
      <c r="B626" s="527"/>
      <c r="C626" s="527"/>
      <c r="D626" s="527"/>
      <c r="E626" s="527"/>
      <c r="F626" s="527"/>
      <c r="G626" s="527"/>
      <c r="H626" s="529"/>
      <c r="I626" s="529"/>
      <c r="J626" s="527"/>
      <c r="K626" s="527"/>
    </row>
    <row r="627" spans="1:11" x14ac:dyDescent="0.25">
      <c r="A627" s="528"/>
      <c r="B627" s="527"/>
      <c r="C627" s="527"/>
      <c r="D627" s="527"/>
      <c r="E627" s="527"/>
      <c r="F627" s="527"/>
      <c r="G627" s="527"/>
      <c r="H627" s="529"/>
      <c r="I627" s="529"/>
      <c r="J627" s="527"/>
      <c r="K627" s="527"/>
    </row>
    <row r="628" spans="1:11" x14ac:dyDescent="0.25">
      <c r="A628" s="528"/>
      <c r="B628" s="527"/>
      <c r="C628" s="527"/>
      <c r="D628" s="527"/>
      <c r="E628" s="527"/>
      <c r="F628" s="527"/>
      <c r="G628" s="527"/>
      <c r="H628" s="529"/>
      <c r="I628" s="529"/>
      <c r="J628" s="527"/>
      <c r="K628" s="527"/>
    </row>
    <row r="629" spans="1:11" x14ac:dyDescent="0.25">
      <c r="A629" s="528"/>
      <c r="B629" s="527"/>
      <c r="C629" s="527"/>
      <c r="D629" s="527"/>
      <c r="E629" s="527"/>
      <c r="F629" s="527"/>
      <c r="G629" s="527"/>
      <c r="H629" s="529"/>
      <c r="I629" s="529"/>
      <c r="J629" s="527"/>
      <c r="K629" s="527"/>
    </row>
    <row r="630" spans="1:11" x14ac:dyDescent="0.25">
      <c r="A630" s="528"/>
      <c r="B630" s="527"/>
      <c r="C630" s="527"/>
      <c r="D630" s="527"/>
      <c r="E630" s="527"/>
      <c r="F630" s="527"/>
      <c r="G630" s="527"/>
      <c r="H630" s="529"/>
      <c r="I630" s="529"/>
      <c r="J630" s="527"/>
      <c r="K630" s="527"/>
    </row>
    <row r="631" spans="1:11" x14ac:dyDescent="0.25">
      <c r="A631" s="528"/>
      <c r="B631" s="527"/>
      <c r="C631" s="527"/>
      <c r="D631" s="527"/>
      <c r="E631" s="527"/>
      <c r="F631" s="527"/>
      <c r="G631" s="527"/>
      <c r="H631" s="529"/>
      <c r="I631" s="529"/>
      <c r="J631" s="527"/>
      <c r="K631" s="527"/>
    </row>
    <row r="632" spans="1:11" x14ac:dyDescent="0.25">
      <c r="A632" s="528"/>
      <c r="B632" s="527"/>
      <c r="C632" s="527"/>
      <c r="D632" s="527"/>
      <c r="E632" s="527"/>
      <c r="F632" s="527"/>
      <c r="G632" s="527"/>
      <c r="H632" s="529"/>
      <c r="I632" s="529"/>
      <c r="J632" s="527"/>
      <c r="K632" s="527"/>
    </row>
    <row r="633" spans="1:11" x14ac:dyDescent="0.25">
      <c r="A633" s="528"/>
      <c r="B633" s="527"/>
      <c r="C633" s="527"/>
      <c r="D633" s="527"/>
      <c r="E633" s="527"/>
      <c r="F633" s="527"/>
      <c r="G633" s="527"/>
      <c r="H633" s="529"/>
      <c r="I633" s="529"/>
      <c r="J633" s="527"/>
      <c r="K633" s="527"/>
    </row>
    <row r="634" spans="1:11" x14ac:dyDescent="0.25">
      <c r="A634" s="528"/>
      <c r="B634" s="527"/>
      <c r="C634" s="527"/>
      <c r="D634" s="527"/>
      <c r="E634" s="527"/>
      <c r="F634" s="527"/>
      <c r="G634" s="527"/>
      <c r="H634" s="529"/>
      <c r="I634" s="529"/>
      <c r="J634" s="527"/>
      <c r="K634" s="527"/>
    </row>
    <row r="635" spans="1:11" x14ac:dyDescent="0.25">
      <c r="A635" s="528"/>
      <c r="B635" s="527"/>
      <c r="C635" s="527"/>
      <c r="D635" s="527"/>
      <c r="E635" s="527"/>
      <c r="F635" s="527"/>
      <c r="G635" s="527"/>
      <c r="H635" s="529"/>
      <c r="I635" s="529"/>
      <c r="J635" s="527"/>
      <c r="K635" s="527"/>
    </row>
    <row r="636" spans="1:11" x14ac:dyDescent="0.25">
      <c r="A636" s="528"/>
      <c r="B636" s="527"/>
      <c r="C636" s="527"/>
      <c r="D636" s="527"/>
      <c r="E636" s="527"/>
      <c r="F636" s="527"/>
      <c r="G636" s="527"/>
      <c r="H636" s="529"/>
      <c r="I636" s="529"/>
      <c r="J636" s="527"/>
      <c r="K636" s="527"/>
    </row>
    <row r="637" spans="1:11" x14ac:dyDescent="0.25">
      <c r="A637" s="528"/>
      <c r="B637" s="527"/>
      <c r="C637" s="527"/>
      <c r="D637" s="527"/>
      <c r="E637" s="527"/>
      <c r="F637" s="527"/>
      <c r="G637" s="527"/>
      <c r="H637" s="529"/>
      <c r="I637" s="529"/>
      <c r="J637" s="527"/>
      <c r="K637" s="527"/>
    </row>
    <row r="638" spans="1:11" x14ac:dyDescent="0.25">
      <c r="A638" s="528"/>
      <c r="B638" s="527"/>
      <c r="C638" s="527"/>
      <c r="D638" s="527"/>
      <c r="E638" s="527"/>
      <c r="F638" s="527"/>
      <c r="G638" s="527"/>
      <c r="H638" s="529"/>
      <c r="I638" s="529"/>
      <c r="J638" s="527"/>
      <c r="K638" s="527"/>
    </row>
    <row r="639" spans="1:11" x14ac:dyDescent="0.25">
      <c r="A639" s="528"/>
      <c r="B639" s="527"/>
      <c r="C639" s="527"/>
      <c r="D639" s="527"/>
      <c r="E639" s="527"/>
      <c r="F639" s="527"/>
      <c r="G639" s="527"/>
      <c r="H639" s="529"/>
      <c r="I639" s="529"/>
      <c r="J639" s="527"/>
      <c r="K639" s="527"/>
    </row>
    <row r="640" spans="1:11" x14ac:dyDescent="0.25">
      <c r="A640" s="528"/>
      <c r="B640" s="527"/>
      <c r="C640" s="527"/>
      <c r="D640" s="527"/>
      <c r="E640" s="527"/>
      <c r="F640" s="527"/>
      <c r="G640" s="527"/>
      <c r="H640" s="529"/>
      <c r="I640" s="529"/>
      <c r="J640" s="527"/>
      <c r="K640" s="527"/>
    </row>
    <row r="641" spans="1:11" x14ac:dyDescent="0.25">
      <c r="A641" s="528"/>
      <c r="B641" s="527"/>
      <c r="C641" s="527"/>
      <c r="D641" s="527"/>
      <c r="E641" s="527"/>
      <c r="F641" s="527"/>
      <c r="G641" s="527"/>
      <c r="H641" s="529"/>
      <c r="I641" s="529"/>
      <c r="J641" s="527"/>
      <c r="K641" s="527"/>
    </row>
    <row r="642" spans="1:11" x14ac:dyDescent="0.25">
      <c r="A642" s="528"/>
      <c r="B642" s="527"/>
      <c r="C642" s="527"/>
      <c r="D642" s="527"/>
      <c r="E642" s="527"/>
      <c r="F642" s="527"/>
      <c r="G642" s="527"/>
      <c r="H642" s="529"/>
      <c r="I642" s="529"/>
      <c r="J642" s="527"/>
      <c r="K642" s="527"/>
    </row>
    <row r="643" spans="1:11" x14ac:dyDescent="0.25">
      <c r="A643" s="528"/>
      <c r="B643" s="527"/>
      <c r="C643" s="527"/>
      <c r="D643" s="527"/>
      <c r="E643" s="527"/>
      <c r="F643" s="527"/>
      <c r="G643" s="527"/>
      <c r="H643" s="529"/>
      <c r="I643" s="529"/>
      <c r="J643" s="527"/>
      <c r="K643" s="527"/>
    </row>
    <row r="644" spans="1:11" x14ac:dyDescent="0.25">
      <c r="A644" s="528"/>
      <c r="B644" s="527"/>
      <c r="C644" s="527"/>
      <c r="D644" s="527"/>
      <c r="E644" s="527"/>
      <c r="F644" s="527"/>
      <c r="G644" s="527"/>
      <c r="H644" s="529"/>
      <c r="I644" s="529"/>
      <c r="J644" s="527"/>
      <c r="K644" s="527"/>
    </row>
    <row r="645" spans="1:11" x14ac:dyDescent="0.25">
      <c r="A645" s="528"/>
      <c r="B645" s="527"/>
      <c r="C645" s="527"/>
      <c r="D645" s="527"/>
      <c r="E645" s="527"/>
      <c r="F645" s="527"/>
      <c r="G645" s="527"/>
      <c r="H645" s="529"/>
      <c r="I645" s="529"/>
      <c r="J645" s="527"/>
      <c r="K645" s="527"/>
    </row>
    <row r="646" spans="1:11" x14ac:dyDescent="0.25">
      <c r="A646" s="528"/>
      <c r="B646" s="527"/>
      <c r="C646" s="527"/>
      <c r="D646" s="527"/>
      <c r="E646" s="527"/>
      <c r="F646" s="527"/>
      <c r="G646" s="527"/>
      <c r="H646" s="529"/>
      <c r="I646" s="529"/>
      <c r="J646" s="527"/>
      <c r="K646" s="527"/>
    </row>
    <row r="647" spans="1:11" x14ac:dyDescent="0.25">
      <c r="A647" s="528"/>
      <c r="B647" s="527"/>
      <c r="C647" s="527"/>
      <c r="D647" s="527"/>
      <c r="E647" s="527"/>
      <c r="F647" s="527"/>
      <c r="G647" s="527"/>
      <c r="H647" s="529"/>
      <c r="I647" s="529"/>
      <c r="J647" s="527"/>
      <c r="K647" s="527"/>
    </row>
    <row r="648" spans="1:11" x14ac:dyDescent="0.25">
      <c r="A648" s="528"/>
      <c r="B648" s="527"/>
      <c r="C648" s="527"/>
      <c r="D648" s="527"/>
      <c r="E648" s="527"/>
      <c r="F648" s="527"/>
      <c r="G648" s="527"/>
      <c r="H648" s="529"/>
      <c r="I648" s="529"/>
      <c r="J648" s="527"/>
      <c r="K648" s="527"/>
    </row>
    <row r="649" spans="1:11" x14ac:dyDescent="0.25">
      <c r="A649" s="528"/>
      <c r="B649" s="527"/>
      <c r="C649" s="527"/>
      <c r="D649" s="527"/>
      <c r="E649" s="527"/>
      <c r="F649" s="527"/>
      <c r="G649" s="527"/>
      <c r="H649" s="529"/>
      <c r="I649" s="529"/>
      <c r="J649" s="527"/>
      <c r="K649" s="527"/>
    </row>
    <row r="650" spans="1:11" x14ac:dyDescent="0.25">
      <c r="A650" s="528"/>
      <c r="B650" s="527"/>
      <c r="C650" s="527"/>
      <c r="D650" s="527"/>
      <c r="E650" s="527"/>
      <c r="F650" s="527"/>
      <c r="G650" s="527"/>
      <c r="H650" s="529"/>
      <c r="I650" s="529"/>
      <c r="J650" s="527"/>
      <c r="K650" s="527"/>
    </row>
    <row r="651" spans="1:11" x14ac:dyDescent="0.25">
      <c r="A651" s="528"/>
      <c r="B651" s="527"/>
      <c r="C651" s="527"/>
      <c r="D651" s="527"/>
      <c r="E651" s="527"/>
      <c r="F651" s="527"/>
      <c r="G651" s="527"/>
      <c r="H651" s="529"/>
      <c r="I651" s="529"/>
      <c r="J651" s="527"/>
      <c r="K651" s="527"/>
    </row>
    <row r="652" spans="1:11" x14ac:dyDescent="0.25">
      <c r="A652" s="528"/>
      <c r="B652" s="527"/>
      <c r="C652" s="527"/>
      <c r="D652" s="527"/>
      <c r="E652" s="527"/>
      <c r="F652" s="527"/>
      <c r="G652" s="527"/>
      <c r="H652" s="529"/>
      <c r="I652" s="529"/>
      <c r="J652" s="527"/>
      <c r="K652" s="527"/>
    </row>
    <row r="653" spans="1:11" x14ac:dyDescent="0.25">
      <c r="A653" s="528"/>
      <c r="B653" s="527"/>
      <c r="C653" s="527"/>
      <c r="D653" s="527"/>
      <c r="E653" s="527"/>
      <c r="F653" s="527"/>
      <c r="G653" s="527"/>
      <c r="H653" s="529"/>
      <c r="I653" s="529"/>
      <c r="J653" s="527"/>
      <c r="K653" s="527"/>
    </row>
    <row r="654" spans="1:11" x14ac:dyDescent="0.25">
      <c r="A654" s="528"/>
      <c r="B654" s="527"/>
      <c r="C654" s="527"/>
      <c r="D654" s="527"/>
      <c r="E654" s="527"/>
      <c r="F654" s="527"/>
      <c r="G654" s="527"/>
      <c r="H654" s="529"/>
      <c r="I654" s="529"/>
      <c r="J654" s="527"/>
      <c r="K654" s="527"/>
    </row>
    <row r="655" spans="1:11" x14ac:dyDescent="0.25">
      <c r="A655" s="528"/>
      <c r="B655" s="527"/>
      <c r="C655" s="527"/>
      <c r="D655" s="527"/>
      <c r="E655" s="527"/>
      <c r="F655" s="527"/>
      <c r="G655" s="527"/>
      <c r="H655" s="529"/>
      <c r="I655" s="529"/>
      <c r="J655" s="527"/>
      <c r="K655" s="527"/>
    </row>
    <row r="656" spans="1:11" x14ac:dyDescent="0.25">
      <c r="A656" s="528"/>
      <c r="B656" s="527"/>
      <c r="C656" s="527"/>
      <c r="D656" s="527"/>
      <c r="E656" s="527"/>
      <c r="F656" s="527"/>
      <c r="G656" s="527"/>
      <c r="H656" s="529"/>
      <c r="I656" s="529"/>
      <c r="J656" s="527"/>
      <c r="K656" s="527"/>
    </row>
    <row r="657" spans="1:11" x14ac:dyDescent="0.25">
      <c r="A657" s="528"/>
      <c r="B657" s="527"/>
      <c r="C657" s="527"/>
      <c r="D657" s="527"/>
      <c r="E657" s="527"/>
      <c r="F657" s="527"/>
      <c r="G657" s="527"/>
      <c r="H657" s="529"/>
      <c r="I657" s="529"/>
      <c r="J657" s="527"/>
      <c r="K657" s="527"/>
    </row>
    <row r="658" spans="1:11" x14ac:dyDescent="0.25">
      <c r="A658" s="528"/>
      <c r="B658" s="527"/>
      <c r="C658" s="527"/>
      <c r="D658" s="527"/>
      <c r="E658" s="527"/>
      <c r="F658" s="527"/>
      <c r="G658" s="527"/>
      <c r="H658" s="529"/>
      <c r="I658" s="529"/>
      <c r="J658" s="527"/>
      <c r="K658" s="527"/>
    </row>
    <row r="659" spans="1:11" x14ac:dyDescent="0.25">
      <c r="A659" s="528"/>
      <c r="B659" s="527"/>
      <c r="C659" s="527"/>
      <c r="D659" s="527"/>
      <c r="E659" s="527"/>
      <c r="F659" s="527"/>
      <c r="G659" s="527"/>
      <c r="H659" s="529"/>
      <c r="I659" s="529"/>
      <c r="J659" s="527"/>
      <c r="K659" s="527"/>
    </row>
    <row r="660" spans="1:11" x14ac:dyDescent="0.25">
      <c r="A660" s="528"/>
      <c r="B660" s="527"/>
      <c r="C660" s="527"/>
      <c r="D660" s="527"/>
      <c r="E660" s="527"/>
      <c r="F660" s="527"/>
      <c r="G660" s="527"/>
      <c r="H660" s="529"/>
      <c r="I660" s="529"/>
      <c r="J660" s="527"/>
      <c r="K660" s="527"/>
    </row>
    <row r="661" spans="1:11" x14ac:dyDescent="0.25">
      <c r="A661" s="528"/>
      <c r="B661" s="527"/>
      <c r="C661" s="527"/>
      <c r="D661" s="527"/>
      <c r="E661" s="527"/>
      <c r="F661" s="527"/>
      <c r="G661" s="527"/>
      <c r="H661" s="529"/>
      <c r="I661" s="529"/>
      <c r="J661" s="527"/>
      <c r="K661" s="527"/>
    </row>
    <row r="662" spans="1:11" x14ac:dyDescent="0.25">
      <c r="A662" s="528"/>
      <c r="B662" s="527"/>
      <c r="C662" s="527"/>
      <c r="D662" s="527"/>
      <c r="E662" s="527"/>
      <c r="F662" s="527"/>
      <c r="G662" s="527"/>
      <c r="H662" s="529"/>
      <c r="I662" s="529"/>
      <c r="J662" s="527"/>
      <c r="K662" s="527"/>
    </row>
    <row r="663" spans="1:11" x14ac:dyDescent="0.25">
      <c r="A663" s="528"/>
      <c r="B663" s="527"/>
      <c r="C663" s="527"/>
      <c r="D663" s="527"/>
      <c r="E663" s="527"/>
      <c r="F663" s="527"/>
      <c r="G663" s="527"/>
      <c r="H663" s="529"/>
      <c r="I663" s="529"/>
      <c r="J663" s="527"/>
      <c r="K663" s="527"/>
    </row>
    <row r="664" spans="1:11" x14ac:dyDescent="0.25">
      <c r="A664" s="528"/>
      <c r="B664" s="527"/>
      <c r="C664" s="527"/>
      <c r="D664" s="527"/>
      <c r="E664" s="527"/>
      <c r="F664" s="527"/>
      <c r="G664" s="527"/>
      <c r="H664" s="529"/>
      <c r="I664" s="529"/>
      <c r="J664" s="527"/>
      <c r="K664" s="527"/>
    </row>
    <row r="665" spans="1:11" x14ac:dyDescent="0.25">
      <c r="A665" s="528"/>
      <c r="B665" s="527"/>
      <c r="C665" s="527"/>
      <c r="D665" s="527"/>
      <c r="E665" s="527"/>
      <c r="F665" s="527"/>
      <c r="G665" s="527"/>
      <c r="H665" s="529"/>
      <c r="I665" s="529"/>
      <c r="J665" s="527"/>
      <c r="K665" s="527"/>
    </row>
    <row r="666" spans="1:11" x14ac:dyDescent="0.25">
      <c r="A666" s="528"/>
      <c r="B666" s="527"/>
      <c r="C666" s="527"/>
      <c r="D666" s="527"/>
      <c r="E666" s="527"/>
      <c r="F666" s="527"/>
      <c r="G666" s="527"/>
      <c r="H666" s="529"/>
      <c r="I666" s="529"/>
      <c r="J666" s="527"/>
      <c r="K666" s="527"/>
    </row>
    <row r="667" spans="1:11" x14ac:dyDescent="0.25">
      <c r="A667" s="528"/>
      <c r="B667" s="527"/>
      <c r="C667" s="527"/>
      <c r="D667" s="527"/>
      <c r="E667" s="527"/>
      <c r="F667" s="527"/>
      <c r="G667" s="527"/>
      <c r="H667" s="529"/>
      <c r="I667" s="529"/>
      <c r="J667" s="527"/>
      <c r="K667" s="527"/>
    </row>
    <row r="668" spans="1:11" x14ac:dyDescent="0.25">
      <c r="A668" s="528"/>
      <c r="B668" s="527"/>
      <c r="C668" s="527"/>
      <c r="D668" s="527"/>
      <c r="E668" s="527"/>
      <c r="F668" s="527"/>
      <c r="G668" s="527"/>
      <c r="H668" s="529"/>
      <c r="I668" s="529"/>
      <c r="J668" s="527"/>
      <c r="K668" s="527"/>
    </row>
    <row r="669" spans="1:11" x14ac:dyDescent="0.25">
      <c r="A669" s="528"/>
      <c r="B669" s="527"/>
      <c r="C669" s="527"/>
      <c r="D669" s="527"/>
      <c r="E669" s="527"/>
      <c r="F669" s="527"/>
      <c r="G669" s="527"/>
      <c r="H669" s="529"/>
      <c r="I669" s="529"/>
      <c r="J669" s="527"/>
      <c r="K669" s="527"/>
    </row>
    <row r="670" spans="1:11" x14ac:dyDescent="0.25">
      <c r="A670" s="528"/>
      <c r="B670" s="527"/>
      <c r="C670" s="527"/>
      <c r="D670" s="527"/>
      <c r="E670" s="527"/>
      <c r="F670" s="527"/>
      <c r="G670" s="527"/>
      <c r="H670" s="529"/>
      <c r="I670" s="529"/>
      <c r="J670" s="527"/>
      <c r="K670" s="527"/>
    </row>
    <row r="671" spans="1:11" x14ac:dyDescent="0.25">
      <c r="A671" s="528"/>
      <c r="B671" s="527"/>
      <c r="C671" s="527"/>
      <c r="D671" s="527"/>
      <c r="E671" s="527"/>
      <c r="F671" s="527"/>
      <c r="G671" s="527"/>
      <c r="H671" s="529"/>
      <c r="I671" s="529"/>
      <c r="J671" s="527"/>
      <c r="K671" s="527"/>
    </row>
    <row r="672" spans="1:11" x14ac:dyDescent="0.25">
      <c r="A672" s="528"/>
      <c r="B672" s="527"/>
      <c r="C672" s="527"/>
      <c r="D672" s="527"/>
      <c r="E672" s="527"/>
      <c r="F672" s="527"/>
      <c r="G672" s="527"/>
      <c r="H672" s="529"/>
      <c r="I672" s="529"/>
      <c r="J672" s="527"/>
      <c r="K672" s="527"/>
    </row>
    <row r="673" spans="1:11" x14ac:dyDescent="0.25">
      <c r="A673" s="528"/>
      <c r="B673" s="527"/>
      <c r="C673" s="527"/>
      <c r="D673" s="527"/>
      <c r="E673" s="527"/>
      <c r="F673" s="527"/>
      <c r="G673" s="527"/>
      <c r="H673" s="529"/>
      <c r="I673" s="529"/>
      <c r="J673" s="527"/>
      <c r="K673" s="527"/>
    </row>
    <row r="674" spans="1:11" x14ac:dyDescent="0.25">
      <c r="A674" s="528"/>
      <c r="B674" s="527"/>
      <c r="C674" s="527"/>
      <c r="D674" s="527"/>
      <c r="E674" s="527"/>
      <c r="F674" s="527"/>
      <c r="G674" s="527"/>
      <c r="H674" s="529"/>
      <c r="I674" s="529"/>
      <c r="J674" s="527"/>
      <c r="K674" s="527"/>
    </row>
    <row r="675" spans="1:11" x14ac:dyDescent="0.25">
      <c r="A675" s="528"/>
      <c r="B675" s="527"/>
      <c r="C675" s="527"/>
      <c r="D675" s="527"/>
      <c r="E675" s="527"/>
      <c r="F675" s="527"/>
      <c r="G675" s="527"/>
      <c r="H675" s="529"/>
      <c r="I675" s="529"/>
      <c r="J675" s="527"/>
      <c r="K675" s="527"/>
    </row>
    <row r="676" spans="1:11" x14ac:dyDescent="0.25">
      <c r="A676" s="528"/>
      <c r="B676" s="527"/>
      <c r="C676" s="527"/>
      <c r="D676" s="527"/>
      <c r="E676" s="527"/>
      <c r="F676" s="527"/>
      <c r="G676" s="527"/>
      <c r="H676" s="529"/>
      <c r="I676" s="529"/>
      <c r="J676" s="527"/>
      <c r="K676" s="527"/>
    </row>
    <row r="677" spans="1:11" x14ac:dyDescent="0.25">
      <c r="A677" s="528"/>
      <c r="B677" s="527"/>
      <c r="C677" s="527"/>
      <c r="D677" s="527"/>
      <c r="E677" s="527"/>
      <c r="F677" s="527"/>
      <c r="G677" s="527"/>
      <c r="H677" s="529"/>
      <c r="I677" s="529"/>
      <c r="J677" s="527"/>
      <c r="K677" s="527"/>
    </row>
    <row r="678" spans="1:11" x14ac:dyDescent="0.25">
      <c r="A678" s="528"/>
      <c r="B678" s="527"/>
      <c r="C678" s="527"/>
      <c r="D678" s="527"/>
      <c r="E678" s="527"/>
      <c r="F678" s="527"/>
      <c r="G678" s="527"/>
      <c r="H678" s="529"/>
      <c r="I678" s="529"/>
      <c r="J678" s="527"/>
      <c r="K678" s="527"/>
    </row>
    <row r="679" spans="1:11" x14ac:dyDescent="0.25">
      <c r="A679" s="528"/>
      <c r="B679" s="527"/>
      <c r="C679" s="527"/>
      <c r="D679" s="527"/>
      <c r="E679" s="527"/>
      <c r="F679" s="527"/>
      <c r="G679" s="527"/>
      <c r="H679" s="529"/>
      <c r="I679" s="529"/>
      <c r="J679" s="527"/>
      <c r="K679" s="527"/>
    </row>
    <row r="680" spans="1:11" x14ac:dyDescent="0.25">
      <c r="A680" s="528"/>
      <c r="B680" s="527"/>
      <c r="C680" s="527"/>
      <c r="D680" s="527"/>
      <c r="E680" s="527"/>
      <c r="F680" s="527"/>
      <c r="G680" s="527"/>
      <c r="H680" s="529"/>
      <c r="I680" s="529"/>
      <c r="J680" s="527"/>
      <c r="K680" s="527"/>
    </row>
    <row r="681" spans="1:11" x14ac:dyDescent="0.25">
      <c r="A681" s="528"/>
      <c r="B681" s="527"/>
      <c r="C681" s="527"/>
      <c r="D681" s="527"/>
      <c r="E681" s="527"/>
      <c r="F681" s="527"/>
      <c r="G681" s="527"/>
      <c r="H681" s="529"/>
      <c r="I681" s="529"/>
      <c r="J681" s="527"/>
      <c r="K681" s="527"/>
    </row>
    <row r="682" spans="1:11" x14ac:dyDescent="0.25">
      <c r="A682" s="528"/>
      <c r="B682" s="527"/>
      <c r="C682" s="527"/>
      <c r="D682" s="527"/>
      <c r="E682" s="527"/>
      <c r="F682" s="527"/>
      <c r="G682" s="527"/>
      <c r="H682" s="529"/>
      <c r="I682" s="529"/>
      <c r="J682" s="527"/>
      <c r="K682" s="527"/>
    </row>
    <row r="683" spans="1:11" x14ac:dyDescent="0.25">
      <c r="A683" s="528"/>
      <c r="B683" s="527"/>
      <c r="C683" s="527"/>
      <c r="D683" s="527"/>
      <c r="E683" s="527"/>
      <c r="F683" s="527"/>
      <c r="G683" s="527"/>
      <c r="H683" s="529"/>
      <c r="I683" s="529"/>
      <c r="J683" s="527"/>
      <c r="K683" s="527"/>
    </row>
    <row r="684" spans="1:11" x14ac:dyDescent="0.25">
      <c r="A684" s="528"/>
      <c r="B684" s="527"/>
      <c r="C684" s="527"/>
      <c r="D684" s="527"/>
      <c r="E684" s="527"/>
      <c r="F684" s="527"/>
      <c r="G684" s="527"/>
      <c r="H684" s="529"/>
      <c r="I684" s="529"/>
      <c r="J684" s="527"/>
      <c r="K684" s="527"/>
    </row>
    <row r="685" spans="1:11" x14ac:dyDescent="0.25">
      <c r="A685" s="528"/>
      <c r="B685" s="527"/>
      <c r="C685" s="527"/>
      <c r="D685" s="527"/>
      <c r="E685" s="527"/>
      <c r="F685" s="527"/>
      <c r="G685" s="527"/>
      <c r="H685" s="529"/>
      <c r="I685" s="529"/>
      <c r="J685" s="527"/>
      <c r="K685" s="527"/>
    </row>
    <row r="686" spans="1:11" x14ac:dyDescent="0.25">
      <c r="A686" s="528"/>
      <c r="B686" s="527"/>
      <c r="C686" s="527"/>
      <c r="D686" s="527"/>
      <c r="E686" s="527"/>
      <c r="F686" s="527"/>
      <c r="G686" s="527"/>
      <c r="H686" s="529"/>
      <c r="I686" s="529"/>
      <c r="J686" s="527"/>
      <c r="K686" s="527"/>
    </row>
    <row r="687" spans="1:11" x14ac:dyDescent="0.25">
      <c r="A687" s="528"/>
      <c r="B687" s="527"/>
      <c r="C687" s="527"/>
      <c r="D687" s="527"/>
      <c r="E687" s="527"/>
      <c r="F687" s="527"/>
      <c r="G687" s="527"/>
      <c r="H687" s="529"/>
      <c r="I687" s="529"/>
      <c r="J687" s="527"/>
      <c r="K687" s="527"/>
    </row>
    <row r="688" spans="1:11" x14ac:dyDescent="0.25">
      <c r="A688" s="528"/>
      <c r="B688" s="527"/>
      <c r="C688" s="527"/>
      <c r="D688" s="527"/>
      <c r="E688" s="527"/>
      <c r="F688" s="527"/>
      <c r="G688" s="527"/>
      <c r="H688" s="529"/>
      <c r="I688" s="529"/>
      <c r="J688" s="527"/>
      <c r="K688" s="527"/>
    </row>
    <row r="689" spans="1:11" x14ac:dyDescent="0.25">
      <c r="A689" s="530" t="s">
        <v>435</v>
      </c>
      <c r="B689" s="530" t="s">
        <v>435</v>
      </c>
      <c r="C689" s="530" t="s">
        <v>435</v>
      </c>
      <c r="D689" s="530" t="s">
        <v>435</v>
      </c>
      <c r="E689" s="530" t="s">
        <v>435</v>
      </c>
      <c r="F689" s="530" t="s">
        <v>435</v>
      </c>
      <c r="G689" s="530" t="s">
        <v>435</v>
      </c>
      <c r="H689" s="530" t="s">
        <v>435</v>
      </c>
      <c r="I689" s="530" t="s">
        <v>435</v>
      </c>
      <c r="J689" s="530" t="s">
        <v>435</v>
      </c>
      <c r="K689" s="530" t="s">
        <v>435</v>
      </c>
    </row>
  </sheetData>
  <sheetProtection algorithmName="SHA-512" hashValue="21FEpQINPJUtxEKuOI2j6QVHj2GFbQcILh1MW/4/czpn2D5fDFXEoGLa51Q8ovSZV75KZ9bVabGovEt8tBKFCQ==" saltValue="EG73c+xPuyGTbZKDAcfu0w==" spinCount="100000" sheet="1" objects="1" scenarios="1" autoFilter="0"/>
  <autoFilter ref="A1:K180" xr:uid="{8D93AE74-C5B9-4ECA-9FB9-E45922B75EA8}"/>
  <pageMargins left="0.7" right="0.7" top="0.75" bottom="0.75" header="0.3" footer="0.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גיליון16">
    <tabColor theme="8" tint="0.59999389629810485"/>
    <pageSetUpPr fitToPage="1"/>
  </sheetPr>
  <dimension ref="A1:CZ45"/>
  <sheetViews>
    <sheetView rightToLeft="1" topLeftCell="B8" zoomScaleNormal="100" workbookViewId="0">
      <selection activeCell="N17" sqref="N17"/>
    </sheetView>
  </sheetViews>
  <sheetFormatPr defaultColWidth="9.140625" defaultRowHeight="15.75" x14ac:dyDescent="0.25"/>
  <cols>
    <col min="1" max="1" width="9.140625" style="351" hidden="1" customWidth="1"/>
    <col min="2" max="2" width="8.5703125" style="351" customWidth="1"/>
    <col min="3" max="4" width="2.5703125" style="35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5" style="351" bestFit="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430" t="str">
        <f ca="1">MID(CELL("filename",AK2),FIND("]",CELL("filename",AK2),1)+1,99)</f>
        <v>1280 מעלות (אמנים יוצרים)</v>
      </c>
      <c r="G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1</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0.93908629441624369</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1</v>
      </c>
      <c r="O2" s="401" cm="1">
        <f t="array" aca="1" ref="O2" ca="1">SUMPRODUCT(--($H$15:$H$44&lt;פרמטרים!$B$12)*($H$15:$H$44&gt;=פרמטרים!$B$8),$T$15:$T$44)-SUM($L$2:N2)</f>
        <v>1</v>
      </c>
      <c r="P2" s="401" cm="1">
        <f t="array" aca="1" ref="P2" ca="1">SUMPRODUCT(--($H$15:$H$44&gt;=פרמטרים!$B$12),$T$15:$T$44)</f>
        <v>0</v>
      </c>
      <c r="Q2" s="401"/>
      <c r="R2" s="515" cm="1">
        <f t="array" aca="1" ref="R2" ca="1">SUMPRODUCT(L2:P2,TRANSPOSE('היקף החוברות'!D4:D8))</f>
        <v>7</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1</v>
      </c>
      <c r="O3" s="401" cm="1">
        <f t="array" aca="1" ref="O3" ca="1">SUMPRODUCT(--($H$15:$H$44&lt;פרמטרים!$B$12)*($P$15:$P$44&gt;=פרמטרים!$B$13)*(($L$15:$L$44+$M$15:$M$44)&gt;=פרמטרים!$B$45),$T$15:$T$44)-SUM($L$3:N3)</f>
        <v>1</v>
      </c>
      <c r="P3" s="401" cm="1">
        <f t="array" aca="1" ref="P3" ca="1">SUMPRODUCT(--($H$15:$H$44&gt;=פרמטרים!$B$12)*($P$15:$P$44&gt;=פרמטרים!$B$13)*(($L$15:$L$44+$M$15:$M$44)&gt;=פרמטרים!$B$45),$T$15:$T$44)</f>
        <v>0</v>
      </c>
      <c r="Q3" s="401" cm="1">
        <f t="array" aca="1" ref="Q3" ca="1">SUMPRODUCT(--($Q$15:$Q$44=1),$T$15:$T$44)</f>
        <v>2</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27"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collapsed="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44896</v>
      </c>
      <c r="F15" s="385" t="s">
        <v>365</v>
      </c>
      <c r="G15" s="382"/>
      <c r="H15" s="383">
        <v>76</v>
      </c>
      <c r="I15" s="383">
        <v>95</v>
      </c>
      <c r="J15" s="383">
        <v>91</v>
      </c>
      <c r="K15" s="398">
        <f>IFERROR(J15/I15,"")</f>
        <v>0.95789473684210524</v>
      </c>
      <c r="L15" s="383">
        <v>400</v>
      </c>
      <c r="M15" s="383">
        <v>100</v>
      </c>
      <c r="N15" s="383">
        <v>80</v>
      </c>
      <c r="O15" s="379">
        <f>IF(E15="","",L15+M15+N15)</f>
        <v>580</v>
      </c>
      <c r="P15" s="383">
        <v>50</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G27"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si="4"/>
        <v>1</v>
      </c>
      <c r="BD15" s="363">
        <f t="shared" si="4"/>
        <v>1</v>
      </c>
      <c r="BE15" s="363">
        <f t="shared" si="4"/>
        <v>1</v>
      </c>
      <c r="BF15" s="363">
        <f t="shared" si="4"/>
        <v>1</v>
      </c>
      <c r="BG15" s="363">
        <f t="shared" si="4"/>
        <v>1</v>
      </c>
      <c r="BH15" s="363"/>
      <c r="BI15" s="363"/>
      <c r="BJ15" s="363"/>
      <c r="BK15" s="363"/>
      <c r="BL15" s="363"/>
      <c r="BM15" s="363"/>
      <c r="BQ15" s="351" t="str">
        <f t="shared" ref="BQ15:BU30" si="5">IF($F15="","",BQ$14)</f>
        <v>נאותה</v>
      </c>
      <c r="BR15" s="351" t="str">
        <f t="shared" si="5"/>
        <v>לא נאותה</v>
      </c>
      <c r="BS15" s="351">
        <f t="shared" si="5"/>
        <v>0</v>
      </c>
      <c r="BT15" s="351">
        <f t="shared" si="5"/>
        <v>0</v>
      </c>
      <c r="BU15" s="351">
        <f t="shared" si="5"/>
        <v>0</v>
      </c>
    </row>
    <row r="16" spans="1:79" x14ac:dyDescent="0.25">
      <c r="A16" s="379"/>
      <c r="B16" s="379">
        <f t="shared" ref="B16:B44" si="6">IF(E16="","",ROW()-14)</f>
        <v>2</v>
      </c>
      <c r="C16" s="380"/>
      <c r="D16" s="380"/>
      <c r="E16" s="381">
        <v>45139</v>
      </c>
      <c r="F16" s="385" t="s">
        <v>625</v>
      </c>
      <c r="G16" s="382"/>
      <c r="H16" s="383">
        <v>82</v>
      </c>
      <c r="I16" s="383">
        <v>102</v>
      </c>
      <c r="J16" s="383">
        <v>94</v>
      </c>
      <c r="K16" s="398">
        <f t="shared" ref="K16:K44" si="7">IFERROR(J16/I16,"")</f>
        <v>0.92156862745098034</v>
      </c>
      <c r="L16" s="383">
        <v>250</v>
      </c>
      <c r="M16" s="383">
        <v>50</v>
      </c>
      <c r="N16" s="383">
        <v>260</v>
      </c>
      <c r="O16" s="379">
        <f t="shared" ref="O16:O44" si="8">IF(E16="","",L16+M16+N16)</f>
        <v>560</v>
      </c>
      <c r="P16" s="383">
        <v>50</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9">IF(SUM(AL16:BL16)=COUNT(AL16:BL16),1,0)</f>
        <v>1</v>
      </c>
      <c r="AJ16" s="351">
        <f t="shared" ref="AJ16:AK44" si="10">IF($E16="","",AJ$14)</f>
        <v>0</v>
      </c>
      <c r="AK16" s="351">
        <f t="shared" si="10"/>
        <v>1</v>
      </c>
      <c r="AL16" s="363">
        <f t="shared" ref="AL16:AL44" si="11">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4"/>
        <v>1</v>
      </c>
      <c r="BD16" s="363">
        <f t="shared" si="4"/>
        <v>1</v>
      </c>
      <c r="BE16" s="363">
        <f t="shared" si="4"/>
        <v>1</v>
      </c>
      <c r="BF16" s="363">
        <f t="shared" si="4"/>
        <v>1</v>
      </c>
      <c r="BG16" s="363">
        <f t="shared" si="4"/>
        <v>1</v>
      </c>
      <c r="BH16" s="363"/>
      <c r="BI16" s="363"/>
      <c r="BJ16" s="363"/>
      <c r="BK16" s="363"/>
      <c r="BL16" s="363"/>
      <c r="BM16" s="363"/>
      <c r="BQ16" s="351" t="str">
        <f t="shared" si="5"/>
        <v>נאותה</v>
      </c>
      <c r="BR16" s="351" t="str">
        <f t="shared" si="5"/>
        <v>לא נאותה</v>
      </c>
      <c r="BS16" s="351">
        <f t="shared" si="5"/>
        <v>0</v>
      </c>
      <c r="BT16" s="351">
        <f t="shared" si="5"/>
        <v>0</v>
      </c>
      <c r="BU16" s="351">
        <f t="shared" si="5"/>
        <v>0</v>
      </c>
    </row>
    <row r="17" spans="1:73" x14ac:dyDescent="0.25">
      <c r="A17" s="379"/>
      <c r="B17" s="379" t="str">
        <f t="shared" si="6"/>
        <v/>
      </c>
      <c r="C17" s="380"/>
      <c r="D17" s="380"/>
      <c r="E17" s="381"/>
      <c r="F17" s="385"/>
      <c r="G17" s="382"/>
      <c r="H17" s="383"/>
      <c r="I17" s="383"/>
      <c r="J17" s="383"/>
      <c r="K17" s="398" t="str">
        <f t="shared" si="7"/>
        <v/>
      </c>
      <c r="L17" s="383"/>
      <c r="M17" s="383"/>
      <c r="N17" s="383"/>
      <c r="O17" s="379" t="str">
        <f t="shared" si="8"/>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9"/>
        <v>0</v>
      </c>
      <c r="AJ17" s="351" t="str">
        <f t="shared" si="10"/>
        <v/>
      </c>
      <c r="AK17" s="351" t="str">
        <f t="shared" si="10"/>
        <v/>
      </c>
      <c r="AL17" s="363">
        <f t="shared" si="11"/>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4"/>
        <v>1</v>
      </c>
      <c r="BD17" s="363">
        <f t="shared" si="4"/>
        <v>1</v>
      </c>
      <c r="BE17" s="363">
        <f t="shared" si="4"/>
        <v>1</v>
      </c>
      <c r="BF17" s="363">
        <f t="shared" si="4"/>
        <v>1</v>
      </c>
      <c r="BG17" s="363">
        <f t="shared" si="4"/>
        <v>1</v>
      </c>
      <c r="BH17" s="363"/>
      <c r="BI17" s="363"/>
      <c r="BJ17" s="363"/>
      <c r="BK17" s="363"/>
      <c r="BL17" s="363"/>
      <c r="BM17" s="363"/>
      <c r="BQ17" s="351" t="str">
        <f t="shared" si="5"/>
        <v/>
      </c>
      <c r="BR17" s="351" t="str">
        <f t="shared" si="5"/>
        <v/>
      </c>
      <c r="BS17" s="351" t="str">
        <f t="shared" si="5"/>
        <v/>
      </c>
      <c r="BT17" s="351" t="str">
        <f t="shared" si="5"/>
        <v/>
      </c>
      <c r="BU17" s="351" t="str">
        <f t="shared" si="5"/>
        <v/>
      </c>
    </row>
    <row r="18" spans="1:73" x14ac:dyDescent="0.25">
      <c r="A18" s="379"/>
      <c r="B18" s="379" t="str">
        <f t="shared" si="6"/>
        <v/>
      </c>
      <c r="C18" s="380"/>
      <c r="D18" s="380"/>
      <c r="E18" s="381"/>
      <c r="F18" s="385"/>
      <c r="G18" s="382"/>
      <c r="H18" s="383"/>
      <c r="I18" s="383"/>
      <c r="J18" s="383"/>
      <c r="K18" s="398" t="str">
        <f t="shared" si="7"/>
        <v/>
      </c>
      <c r="L18" s="383"/>
      <c r="M18" s="383"/>
      <c r="N18" s="383"/>
      <c r="O18" s="379" t="str">
        <f t="shared" si="8"/>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9"/>
        <v>0</v>
      </c>
      <c r="AJ18" s="351" t="str">
        <f t="shared" si="10"/>
        <v/>
      </c>
      <c r="AK18" s="351" t="str">
        <f t="shared" si="10"/>
        <v/>
      </c>
      <c r="AL18" s="363">
        <f t="shared" si="11"/>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4"/>
        <v>1</v>
      </c>
      <c r="BD18" s="363">
        <f t="shared" si="4"/>
        <v>1</v>
      </c>
      <c r="BE18" s="363">
        <f t="shared" si="4"/>
        <v>1</v>
      </c>
      <c r="BF18" s="363">
        <f t="shared" si="4"/>
        <v>1</v>
      </c>
      <c r="BG18" s="363">
        <f t="shared" si="4"/>
        <v>1</v>
      </c>
      <c r="BH18" s="363"/>
      <c r="BI18" s="363"/>
      <c r="BJ18" s="363"/>
      <c r="BK18" s="363"/>
      <c r="BL18" s="363"/>
      <c r="BM18" s="363"/>
      <c r="BQ18" s="351" t="str">
        <f t="shared" si="5"/>
        <v/>
      </c>
      <c r="BR18" s="351" t="str">
        <f t="shared" si="5"/>
        <v/>
      </c>
      <c r="BS18" s="351" t="str">
        <f t="shared" si="5"/>
        <v/>
      </c>
      <c r="BT18" s="351" t="str">
        <f t="shared" si="5"/>
        <v/>
      </c>
      <c r="BU18" s="351" t="str">
        <f t="shared" si="5"/>
        <v/>
      </c>
    </row>
    <row r="19" spans="1:73" x14ac:dyDescent="0.25">
      <c r="A19" s="379"/>
      <c r="B19" s="379" t="str">
        <f t="shared" si="6"/>
        <v/>
      </c>
      <c r="C19" s="380"/>
      <c r="D19" s="380"/>
      <c r="E19" s="381"/>
      <c r="F19" s="385"/>
      <c r="G19" s="382"/>
      <c r="H19" s="383"/>
      <c r="I19" s="383"/>
      <c r="J19" s="383"/>
      <c r="K19" s="398" t="str">
        <f t="shared" si="7"/>
        <v/>
      </c>
      <c r="L19" s="383"/>
      <c r="M19" s="383"/>
      <c r="N19" s="383"/>
      <c r="O19" s="379" t="str">
        <f t="shared" si="8"/>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9"/>
        <v>0</v>
      </c>
      <c r="AJ19" s="351" t="str">
        <f t="shared" si="10"/>
        <v/>
      </c>
      <c r="AK19" s="351" t="str">
        <f t="shared" si="10"/>
        <v/>
      </c>
      <c r="AL19" s="363">
        <f t="shared" si="11"/>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4"/>
        <v>1</v>
      </c>
      <c r="BD19" s="363">
        <f t="shared" si="4"/>
        <v>1</v>
      </c>
      <c r="BE19" s="363">
        <f t="shared" si="4"/>
        <v>1</v>
      </c>
      <c r="BF19" s="363">
        <f t="shared" si="4"/>
        <v>1</v>
      </c>
      <c r="BG19" s="363">
        <f t="shared" si="4"/>
        <v>1</v>
      </c>
      <c r="BH19" s="363"/>
      <c r="BI19" s="363"/>
      <c r="BJ19" s="363"/>
      <c r="BK19" s="363"/>
      <c r="BL19" s="363"/>
      <c r="BM19" s="363"/>
      <c r="BQ19" s="351" t="str">
        <f t="shared" si="5"/>
        <v/>
      </c>
      <c r="BR19" s="351" t="str">
        <f t="shared" si="5"/>
        <v/>
      </c>
      <c r="BS19" s="351" t="str">
        <f t="shared" si="5"/>
        <v/>
      </c>
      <c r="BT19" s="351" t="str">
        <f t="shared" si="5"/>
        <v/>
      </c>
      <c r="BU19" s="351" t="str">
        <f t="shared" si="5"/>
        <v/>
      </c>
    </row>
    <row r="20" spans="1:73" x14ac:dyDescent="0.25">
      <c r="A20" s="379"/>
      <c r="B20" s="379" t="str">
        <f t="shared" si="6"/>
        <v/>
      </c>
      <c r="C20" s="380"/>
      <c r="D20" s="380"/>
      <c r="E20" s="381"/>
      <c r="F20" s="385"/>
      <c r="G20" s="382"/>
      <c r="H20" s="383"/>
      <c r="I20" s="383"/>
      <c r="J20" s="383"/>
      <c r="K20" s="398" t="str">
        <f t="shared" si="7"/>
        <v/>
      </c>
      <c r="L20" s="383"/>
      <c r="M20" s="383"/>
      <c r="N20" s="383"/>
      <c r="O20" s="379" t="str">
        <f t="shared" si="8"/>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9"/>
        <v>0</v>
      </c>
      <c r="AJ20" s="351" t="str">
        <f t="shared" si="10"/>
        <v/>
      </c>
      <c r="AK20" s="351" t="str">
        <f t="shared" si="10"/>
        <v/>
      </c>
      <c r="AL20" s="363">
        <f t="shared" si="11"/>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4"/>
        <v>1</v>
      </c>
      <c r="BD20" s="363">
        <f t="shared" si="4"/>
        <v>1</v>
      </c>
      <c r="BE20" s="363">
        <f t="shared" si="4"/>
        <v>1</v>
      </c>
      <c r="BF20" s="363">
        <f t="shared" si="4"/>
        <v>1</v>
      </c>
      <c r="BG20" s="363">
        <f t="shared" si="4"/>
        <v>1</v>
      </c>
      <c r="BH20" s="363"/>
      <c r="BI20" s="363"/>
      <c r="BJ20" s="363"/>
      <c r="BK20" s="363"/>
      <c r="BL20" s="363"/>
      <c r="BM20" s="363"/>
      <c r="BQ20" s="351" t="str">
        <f t="shared" si="5"/>
        <v/>
      </c>
      <c r="BR20" s="351" t="str">
        <f t="shared" si="5"/>
        <v/>
      </c>
      <c r="BS20" s="351" t="str">
        <f t="shared" si="5"/>
        <v/>
      </c>
      <c r="BT20" s="351" t="str">
        <f t="shared" si="5"/>
        <v/>
      </c>
      <c r="BU20" s="351" t="str">
        <f t="shared" si="5"/>
        <v/>
      </c>
    </row>
    <row r="21" spans="1:73" x14ac:dyDescent="0.25">
      <c r="A21" s="379"/>
      <c r="B21" s="379" t="str">
        <f t="shared" si="6"/>
        <v/>
      </c>
      <c r="C21" s="380"/>
      <c r="D21" s="380"/>
      <c r="E21" s="381"/>
      <c r="F21" s="385"/>
      <c r="G21" s="382"/>
      <c r="H21" s="383"/>
      <c r="I21" s="383"/>
      <c r="J21" s="383"/>
      <c r="K21" s="398" t="str">
        <f t="shared" si="7"/>
        <v/>
      </c>
      <c r="L21" s="383"/>
      <c r="M21" s="383"/>
      <c r="N21" s="383"/>
      <c r="O21" s="379" t="str">
        <f t="shared" si="8"/>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9"/>
        <v>0</v>
      </c>
      <c r="AJ21" s="351" t="str">
        <f t="shared" si="10"/>
        <v/>
      </c>
      <c r="AK21" s="351" t="str">
        <f t="shared" si="10"/>
        <v/>
      </c>
      <c r="AL21" s="363">
        <f t="shared" si="11"/>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4"/>
        <v>1</v>
      </c>
      <c r="BD21" s="363">
        <f t="shared" si="4"/>
        <v>1</v>
      </c>
      <c r="BE21" s="363">
        <f t="shared" si="4"/>
        <v>1</v>
      </c>
      <c r="BF21" s="363">
        <f t="shared" si="4"/>
        <v>1</v>
      </c>
      <c r="BG21" s="363">
        <f t="shared" si="4"/>
        <v>1</v>
      </c>
      <c r="BH21" s="363"/>
      <c r="BI21" s="363"/>
      <c r="BJ21" s="363"/>
      <c r="BK21" s="363"/>
      <c r="BL21" s="363"/>
      <c r="BM21" s="363"/>
      <c r="BQ21" s="351" t="str">
        <f t="shared" si="5"/>
        <v/>
      </c>
      <c r="BR21" s="351" t="str">
        <f t="shared" si="5"/>
        <v/>
      </c>
      <c r="BS21" s="351" t="str">
        <f t="shared" si="5"/>
        <v/>
      </c>
      <c r="BT21" s="351" t="str">
        <f t="shared" si="5"/>
        <v/>
      </c>
      <c r="BU21" s="351" t="str">
        <f t="shared" si="5"/>
        <v/>
      </c>
    </row>
    <row r="22" spans="1:73" x14ac:dyDescent="0.25">
      <c r="A22" s="379"/>
      <c r="B22" s="379" t="str">
        <f t="shared" si="6"/>
        <v/>
      </c>
      <c r="C22" s="380"/>
      <c r="D22" s="380"/>
      <c r="E22" s="381"/>
      <c r="F22" s="385"/>
      <c r="G22" s="382"/>
      <c r="H22" s="383"/>
      <c r="I22" s="383"/>
      <c r="J22" s="383"/>
      <c r="K22" s="398" t="str">
        <f t="shared" si="7"/>
        <v/>
      </c>
      <c r="L22" s="383"/>
      <c r="M22" s="383"/>
      <c r="N22" s="383"/>
      <c r="O22" s="379" t="str">
        <f t="shared" si="8"/>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9"/>
        <v>0</v>
      </c>
      <c r="AJ22" s="351" t="str">
        <f t="shared" si="10"/>
        <v/>
      </c>
      <c r="AK22" s="351" t="str">
        <f t="shared" si="10"/>
        <v/>
      </c>
      <c r="AL22" s="363">
        <f t="shared" si="11"/>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4"/>
        <v>1</v>
      </c>
      <c r="BD22" s="363">
        <f t="shared" si="4"/>
        <v>1</v>
      </c>
      <c r="BE22" s="363">
        <f t="shared" si="4"/>
        <v>1</v>
      </c>
      <c r="BF22" s="363">
        <f t="shared" si="4"/>
        <v>1</v>
      </c>
      <c r="BG22" s="363">
        <f t="shared" si="4"/>
        <v>1</v>
      </c>
      <c r="BH22" s="363"/>
      <c r="BI22" s="363"/>
      <c r="BJ22" s="363"/>
      <c r="BK22" s="363"/>
      <c r="BL22" s="363"/>
      <c r="BM22" s="363"/>
      <c r="BQ22" s="351" t="str">
        <f t="shared" si="5"/>
        <v/>
      </c>
      <c r="BR22" s="351" t="str">
        <f t="shared" si="5"/>
        <v/>
      </c>
      <c r="BS22" s="351" t="str">
        <f t="shared" si="5"/>
        <v/>
      </c>
      <c r="BT22" s="351" t="str">
        <f t="shared" si="5"/>
        <v/>
      </c>
      <c r="BU22" s="351" t="str">
        <f t="shared" si="5"/>
        <v/>
      </c>
    </row>
    <row r="23" spans="1:73" x14ac:dyDescent="0.25">
      <c r="A23" s="379"/>
      <c r="B23" s="379" t="str">
        <f t="shared" si="6"/>
        <v/>
      </c>
      <c r="C23" s="380"/>
      <c r="D23" s="380"/>
      <c r="E23" s="381"/>
      <c r="F23" s="385"/>
      <c r="G23" s="382"/>
      <c r="H23" s="383"/>
      <c r="I23" s="383"/>
      <c r="J23" s="383"/>
      <c r="K23" s="398" t="str">
        <f t="shared" si="7"/>
        <v/>
      </c>
      <c r="L23" s="383"/>
      <c r="M23" s="383"/>
      <c r="N23" s="383"/>
      <c r="O23" s="379" t="str">
        <f t="shared" si="8"/>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9"/>
        <v>0</v>
      </c>
      <c r="AJ23" s="351" t="str">
        <f t="shared" si="10"/>
        <v/>
      </c>
      <c r="AK23" s="351" t="str">
        <f t="shared" si="10"/>
        <v/>
      </c>
      <c r="AL23" s="363">
        <f t="shared" si="11"/>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4"/>
        <v>1</v>
      </c>
      <c r="BD23" s="363">
        <f t="shared" si="4"/>
        <v>1</v>
      </c>
      <c r="BE23" s="363">
        <f t="shared" si="4"/>
        <v>1</v>
      </c>
      <c r="BF23" s="363">
        <f t="shared" si="4"/>
        <v>1</v>
      </c>
      <c r="BG23" s="363">
        <f t="shared" si="4"/>
        <v>1</v>
      </c>
      <c r="BH23" s="363"/>
      <c r="BI23" s="363"/>
      <c r="BJ23" s="363"/>
      <c r="BK23" s="363"/>
      <c r="BL23" s="363"/>
      <c r="BM23" s="363"/>
      <c r="BQ23" s="351" t="str">
        <f t="shared" si="5"/>
        <v/>
      </c>
      <c r="BR23" s="351" t="str">
        <f t="shared" si="5"/>
        <v/>
      </c>
      <c r="BS23" s="351" t="str">
        <f t="shared" si="5"/>
        <v/>
      </c>
      <c r="BT23" s="351" t="str">
        <f t="shared" si="5"/>
        <v/>
      </c>
      <c r="BU23" s="351" t="str">
        <f t="shared" si="5"/>
        <v/>
      </c>
    </row>
    <row r="24" spans="1:73" x14ac:dyDescent="0.25">
      <c r="A24" s="379"/>
      <c r="B24" s="379" t="str">
        <f t="shared" si="6"/>
        <v/>
      </c>
      <c r="C24" s="380"/>
      <c r="D24" s="380"/>
      <c r="E24" s="381"/>
      <c r="F24" s="385"/>
      <c r="G24" s="382"/>
      <c r="H24" s="383"/>
      <c r="I24" s="383"/>
      <c r="J24" s="383"/>
      <c r="K24" s="398" t="str">
        <f t="shared" si="7"/>
        <v/>
      </c>
      <c r="L24" s="383"/>
      <c r="M24" s="383"/>
      <c r="N24" s="383"/>
      <c r="O24" s="379" t="str">
        <f t="shared" si="8"/>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9"/>
        <v>0</v>
      </c>
      <c r="AJ24" s="351" t="str">
        <f t="shared" si="10"/>
        <v/>
      </c>
      <c r="AK24" s="351" t="str">
        <f t="shared" si="10"/>
        <v/>
      </c>
      <c r="AL24" s="363">
        <f t="shared" si="11"/>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4"/>
        <v>1</v>
      </c>
      <c r="BD24" s="363">
        <f t="shared" si="4"/>
        <v>1</v>
      </c>
      <c r="BE24" s="363">
        <f t="shared" si="4"/>
        <v>1</v>
      </c>
      <c r="BF24" s="363">
        <f t="shared" si="4"/>
        <v>1</v>
      </c>
      <c r="BG24" s="363">
        <f t="shared" si="4"/>
        <v>1</v>
      </c>
      <c r="BH24" s="363"/>
      <c r="BI24" s="363"/>
      <c r="BJ24" s="363"/>
      <c r="BK24" s="363"/>
      <c r="BL24" s="363"/>
      <c r="BM24" s="363"/>
      <c r="BQ24" s="351" t="str">
        <f t="shared" si="5"/>
        <v/>
      </c>
      <c r="BR24" s="351" t="str">
        <f t="shared" si="5"/>
        <v/>
      </c>
      <c r="BS24" s="351" t="str">
        <f t="shared" si="5"/>
        <v/>
      </c>
      <c r="BT24" s="351" t="str">
        <f t="shared" si="5"/>
        <v/>
      </c>
      <c r="BU24" s="351" t="str">
        <f t="shared" si="5"/>
        <v/>
      </c>
    </row>
    <row r="25" spans="1:73" x14ac:dyDescent="0.25">
      <c r="A25" s="379"/>
      <c r="B25" s="379" t="str">
        <f t="shared" si="6"/>
        <v/>
      </c>
      <c r="C25" s="380"/>
      <c r="D25" s="380"/>
      <c r="E25" s="381"/>
      <c r="F25" s="385"/>
      <c r="G25" s="382"/>
      <c r="H25" s="383"/>
      <c r="I25" s="383"/>
      <c r="J25" s="383"/>
      <c r="K25" s="398" t="str">
        <f t="shared" si="7"/>
        <v/>
      </c>
      <c r="L25" s="383"/>
      <c r="M25" s="383"/>
      <c r="N25" s="383"/>
      <c r="O25" s="379" t="str">
        <f t="shared" si="8"/>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9"/>
        <v>0</v>
      </c>
      <c r="AJ25" s="351" t="str">
        <f t="shared" si="10"/>
        <v/>
      </c>
      <c r="AK25" s="351" t="str">
        <f t="shared" si="10"/>
        <v/>
      </c>
      <c r="AL25" s="363">
        <f t="shared" si="11"/>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4"/>
        <v>1</v>
      </c>
      <c r="BD25" s="363">
        <f t="shared" si="4"/>
        <v>1</v>
      </c>
      <c r="BE25" s="363">
        <f t="shared" si="4"/>
        <v>1</v>
      </c>
      <c r="BF25" s="363">
        <f t="shared" si="4"/>
        <v>1</v>
      </c>
      <c r="BG25" s="363">
        <f t="shared" si="4"/>
        <v>1</v>
      </c>
      <c r="BH25" s="363"/>
      <c r="BI25" s="363"/>
      <c r="BJ25" s="363"/>
      <c r="BK25" s="363"/>
      <c r="BL25" s="363"/>
      <c r="BM25" s="363"/>
      <c r="BQ25" s="351" t="str">
        <f t="shared" si="5"/>
        <v/>
      </c>
      <c r="BR25" s="351" t="str">
        <f t="shared" si="5"/>
        <v/>
      </c>
      <c r="BS25" s="351" t="str">
        <f t="shared" si="5"/>
        <v/>
      </c>
      <c r="BT25" s="351" t="str">
        <f t="shared" si="5"/>
        <v/>
      </c>
      <c r="BU25" s="351" t="str">
        <f t="shared" si="5"/>
        <v/>
      </c>
    </row>
    <row r="26" spans="1:73" x14ac:dyDescent="0.25">
      <c r="A26" s="379"/>
      <c r="B26" s="379" t="str">
        <f t="shared" si="6"/>
        <v/>
      </c>
      <c r="C26" s="380"/>
      <c r="D26" s="380"/>
      <c r="E26" s="381"/>
      <c r="F26" s="385"/>
      <c r="G26" s="382"/>
      <c r="H26" s="383"/>
      <c r="I26" s="383"/>
      <c r="J26" s="383"/>
      <c r="K26" s="398" t="str">
        <f t="shared" si="7"/>
        <v/>
      </c>
      <c r="L26" s="383"/>
      <c r="M26" s="383"/>
      <c r="N26" s="383"/>
      <c r="O26" s="379" t="str">
        <f t="shared" si="8"/>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9"/>
        <v>0</v>
      </c>
      <c r="AJ26" s="351" t="str">
        <f t="shared" si="10"/>
        <v/>
      </c>
      <c r="AK26" s="351" t="str">
        <f t="shared" si="10"/>
        <v/>
      </c>
      <c r="AL26" s="363">
        <f t="shared" si="11"/>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4"/>
        <v>1</v>
      </c>
      <c r="BD26" s="363">
        <f t="shared" si="4"/>
        <v>1</v>
      </c>
      <c r="BE26" s="363">
        <f t="shared" si="4"/>
        <v>1</v>
      </c>
      <c r="BF26" s="363">
        <f t="shared" si="4"/>
        <v>1</v>
      </c>
      <c r="BG26" s="363">
        <f t="shared" si="4"/>
        <v>1</v>
      </c>
      <c r="BH26" s="363"/>
      <c r="BI26" s="363"/>
      <c r="BJ26" s="363"/>
      <c r="BK26" s="363"/>
      <c r="BL26" s="363"/>
      <c r="BM26" s="363"/>
      <c r="BQ26" s="351" t="str">
        <f t="shared" si="5"/>
        <v/>
      </c>
      <c r="BR26" s="351" t="str">
        <f t="shared" si="5"/>
        <v/>
      </c>
      <c r="BS26" s="351" t="str">
        <f t="shared" si="5"/>
        <v/>
      </c>
      <c r="BT26" s="351" t="str">
        <f t="shared" si="5"/>
        <v/>
      </c>
      <c r="BU26" s="351" t="str">
        <f t="shared" si="5"/>
        <v/>
      </c>
    </row>
    <row r="27" spans="1:73" x14ac:dyDescent="0.25">
      <c r="A27" s="379"/>
      <c r="B27" s="379" t="str">
        <f t="shared" si="6"/>
        <v/>
      </c>
      <c r="C27" s="380"/>
      <c r="D27" s="380"/>
      <c r="E27" s="381"/>
      <c r="F27" s="385"/>
      <c r="G27" s="382"/>
      <c r="H27" s="383"/>
      <c r="I27" s="383"/>
      <c r="J27" s="383"/>
      <c r="K27" s="398" t="str">
        <f t="shared" si="7"/>
        <v/>
      </c>
      <c r="L27" s="383"/>
      <c r="M27" s="383"/>
      <c r="N27" s="383"/>
      <c r="O27" s="379" t="str">
        <f t="shared" si="8"/>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9"/>
        <v>0</v>
      </c>
      <c r="AJ27" s="351" t="str">
        <f t="shared" si="10"/>
        <v/>
      </c>
      <c r="AK27" s="351" t="str">
        <f t="shared" si="10"/>
        <v/>
      </c>
      <c r="AL27" s="363">
        <f t="shared" si="11"/>
        <v>0</v>
      </c>
      <c r="AM27" s="363">
        <f t="shared" si="4"/>
        <v>0</v>
      </c>
      <c r="AN27" s="363">
        <f t="shared" si="4"/>
        <v>1</v>
      </c>
      <c r="AO27" s="363">
        <f t="shared" si="4"/>
        <v>0</v>
      </c>
      <c r="AP27" s="363">
        <f t="shared" ref="AP27:AP44" si="12">IF(I$14="",1,IF(I27="",0,IF(ISNA(I27),0,1)))</f>
        <v>0</v>
      </c>
      <c r="AQ27" s="363">
        <f t="shared" ref="AQ27:AQ44" si="13">IF(J$14="",1,IF(J27="",0,IF(ISNA(J27),0,1)))</f>
        <v>0</v>
      </c>
      <c r="AR27" s="363">
        <f t="shared" ref="AR27:AR44" si="14">IF(K$14="",1,IF(K27="",0,IF(ISNA(K27),0,1)))</f>
        <v>1</v>
      </c>
      <c r="AS27" s="363">
        <f t="shared" ref="AS27:AS44" si="15">IF(L$14="",1,IF(L27="",0,IF(ISNA(L27),0,1)))</f>
        <v>0</v>
      </c>
      <c r="AT27" s="363">
        <f t="shared" ref="AT27:AT44" si="16">IF(M$14="",1,IF(M27="",0,IF(ISNA(M27),0,1)))</f>
        <v>0</v>
      </c>
      <c r="AU27" s="363">
        <f t="shared" ref="AU27:AU44" si="17">IF(N$14="",1,IF(N27="",0,IF(ISNA(N27),0,1)))</f>
        <v>0</v>
      </c>
      <c r="AV27" s="363">
        <f t="shared" ref="AV27:AV44" si="18">IF(O$14="",1,IF(O27="",0,IF(ISNA(O27),0,1)))</f>
        <v>1</v>
      </c>
      <c r="AW27" s="363">
        <f t="shared" ref="AW27:AW44" si="19">IF(P$14="",1,IF(P27="",0,IF(ISNA(P27),0,1)))</f>
        <v>0</v>
      </c>
      <c r="AX27" s="363">
        <f t="shared" ref="AX27:AX44" si="20">IF(Q$14="",1,IF(Q27="",0,IF(ISNA(Q27),0,1)))</f>
        <v>0</v>
      </c>
      <c r="AY27" s="363">
        <f t="shared" ref="AY27:AY44" si="21">IF(R$14="",1,IF(R27="",0,IF(ISNA(R27),0,1)))</f>
        <v>0</v>
      </c>
      <c r="AZ27" s="363">
        <f t="shared" ref="AZ27:AZ44" si="22">IF(S$14="",1,IF(S27="",0,IF(ISNA(S27),0,1)))</f>
        <v>0</v>
      </c>
      <c r="BA27" s="363">
        <f t="shared" ref="BA27:BA44" si="23">IF(T$14="",1,IF(T27="",0,IF(ISNA(T27),0,1)))</f>
        <v>1</v>
      </c>
      <c r="BB27" s="363">
        <f t="shared" ref="BB27:BB44" si="24">IF(U$14="",1,IF(U27="",0,IF(ISNA(U27),0,1)))</f>
        <v>0</v>
      </c>
      <c r="BC27" s="363">
        <f t="shared" ref="BC27:BC44" si="25">IF(V$14="",1,IF(V27="",0,IF(ISNA(V27),0,1)))</f>
        <v>0</v>
      </c>
      <c r="BD27" s="363">
        <f t="shared" ref="BD27:BD44" si="26">IF(W$14="",1,IF(W27="",0,IF(ISNA(W27),0,1)))</f>
        <v>1</v>
      </c>
      <c r="BE27" s="363">
        <f t="shared" ref="BE27:BE44" si="27">IF(X$14="",1,IF(X27="",0,IF(ISNA(X27),0,1)))</f>
        <v>1</v>
      </c>
      <c r="BF27" s="363">
        <f t="shared" ref="BF27:BF44" si="28">IF(Y$14="",1,IF(Y27="",0,IF(ISNA(Y27),0,1)))</f>
        <v>1</v>
      </c>
      <c r="BG27" s="363">
        <f t="shared" ref="BG27:BG44" si="29">IF(Z$14="",1,IF(Z27="",0,IF(ISNA(Z27),0,1)))</f>
        <v>1</v>
      </c>
      <c r="BH27" s="363"/>
      <c r="BI27" s="363"/>
      <c r="BJ27" s="363"/>
      <c r="BK27" s="363"/>
      <c r="BL27" s="363"/>
      <c r="BM27" s="363"/>
      <c r="BQ27" s="351" t="str">
        <f t="shared" si="5"/>
        <v/>
      </c>
      <c r="BR27" s="351" t="str">
        <f t="shared" si="5"/>
        <v/>
      </c>
      <c r="BS27" s="351" t="str">
        <f t="shared" si="5"/>
        <v/>
      </c>
      <c r="BT27" s="351" t="str">
        <f t="shared" si="5"/>
        <v/>
      </c>
      <c r="BU27" s="351" t="str">
        <f t="shared" si="5"/>
        <v/>
      </c>
    </row>
    <row r="28" spans="1:73" x14ac:dyDescent="0.25">
      <c r="A28" s="379"/>
      <c r="B28" s="379" t="str">
        <f t="shared" si="6"/>
        <v/>
      </c>
      <c r="C28" s="380"/>
      <c r="D28" s="380"/>
      <c r="E28" s="381"/>
      <c r="F28" s="385"/>
      <c r="G28" s="382"/>
      <c r="H28" s="383"/>
      <c r="I28" s="383"/>
      <c r="J28" s="383"/>
      <c r="K28" s="398" t="str">
        <f t="shared" si="7"/>
        <v/>
      </c>
      <c r="L28" s="383"/>
      <c r="M28" s="383"/>
      <c r="N28" s="383"/>
      <c r="O28" s="379" t="str">
        <f t="shared" si="8"/>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9"/>
        <v>0</v>
      </c>
      <c r="AJ28" s="351" t="str">
        <f t="shared" si="10"/>
        <v/>
      </c>
      <c r="AK28" s="351" t="str">
        <f t="shared" si="10"/>
        <v/>
      </c>
      <c r="AL28" s="363">
        <f t="shared" si="11"/>
        <v>0</v>
      </c>
      <c r="AM28" s="363">
        <f t="shared" ref="AM28:AM44" si="30">IF(F$14="",1,IF(F28="",0,IF(ISNA(F28),0,1)))</f>
        <v>0</v>
      </c>
      <c r="AN28" s="363">
        <f t="shared" ref="AN28:AN44" si="31">IF(G$14="",1,IF(G28="",0,IF(ISNA(G28),0,1)))</f>
        <v>1</v>
      </c>
      <c r="AO28" s="363">
        <f t="shared" ref="AO28:AO44" si="32">IF(H$14="",1,IF(H28="",0,IF(ISNA(H28),0,1)))</f>
        <v>0</v>
      </c>
      <c r="AP28" s="363">
        <f t="shared" si="12"/>
        <v>0</v>
      </c>
      <c r="AQ28" s="363">
        <f t="shared" si="13"/>
        <v>0</v>
      </c>
      <c r="AR28" s="363">
        <f t="shared" si="14"/>
        <v>1</v>
      </c>
      <c r="AS28" s="363">
        <f t="shared" si="15"/>
        <v>0</v>
      </c>
      <c r="AT28" s="363">
        <f t="shared" si="16"/>
        <v>0</v>
      </c>
      <c r="AU28" s="363">
        <f t="shared" si="17"/>
        <v>0</v>
      </c>
      <c r="AV28" s="363">
        <f t="shared" si="18"/>
        <v>1</v>
      </c>
      <c r="AW28" s="363">
        <f t="shared" si="19"/>
        <v>0</v>
      </c>
      <c r="AX28" s="363">
        <f t="shared" si="20"/>
        <v>0</v>
      </c>
      <c r="AY28" s="363">
        <f t="shared" si="21"/>
        <v>0</v>
      </c>
      <c r="AZ28" s="363">
        <f t="shared" si="22"/>
        <v>0</v>
      </c>
      <c r="BA28" s="363">
        <f t="shared" si="23"/>
        <v>1</v>
      </c>
      <c r="BB28" s="363">
        <f t="shared" si="24"/>
        <v>0</v>
      </c>
      <c r="BC28" s="363">
        <f t="shared" si="25"/>
        <v>0</v>
      </c>
      <c r="BD28" s="363">
        <f t="shared" si="26"/>
        <v>1</v>
      </c>
      <c r="BE28" s="363">
        <f t="shared" si="27"/>
        <v>1</v>
      </c>
      <c r="BF28" s="363">
        <f t="shared" si="28"/>
        <v>1</v>
      </c>
      <c r="BG28" s="363">
        <f t="shared" si="29"/>
        <v>1</v>
      </c>
      <c r="BH28" s="363"/>
      <c r="BI28" s="363"/>
      <c r="BJ28" s="363"/>
      <c r="BK28" s="363"/>
      <c r="BL28" s="363"/>
      <c r="BM28" s="363"/>
      <c r="BQ28" s="351" t="str">
        <f t="shared" si="5"/>
        <v/>
      </c>
      <c r="BR28" s="351" t="str">
        <f t="shared" si="5"/>
        <v/>
      </c>
      <c r="BS28" s="351" t="str">
        <f t="shared" si="5"/>
        <v/>
      </c>
      <c r="BT28" s="351" t="str">
        <f t="shared" si="5"/>
        <v/>
      </c>
      <c r="BU28" s="351" t="str">
        <f t="shared" si="5"/>
        <v/>
      </c>
    </row>
    <row r="29" spans="1:73" x14ac:dyDescent="0.25">
      <c r="A29" s="379"/>
      <c r="B29" s="379" t="str">
        <f t="shared" si="6"/>
        <v/>
      </c>
      <c r="C29" s="380"/>
      <c r="D29" s="380"/>
      <c r="E29" s="381"/>
      <c r="F29" s="385"/>
      <c r="G29" s="382"/>
      <c r="H29" s="383"/>
      <c r="I29" s="383"/>
      <c r="J29" s="383"/>
      <c r="K29" s="398" t="str">
        <f t="shared" si="7"/>
        <v/>
      </c>
      <c r="L29" s="383"/>
      <c r="M29" s="383"/>
      <c r="N29" s="383"/>
      <c r="O29" s="379" t="str">
        <f t="shared" si="8"/>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9"/>
        <v>0</v>
      </c>
      <c r="AJ29" s="351" t="str">
        <f t="shared" si="10"/>
        <v/>
      </c>
      <c r="AK29" s="351" t="str">
        <f t="shared" si="10"/>
        <v/>
      </c>
      <c r="AL29" s="363">
        <f t="shared" si="11"/>
        <v>0</v>
      </c>
      <c r="AM29" s="363">
        <f t="shared" si="30"/>
        <v>0</v>
      </c>
      <c r="AN29" s="363">
        <f t="shared" si="31"/>
        <v>1</v>
      </c>
      <c r="AO29" s="363">
        <f t="shared" si="32"/>
        <v>0</v>
      </c>
      <c r="AP29" s="363">
        <f t="shared" si="12"/>
        <v>0</v>
      </c>
      <c r="AQ29" s="363">
        <f t="shared" si="13"/>
        <v>0</v>
      </c>
      <c r="AR29" s="363">
        <f t="shared" si="14"/>
        <v>1</v>
      </c>
      <c r="AS29" s="363">
        <f t="shared" si="15"/>
        <v>0</v>
      </c>
      <c r="AT29" s="363">
        <f t="shared" si="16"/>
        <v>0</v>
      </c>
      <c r="AU29" s="363">
        <f t="shared" si="17"/>
        <v>0</v>
      </c>
      <c r="AV29" s="363">
        <f t="shared" si="18"/>
        <v>1</v>
      </c>
      <c r="AW29" s="363">
        <f t="shared" si="19"/>
        <v>0</v>
      </c>
      <c r="AX29" s="363">
        <f t="shared" si="20"/>
        <v>0</v>
      </c>
      <c r="AY29" s="363">
        <f t="shared" si="21"/>
        <v>0</v>
      </c>
      <c r="AZ29" s="363">
        <f t="shared" si="22"/>
        <v>0</v>
      </c>
      <c r="BA29" s="363">
        <f t="shared" si="23"/>
        <v>1</v>
      </c>
      <c r="BB29" s="363">
        <f t="shared" si="24"/>
        <v>0</v>
      </c>
      <c r="BC29" s="363">
        <f t="shared" si="25"/>
        <v>0</v>
      </c>
      <c r="BD29" s="363">
        <f t="shared" si="26"/>
        <v>1</v>
      </c>
      <c r="BE29" s="363">
        <f t="shared" si="27"/>
        <v>1</v>
      </c>
      <c r="BF29" s="363">
        <f t="shared" si="28"/>
        <v>1</v>
      </c>
      <c r="BG29" s="363">
        <f t="shared" si="29"/>
        <v>1</v>
      </c>
      <c r="BH29" s="363"/>
      <c r="BI29" s="363"/>
      <c r="BJ29" s="363"/>
      <c r="BK29" s="363"/>
      <c r="BL29" s="363"/>
      <c r="BM29" s="363"/>
      <c r="BQ29" s="351" t="str">
        <f t="shared" si="5"/>
        <v/>
      </c>
      <c r="BR29" s="351" t="str">
        <f t="shared" si="5"/>
        <v/>
      </c>
      <c r="BS29" s="351" t="str">
        <f t="shared" si="5"/>
        <v/>
      </c>
      <c r="BT29" s="351" t="str">
        <f t="shared" si="5"/>
        <v/>
      </c>
      <c r="BU29" s="351" t="str">
        <f t="shared" si="5"/>
        <v/>
      </c>
    </row>
    <row r="30" spans="1:73" x14ac:dyDescent="0.25">
      <c r="A30" s="379"/>
      <c r="B30" s="379" t="str">
        <f t="shared" si="6"/>
        <v/>
      </c>
      <c r="C30" s="380"/>
      <c r="D30" s="380"/>
      <c r="E30" s="381"/>
      <c r="F30" s="385"/>
      <c r="G30" s="382"/>
      <c r="H30" s="383"/>
      <c r="I30" s="383"/>
      <c r="J30" s="383"/>
      <c r="K30" s="398" t="str">
        <f t="shared" si="7"/>
        <v/>
      </c>
      <c r="L30" s="383"/>
      <c r="M30" s="383"/>
      <c r="N30" s="383"/>
      <c r="O30" s="379" t="str">
        <f t="shared" si="8"/>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9"/>
        <v>0</v>
      </c>
      <c r="AJ30" s="351" t="str">
        <f t="shared" si="10"/>
        <v/>
      </c>
      <c r="AK30" s="351" t="str">
        <f t="shared" si="10"/>
        <v/>
      </c>
      <c r="AL30" s="363">
        <f t="shared" si="11"/>
        <v>0</v>
      </c>
      <c r="AM30" s="363">
        <f t="shared" si="30"/>
        <v>0</v>
      </c>
      <c r="AN30" s="363">
        <f t="shared" si="31"/>
        <v>1</v>
      </c>
      <c r="AO30" s="363">
        <f t="shared" si="32"/>
        <v>0</v>
      </c>
      <c r="AP30" s="363">
        <f t="shared" si="12"/>
        <v>0</v>
      </c>
      <c r="AQ30" s="363">
        <f t="shared" si="13"/>
        <v>0</v>
      </c>
      <c r="AR30" s="363">
        <f t="shared" si="14"/>
        <v>1</v>
      </c>
      <c r="AS30" s="363">
        <f t="shared" si="15"/>
        <v>0</v>
      </c>
      <c r="AT30" s="363">
        <f t="shared" si="16"/>
        <v>0</v>
      </c>
      <c r="AU30" s="363">
        <f t="shared" si="17"/>
        <v>0</v>
      </c>
      <c r="AV30" s="363">
        <f t="shared" si="18"/>
        <v>1</v>
      </c>
      <c r="AW30" s="363">
        <f t="shared" si="19"/>
        <v>0</v>
      </c>
      <c r="AX30" s="363">
        <f t="shared" si="20"/>
        <v>0</v>
      </c>
      <c r="AY30" s="363">
        <f t="shared" si="21"/>
        <v>0</v>
      </c>
      <c r="AZ30" s="363">
        <f t="shared" si="22"/>
        <v>0</v>
      </c>
      <c r="BA30" s="363">
        <f t="shared" si="23"/>
        <v>1</v>
      </c>
      <c r="BB30" s="363">
        <f t="shared" si="24"/>
        <v>0</v>
      </c>
      <c r="BC30" s="363">
        <f t="shared" si="25"/>
        <v>0</v>
      </c>
      <c r="BD30" s="363">
        <f t="shared" si="26"/>
        <v>1</v>
      </c>
      <c r="BE30" s="363">
        <f t="shared" si="27"/>
        <v>1</v>
      </c>
      <c r="BF30" s="363">
        <f t="shared" si="28"/>
        <v>1</v>
      </c>
      <c r="BG30" s="363">
        <f t="shared" si="29"/>
        <v>1</v>
      </c>
      <c r="BH30" s="363"/>
      <c r="BI30" s="363"/>
      <c r="BJ30" s="363"/>
      <c r="BK30" s="363"/>
      <c r="BL30" s="363"/>
      <c r="BM30" s="363"/>
      <c r="BQ30" s="351" t="str">
        <f t="shared" si="5"/>
        <v/>
      </c>
      <c r="BR30" s="351" t="str">
        <f t="shared" si="5"/>
        <v/>
      </c>
      <c r="BS30" s="351" t="str">
        <f t="shared" si="5"/>
        <v/>
      </c>
      <c r="BT30" s="351" t="str">
        <f t="shared" si="5"/>
        <v/>
      </c>
      <c r="BU30" s="351" t="str">
        <f t="shared" si="5"/>
        <v/>
      </c>
    </row>
    <row r="31" spans="1:73" x14ac:dyDescent="0.25">
      <c r="A31" s="379"/>
      <c r="B31" s="379" t="str">
        <f t="shared" si="6"/>
        <v/>
      </c>
      <c r="C31" s="380"/>
      <c r="D31" s="380"/>
      <c r="E31" s="381"/>
      <c r="F31" s="385"/>
      <c r="G31" s="382"/>
      <c r="H31" s="383"/>
      <c r="I31" s="383"/>
      <c r="J31" s="383"/>
      <c r="K31" s="398" t="str">
        <f t="shared" si="7"/>
        <v/>
      </c>
      <c r="L31" s="383"/>
      <c r="M31" s="383"/>
      <c r="N31" s="383"/>
      <c r="O31" s="379" t="str">
        <f t="shared" si="8"/>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9"/>
        <v>0</v>
      </c>
      <c r="AJ31" s="351" t="str">
        <f t="shared" si="10"/>
        <v/>
      </c>
      <c r="AK31" s="351" t="str">
        <f t="shared" si="10"/>
        <v/>
      </c>
      <c r="AL31" s="363">
        <f t="shared" si="11"/>
        <v>0</v>
      </c>
      <c r="AM31" s="363">
        <f t="shared" si="30"/>
        <v>0</v>
      </c>
      <c r="AN31" s="363">
        <f t="shared" si="31"/>
        <v>1</v>
      </c>
      <c r="AO31" s="363">
        <f t="shared" si="32"/>
        <v>0</v>
      </c>
      <c r="AP31" s="363">
        <f t="shared" si="12"/>
        <v>0</v>
      </c>
      <c r="AQ31" s="363">
        <f t="shared" si="13"/>
        <v>0</v>
      </c>
      <c r="AR31" s="363">
        <f t="shared" si="14"/>
        <v>1</v>
      </c>
      <c r="AS31" s="363">
        <f t="shared" si="15"/>
        <v>0</v>
      </c>
      <c r="AT31" s="363">
        <f t="shared" si="16"/>
        <v>0</v>
      </c>
      <c r="AU31" s="363">
        <f t="shared" si="17"/>
        <v>0</v>
      </c>
      <c r="AV31" s="363">
        <f t="shared" si="18"/>
        <v>1</v>
      </c>
      <c r="AW31" s="363">
        <f t="shared" si="19"/>
        <v>0</v>
      </c>
      <c r="AX31" s="363">
        <f t="shared" si="20"/>
        <v>0</v>
      </c>
      <c r="AY31" s="363">
        <f t="shared" si="21"/>
        <v>0</v>
      </c>
      <c r="AZ31" s="363">
        <f t="shared" si="22"/>
        <v>0</v>
      </c>
      <c r="BA31" s="363">
        <f t="shared" si="23"/>
        <v>1</v>
      </c>
      <c r="BB31" s="363">
        <f t="shared" si="24"/>
        <v>0</v>
      </c>
      <c r="BC31" s="363">
        <f t="shared" si="25"/>
        <v>0</v>
      </c>
      <c r="BD31" s="363">
        <f t="shared" si="26"/>
        <v>1</v>
      </c>
      <c r="BE31" s="363">
        <f t="shared" si="27"/>
        <v>1</v>
      </c>
      <c r="BF31" s="363">
        <f t="shared" si="28"/>
        <v>1</v>
      </c>
      <c r="BG31" s="363">
        <f t="shared" si="29"/>
        <v>1</v>
      </c>
      <c r="BH31" s="363"/>
      <c r="BI31" s="363"/>
      <c r="BJ31" s="363"/>
      <c r="BK31" s="363"/>
      <c r="BL31" s="363"/>
      <c r="BM31" s="363"/>
      <c r="BQ31" s="351" t="str">
        <f t="shared" ref="BQ31:BU44" si="33">IF($F31="","",BQ$14)</f>
        <v/>
      </c>
      <c r="BR31" s="351" t="str">
        <f t="shared" si="33"/>
        <v/>
      </c>
      <c r="BS31" s="351" t="str">
        <f t="shared" si="33"/>
        <v/>
      </c>
      <c r="BT31" s="351" t="str">
        <f t="shared" si="33"/>
        <v/>
      </c>
      <c r="BU31" s="351" t="str">
        <f t="shared" si="33"/>
        <v/>
      </c>
    </row>
    <row r="32" spans="1:73" x14ac:dyDescent="0.25">
      <c r="A32" s="379"/>
      <c r="B32" s="379" t="str">
        <f t="shared" si="6"/>
        <v/>
      </c>
      <c r="C32" s="380"/>
      <c r="D32" s="380"/>
      <c r="E32" s="381"/>
      <c r="F32" s="385"/>
      <c r="G32" s="382"/>
      <c r="H32" s="383"/>
      <c r="I32" s="383"/>
      <c r="J32" s="383"/>
      <c r="K32" s="398" t="str">
        <f t="shared" si="7"/>
        <v/>
      </c>
      <c r="L32" s="383"/>
      <c r="M32" s="383"/>
      <c r="N32" s="383"/>
      <c r="O32" s="379" t="str">
        <f t="shared" si="8"/>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9"/>
        <v>0</v>
      </c>
      <c r="AJ32" s="351" t="str">
        <f t="shared" si="10"/>
        <v/>
      </c>
      <c r="AK32" s="351" t="str">
        <f t="shared" si="10"/>
        <v/>
      </c>
      <c r="AL32" s="363">
        <f t="shared" si="11"/>
        <v>0</v>
      </c>
      <c r="AM32" s="363">
        <f t="shared" si="30"/>
        <v>0</v>
      </c>
      <c r="AN32" s="363">
        <f t="shared" si="31"/>
        <v>1</v>
      </c>
      <c r="AO32" s="363">
        <f t="shared" si="32"/>
        <v>0</v>
      </c>
      <c r="AP32" s="363">
        <f t="shared" si="12"/>
        <v>0</v>
      </c>
      <c r="AQ32" s="363">
        <f t="shared" si="13"/>
        <v>0</v>
      </c>
      <c r="AR32" s="363">
        <f t="shared" si="14"/>
        <v>1</v>
      </c>
      <c r="AS32" s="363">
        <f t="shared" si="15"/>
        <v>0</v>
      </c>
      <c r="AT32" s="363">
        <f t="shared" si="16"/>
        <v>0</v>
      </c>
      <c r="AU32" s="363">
        <f t="shared" si="17"/>
        <v>0</v>
      </c>
      <c r="AV32" s="363">
        <f t="shared" si="18"/>
        <v>1</v>
      </c>
      <c r="AW32" s="363">
        <f t="shared" si="19"/>
        <v>0</v>
      </c>
      <c r="AX32" s="363">
        <f t="shared" si="20"/>
        <v>0</v>
      </c>
      <c r="AY32" s="363">
        <f t="shared" si="21"/>
        <v>0</v>
      </c>
      <c r="AZ32" s="363">
        <f t="shared" si="22"/>
        <v>0</v>
      </c>
      <c r="BA32" s="363">
        <f t="shared" si="23"/>
        <v>1</v>
      </c>
      <c r="BB32" s="363">
        <f t="shared" si="24"/>
        <v>0</v>
      </c>
      <c r="BC32" s="363">
        <f t="shared" si="25"/>
        <v>0</v>
      </c>
      <c r="BD32" s="363">
        <f t="shared" si="26"/>
        <v>1</v>
      </c>
      <c r="BE32" s="363">
        <f t="shared" si="27"/>
        <v>1</v>
      </c>
      <c r="BF32" s="363">
        <f t="shared" si="28"/>
        <v>1</v>
      </c>
      <c r="BG32" s="363">
        <f t="shared" si="29"/>
        <v>1</v>
      </c>
      <c r="BH32" s="363"/>
      <c r="BI32" s="363"/>
      <c r="BJ32" s="363"/>
      <c r="BK32" s="363"/>
      <c r="BL32" s="363"/>
      <c r="BM32" s="363"/>
      <c r="BQ32" s="351" t="str">
        <f t="shared" si="33"/>
        <v/>
      </c>
      <c r="BR32" s="351" t="str">
        <f t="shared" si="33"/>
        <v/>
      </c>
      <c r="BS32" s="351" t="str">
        <f t="shared" si="33"/>
        <v/>
      </c>
      <c r="BT32" s="351" t="str">
        <f t="shared" si="33"/>
        <v/>
      </c>
      <c r="BU32" s="351" t="str">
        <f t="shared" si="33"/>
        <v/>
      </c>
    </row>
    <row r="33" spans="1:73" x14ac:dyDescent="0.25">
      <c r="A33" s="379"/>
      <c r="B33" s="379" t="str">
        <f t="shared" si="6"/>
        <v/>
      </c>
      <c r="C33" s="380"/>
      <c r="D33" s="380"/>
      <c r="E33" s="381"/>
      <c r="F33" s="385"/>
      <c r="G33" s="382"/>
      <c r="H33" s="383"/>
      <c r="I33" s="383"/>
      <c r="J33" s="383"/>
      <c r="K33" s="398" t="str">
        <f t="shared" si="7"/>
        <v/>
      </c>
      <c r="L33" s="383"/>
      <c r="M33" s="383"/>
      <c r="N33" s="383"/>
      <c r="O33" s="379" t="str">
        <f t="shared" si="8"/>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9"/>
        <v>0</v>
      </c>
      <c r="AJ33" s="351" t="str">
        <f t="shared" si="10"/>
        <v/>
      </c>
      <c r="AK33" s="351" t="str">
        <f t="shared" si="10"/>
        <v/>
      </c>
      <c r="AL33" s="363">
        <f t="shared" si="11"/>
        <v>0</v>
      </c>
      <c r="AM33" s="363">
        <f t="shared" si="30"/>
        <v>0</v>
      </c>
      <c r="AN33" s="363">
        <f t="shared" si="31"/>
        <v>1</v>
      </c>
      <c r="AO33" s="363">
        <f t="shared" si="32"/>
        <v>0</v>
      </c>
      <c r="AP33" s="363">
        <f t="shared" si="12"/>
        <v>0</v>
      </c>
      <c r="AQ33" s="363">
        <f t="shared" si="13"/>
        <v>0</v>
      </c>
      <c r="AR33" s="363">
        <f t="shared" si="14"/>
        <v>1</v>
      </c>
      <c r="AS33" s="363">
        <f t="shared" si="15"/>
        <v>0</v>
      </c>
      <c r="AT33" s="363">
        <f t="shared" si="16"/>
        <v>0</v>
      </c>
      <c r="AU33" s="363">
        <f t="shared" si="17"/>
        <v>0</v>
      </c>
      <c r="AV33" s="363">
        <f t="shared" si="18"/>
        <v>1</v>
      </c>
      <c r="AW33" s="363">
        <f t="shared" si="19"/>
        <v>0</v>
      </c>
      <c r="AX33" s="363">
        <f t="shared" si="20"/>
        <v>0</v>
      </c>
      <c r="AY33" s="363">
        <f t="shared" si="21"/>
        <v>0</v>
      </c>
      <c r="AZ33" s="363">
        <f t="shared" si="22"/>
        <v>0</v>
      </c>
      <c r="BA33" s="363">
        <f t="shared" si="23"/>
        <v>1</v>
      </c>
      <c r="BB33" s="363">
        <f t="shared" si="24"/>
        <v>0</v>
      </c>
      <c r="BC33" s="363">
        <f t="shared" si="25"/>
        <v>0</v>
      </c>
      <c r="BD33" s="363">
        <f t="shared" si="26"/>
        <v>1</v>
      </c>
      <c r="BE33" s="363">
        <f t="shared" si="27"/>
        <v>1</v>
      </c>
      <c r="BF33" s="363">
        <f t="shared" si="28"/>
        <v>1</v>
      </c>
      <c r="BG33" s="363">
        <f t="shared" si="29"/>
        <v>1</v>
      </c>
      <c r="BH33" s="363"/>
      <c r="BI33" s="363"/>
      <c r="BJ33" s="363"/>
      <c r="BK33" s="363"/>
      <c r="BL33" s="363"/>
      <c r="BM33" s="363"/>
      <c r="BQ33" s="351" t="str">
        <f t="shared" si="33"/>
        <v/>
      </c>
      <c r="BR33" s="351" t="str">
        <f t="shared" si="33"/>
        <v/>
      </c>
      <c r="BS33" s="351" t="str">
        <f t="shared" si="33"/>
        <v/>
      </c>
      <c r="BT33" s="351" t="str">
        <f t="shared" si="33"/>
        <v/>
      </c>
      <c r="BU33" s="351" t="str">
        <f t="shared" si="33"/>
        <v/>
      </c>
    </row>
    <row r="34" spans="1:73" x14ac:dyDescent="0.25">
      <c r="A34" s="379"/>
      <c r="B34" s="379" t="str">
        <f t="shared" si="6"/>
        <v/>
      </c>
      <c r="C34" s="380"/>
      <c r="D34" s="380"/>
      <c r="E34" s="381"/>
      <c r="F34" s="385"/>
      <c r="G34" s="382"/>
      <c r="H34" s="383"/>
      <c r="I34" s="383"/>
      <c r="J34" s="383"/>
      <c r="K34" s="398" t="str">
        <f t="shared" si="7"/>
        <v/>
      </c>
      <c r="L34" s="383"/>
      <c r="M34" s="383"/>
      <c r="N34" s="383"/>
      <c r="O34" s="379" t="str">
        <f t="shared" si="8"/>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9"/>
        <v>0</v>
      </c>
      <c r="AJ34" s="351" t="str">
        <f t="shared" si="10"/>
        <v/>
      </c>
      <c r="AK34" s="351" t="str">
        <f t="shared" si="10"/>
        <v/>
      </c>
      <c r="AL34" s="363">
        <f t="shared" si="11"/>
        <v>0</v>
      </c>
      <c r="AM34" s="363">
        <f t="shared" si="30"/>
        <v>0</v>
      </c>
      <c r="AN34" s="363">
        <f t="shared" si="31"/>
        <v>1</v>
      </c>
      <c r="AO34" s="363">
        <f t="shared" si="32"/>
        <v>0</v>
      </c>
      <c r="AP34" s="363">
        <f t="shared" si="12"/>
        <v>0</v>
      </c>
      <c r="AQ34" s="363">
        <f t="shared" si="13"/>
        <v>0</v>
      </c>
      <c r="AR34" s="363">
        <f t="shared" si="14"/>
        <v>1</v>
      </c>
      <c r="AS34" s="363">
        <f t="shared" si="15"/>
        <v>0</v>
      </c>
      <c r="AT34" s="363">
        <f t="shared" si="16"/>
        <v>0</v>
      </c>
      <c r="AU34" s="363">
        <f t="shared" si="17"/>
        <v>0</v>
      </c>
      <c r="AV34" s="363">
        <f t="shared" si="18"/>
        <v>1</v>
      </c>
      <c r="AW34" s="363">
        <f t="shared" si="19"/>
        <v>0</v>
      </c>
      <c r="AX34" s="363">
        <f t="shared" si="20"/>
        <v>0</v>
      </c>
      <c r="AY34" s="363">
        <f t="shared" si="21"/>
        <v>0</v>
      </c>
      <c r="AZ34" s="363">
        <f t="shared" si="22"/>
        <v>0</v>
      </c>
      <c r="BA34" s="363">
        <f t="shared" si="23"/>
        <v>1</v>
      </c>
      <c r="BB34" s="363">
        <f t="shared" si="24"/>
        <v>0</v>
      </c>
      <c r="BC34" s="363">
        <f t="shared" si="25"/>
        <v>0</v>
      </c>
      <c r="BD34" s="363">
        <f t="shared" si="26"/>
        <v>1</v>
      </c>
      <c r="BE34" s="363">
        <f t="shared" si="27"/>
        <v>1</v>
      </c>
      <c r="BF34" s="363">
        <f t="shared" si="28"/>
        <v>1</v>
      </c>
      <c r="BG34" s="363">
        <f t="shared" si="29"/>
        <v>1</v>
      </c>
      <c r="BH34" s="363"/>
      <c r="BI34" s="363"/>
      <c r="BJ34" s="363"/>
      <c r="BK34" s="363"/>
      <c r="BL34" s="363"/>
      <c r="BM34" s="363"/>
      <c r="BQ34" s="351" t="str">
        <f t="shared" si="33"/>
        <v/>
      </c>
      <c r="BR34" s="351" t="str">
        <f t="shared" si="33"/>
        <v/>
      </c>
      <c r="BS34" s="351" t="str">
        <f t="shared" si="33"/>
        <v/>
      </c>
      <c r="BT34" s="351" t="str">
        <f t="shared" si="33"/>
        <v/>
      </c>
      <c r="BU34" s="351" t="str">
        <f t="shared" si="33"/>
        <v/>
      </c>
    </row>
    <row r="35" spans="1:73" x14ac:dyDescent="0.25">
      <c r="A35" s="379"/>
      <c r="B35" s="379" t="str">
        <f t="shared" si="6"/>
        <v/>
      </c>
      <c r="C35" s="380"/>
      <c r="D35" s="380"/>
      <c r="E35" s="381"/>
      <c r="F35" s="385"/>
      <c r="G35" s="382"/>
      <c r="H35" s="383"/>
      <c r="I35" s="383"/>
      <c r="J35" s="383"/>
      <c r="K35" s="398" t="str">
        <f t="shared" si="7"/>
        <v/>
      </c>
      <c r="L35" s="383"/>
      <c r="M35" s="383"/>
      <c r="N35" s="383"/>
      <c r="O35" s="379" t="str">
        <f t="shared" si="8"/>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9"/>
        <v>0</v>
      </c>
      <c r="AJ35" s="351" t="str">
        <f t="shared" si="10"/>
        <v/>
      </c>
      <c r="AK35" s="351" t="str">
        <f t="shared" si="10"/>
        <v/>
      </c>
      <c r="AL35" s="363">
        <f t="shared" si="11"/>
        <v>0</v>
      </c>
      <c r="AM35" s="363">
        <f t="shared" si="30"/>
        <v>0</v>
      </c>
      <c r="AN35" s="363">
        <f t="shared" si="31"/>
        <v>1</v>
      </c>
      <c r="AO35" s="363">
        <f t="shared" si="32"/>
        <v>0</v>
      </c>
      <c r="AP35" s="363">
        <f t="shared" si="12"/>
        <v>0</v>
      </c>
      <c r="AQ35" s="363">
        <f t="shared" si="13"/>
        <v>0</v>
      </c>
      <c r="AR35" s="363">
        <f t="shared" si="14"/>
        <v>1</v>
      </c>
      <c r="AS35" s="363">
        <f t="shared" si="15"/>
        <v>0</v>
      </c>
      <c r="AT35" s="363">
        <f t="shared" si="16"/>
        <v>0</v>
      </c>
      <c r="AU35" s="363">
        <f t="shared" si="17"/>
        <v>0</v>
      </c>
      <c r="AV35" s="363">
        <f t="shared" si="18"/>
        <v>1</v>
      </c>
      <c r="AW35" s="363">
        <f t="shared" si="19"/>
        <v>0</v>
      </c>
      <c r="AX35" s="363">
        <f t="shared" si="20"/>
        <v>0</v>
      </c>
      <c r="AY35" s="363">
        <f t="shared" si="21"/>
        <v>0</v>
      </c>
      <c r="AZ35" s="363">
        <f t="shared" si="22"/>
        <v>0</v>
      </c>
      <c r="BA35" s="363">
        <f t="shared" si="23"/>
        <v>1</v>
      </c>
      <c r="BB35" s="363">
        <f t="shared" si="24"/>
        <v>0</v>
      </c>
      <c r="BC35" s="363">
        <f t="shared" si="25"/>
        <v>0</v>
      </c>
      <c r="BD35" s="363">
        <f t="shared" si="26"/>
        <v>1</v>
      </c>
      <c r="BE35" s="363">
        <f t="shared" si="27"/>
        <v>1</v>
      </c>
      <c r="BF35" s="363">
        <f t="shared" si="28"/>
        <v>1</v>
      </c>
      <c r="BG35" s="363">
        <f t="shared" si="29"/>
        <v>1</v>
      </c>
      <c r="BH35" s="363"/>
      <c r="BI35" s="363"/>
      <c r="BJ35" s="363"/>
      <c r="BK35" s="363"/>
      <c r="BL35" s="363"/>
      <c r="BM35" s="363"/>
      <c r="BQ35" s="351" t="str">
        <f t="shared" si="33"/>
        <v/>
      </c>
      <c r="BR35" s="351" t="str">
        <f t="shared" si="33"/>
        <v/>
      </c>
      <c r="BS35" s="351" t="str">
        <f t="shared" si="33"/>
        <v/>
      </c>
      <c r="BT35" s="351" t="str">
        <f t="shared" si="33"/>
        <v/>
      </c>
      <c r="BU35" s="351" t="str">
        <f t="shared" si="33"/>
        <v/>
      </c>
    </row>
    <row r="36" spans="1:73" x14ac:dyDescent="0.25">
      <c r="A36" s="379"/>
      <c r="B36" s="379" t="str">
        <f t="shared" si="6"/>
        <v/>
      </c>
      <c r="C36" s="380"/>
      <c r="D36" s="380"/>
      <c r="E36" s="381"/>
      <c r="F36" s="385"/>
      <c r="G36" s="382"/>
      <c r="H36" s="383"/>
      <c r="I36" s="383"/>
      <c r="J36" s="383"/>
      <c r="K36" s="398" t="str">
        <f t="shared" si="7"/>
        <v/>
      </c>
      <c r="L36" s="383"/>
      <c r="M36" s="383"/>
      <c r="N36" s="383"/>
      <c r="O36" s="379" t="str">
        <f t="shared" si="8"/>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9"/>
        <v>0</v>
      </c>
      <c r="AJ36" s="351" t="str">
        <f t="shared" si="10"/>
        <v/>
      </c>
      <c r="AK36" s="351" t="str">
        <f t="shared" si="10"/>
        <v/>
      </c>
      <c r="AL36" s="363">
        <f t="shared" si="11"/>
        <v>0</v>
      </c>
      <c r="AM36" s="363">
        <f t="shared" si="30"/>
        <v>0</v>
      </c>
      <c r="AN36" s="363">
        <f t="shared" si="31"/>
        <v>1</v>
      </c>
      <c r="AO36" s="363">
        <f t="shared" si="32"/>
        <v>0</v>
      </c>
      <c r="AP36" s="363">
        <f t="shared" si="12"/>
        <v>0</v>
      </c>
      <c r="AQ36" s="363">
        <f t="shared" si="13"/>
        <v>0</v>
      </c>
      <c r="AR36" s="363">
        <f t="shared" si="14"/>
        <v>1</v>
      </c>
      <c r="AS36" s="363">
        <f t="shared" si="15"/>
        <v>0</v>
      </c>
      <c r="AT36" s="363">
        <f t="shared" si="16"/>
        <v>0</v>
      </c>
      <c r="AU36" s="363">
        <f t="shared" si="17"/>
        <v>0</v>
      </c>
      <c r="AV36" s="363">
        <f t="shared" si="18"/>
        <v>1</v>
      </c>
      <c r="AW36" s="363">
        <f t="shared" si="19"/>
        <v>0</v>
      </c>
      <c r="AX36" s="363">
        <f t="shared" si="20"/>
        <v>0</v>
      </c>
      <c r="AY36" s="363">
        <f t="shared" si="21"/>
        <v>0</v>
      </c>
      <c r="AZ36" s="363">
        <f t="shared" si="22"/>
        <v>0</v>
      </c>
      <c r="BA36" s="363">
        <f t="shared" si="23"/>
        <v>1</v>
      </c>
      <c r="BB36" s="363">
        <f t="shared" si="24"/>
        <v>0</v>
      </c>
      <c r="BC36" s="363">
        <f t="shared" si="25"/>
        <v>0</v>
      </c>
      <c r="BD36" s="363">
        <f t="shared" si="26"/>
        <v>1</v>
      </c>
      <c r="BE36" s="363">
        <f t="shared" si="27"/>
        <v>1</v>
      </c>
      <c r="BF36" s="363">
        <f t="shared" si="28"/>
        <v>1</v>
      </c>
      <c r="BG36" s="363">
        <f t="shared" si="29"/>
        <v>1</v>
      </c>
      <c r="BH36" s="363"/>
      <c r="BI36" s="363"/>
      <c r="BJ36" s="363"/>
      <c r="BK36" s="363"/>
      <c r="BL36" s="363"/>
      <c r="BM36" s="363"/>
      <c r="BQ36" s="351" t="str">
        <f t="shared" si="33"/>
        <v/>
      </c>
      <c r="BR36" s="351" t="str">
        <f t="shared" si="33"/>
        <v/>
      </c>
      <c r="BS36" s="351" t="str">
        <f t="shared" si="33"/>
        <v/>
      </c>
      <c r="BT36" s="351" t="str">
        <f t="shared" si="33"/>
        <v/>
      </c>
      <c r="BU36" s="351" t="str">
        <f t="shared" si="33"/>
        <v/>
      </c>
    </row>
    <row r="37" spans="1:73" x14ac:dyDescent="0.25">
      <c r="A37" s="379"/>
      <c r="B37" s="379" t="str">
        <f t="shared" si="6"/>
        <v/>
      </c>
      <c r="C37" s="380"/>
      <c r="D37" s="380"/>
      <c r="E37" s="381"/>
      <c r="F37" s="385"/>
      <c r="G37" s="382"/>
      <c r="H37" s="383"/>
      <c r="I37" s="383"/>
      <c r="J37" s="383"/>
      <c r="K37" s="398" t="str">
        <f t="shared" si="7"/>
        <v/>
      </c>
      <c r="L37" s="383"/>
      <c r="M37" s="383"/>
      <c r="N37" s="383"/>
      <c r="O37" s="379" t="str">
        <f t="shared" si="8"/>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9"/>
        <v>0</v>
      </c>
      <c r="AJ37" s="351" t="str">
        <f t="shared" si="10"/>
        <v/>
      </c>
      <c r="AK37" s="351" t="str">
        <f t="shared" si="10"/>
        <v/>
      </c>
      <c r="AL37" s="363">
        <f t="shared" si="11"/>
        <v>0</v>
      </c>
      <c r="AM37" s="363">
        <f t="shared" si="30"/>
        <v>0</v>
      </c>
      <c r="AN37" s="363">
        <f t="shared" si="31"/>
        <v>1</v>
      </c>
      <c r="AO37" s="363">
        <f t="shared" si="32"/>
        <v>0</v>
      </c>
      <c r="AP37" s="363">
        <f t="shared" si="12"/>
        <v>0</v>
      </c>
      <c r="AQ37" s="363">
        <f t="shared" si="13"/>
        <v>0</v>
      </c>
      <c r="AR37" s="363">
        <f t="shared" si="14"/>
        <v>1</v>
      </c>
      <c r="AS37" s="363">
        <f t="shared" si="15"/>
        <v>0</v>
      </c>
      <c r="AT37" s="363">
        <f t="shared" si="16"/>
        <v>0</v>
      </c>
      <c r="AU37" s="363">
        <f t="shared" si="17"/>
        <v>0</v>
      </c>
      <c r="AV37" s="363">
        <f t="shared" si="18"/>
        <v>1</v>
      </c>
      <c r="AW37" s="363">
        <f t="shared" si="19"/>
        <v>0</v>
      </c>
      <c r="AX37" s="363">
        <f t="shared" si="20"/>
        <v>0</v>
      </c>
      <c r="AY37" s="363">
        <f t="shared" si="21"/>
        <v>0</v>
      </c>
      <c r="AZ37" s="363">
        <f t="shared" si="22"/>
        <v>0</v>
      </c>
      <c r="BA37" s="363">
        <f t="shared" si="23"/>
        <v>1</v>
      </c>
      <c r="BB37" s="363">
        <f t="shared" si="24"/>
        <v>0</v>
      </c>
      <c r="BC37" s="363">
        <f t="shared" si="25"/>
        <v>0</v>
      </c>
      <c r="BD37" s="363">
        <f t="shared" si="26"/>
        <v>1</v>
      </c>
      <c r="BE37" s="363">
        <f t="shared" si="27"/>
        <v>1</v>
      </c>
      <c r="BF37" s="363">
        <f t="shared" si="28"/>
        <v>1</v>
      </c>
      <c r="BG37" s="363">
        <f t="shared" si="29"/>
        <v>1</v>
      </c>
      <c r="BH37" s="363"/>
      <c r="BI37" s="363"/>
      <c r="BJ37" s="363"/>
      <c r="BK37" s="363"/>
      <c r="BL37" s="363"/>
      <c r="BM37" s="363"/>
      <c r="BQ37" s="351" t="str">
        <f t="shared" si="33"/>
        <v/>
      </c>
      <c r="BR37" s="351" t="str">
        <f t="shared" si="33"/>
        <v/>
      </c>
      <c r="BS37" s="351" t="str">
        <f t="shared" si="33"/>
        <v/>
      </c>
      <c r="BT37" s="351" t="str">
        <f t="shared" si="33"/>
        <v/>
      </c>
      <c r="BU37" s="351" t="str">
        <f t="shared" si="33"/>
        <v/>
      </c>
    </row>
    <row r="38" spans="1:73" x14ac:dyDescent="0.25">
      <c r="A38" s="379"/>
      <c r="B38" s="379" t="str">
        <f t="shared" si="6"/>
        <v/>
      </c>
      <c r="C38" s="380"/>
      <c r="D38" s="380"/>
      <c r="E38" s="381"/>
      <c r="F38" s="385"/>
      <c r="G38" s="382"/>
      <c r="H38" s="383"/>
      <c r="I38" s="383"/>
      <c r="J38" s="383"/>
      <c r="K38" s="398" t="str">
        <f t="shared" si="7"/>
        <v/>
      </c>
      <c r="L38" s="383"/>
      <c r="M38" s="383"/>
      <c r="N38" s="383"/>
      <c r="O38" s="379" t="str">
        <f t="shared" si="8"/>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9"/>
        <v>0</v>
      </c>
      <c r="AJ38" s="351" t="str">
        <f t="shared" si="10"/>
        <v/>
      </c>
      <c r="AK38" s="351" t="str">
        <f t="shared" si="10"/>
        <v/>
      </c>
      <c r="AL38" s="363">
        <f t="shared" si="11"/>
        <v>0</v>
      </c>
      <c r="AM38" s="363">
        <f t="shared" si="30"/>
        <v>0</v>
      </c>
      <c r="AN38" s="363">
        <f t="shared" si="31"/>
        <v>1</v>
      </c>
      <c r="AO38" s="363">
        <f t="shared" si="32"/>
        <v>0</v>
      </c>
      <c r="AP38" s="363">
        <f t="shared" si="12"/>
        <v>0</v>
      </c>
      <c r="AQ38" s="363">
        <f t="shared" si="13"/>
        <v>0</v>
      </c>
      <c r="AR38" s="363">
        <f t="shared" si="14"/>
        <v>1</v>
      </c>
      <c r="AS38" s="363">
        <f t="shared" si="15"/>
        <v>0</v>
      </c>
      <c r="AT38" s="363">
        <f t="shared" si="16"/>
        <v>0</v>
      </c>
      <c r="AU38" s="363">
        <f t="shared" si="17"/>
        <v>0</v>
      </c>
      <c r="AV38" s="363">
        <f t="shared" si="18"/>
        <v>1</v>
      </c>
      <c r="AW38" s="363">
        <f t="shared" si="19"/>
        <v>0</v>
      </c>
      <c r="AX38" s="363">
        <f t="shared" si="20"/>
        <v>0</v>
      </c>
      <c r="AY38" s="363">
        <f t="shared" si="21"/>
        <v>0</v>
      </c>
      <c r="AZ38" s="363">
        <f t="shared" si="22"/>
        <v>0</v>
      </c>
      <c r="BA38" s="363">
        <f t="shared" si="23"/>
        <v>1</v>
      </c>
      <c r="BB38" s="363">
        <f t="shared" si="24"/>
        <v>0</v>
      </c>
      <c r="BC38" s="363">
        <f t="shared" si="25"/>
        <v>0</v>
      </c>
      <c r="BD38" s="363">
        <f t="shared" si="26"/>
        <v>1</v>
      </c>
      <c r="BE38" s="363">
        <f t="shared" si="27"/>
        <v>1</v>
      </c>
      <c r="BF38" s="363">
        <f t="shared" si="28"/>
        <v>1</v>
      </c>
      <c r="BG38" s="363">
        <f t="shared" si="29"/>
        <v>1</v>
      </c>
      <c r="BH38" s="363"/>
      <c r="BI38" s="363"/>
      <c r="BJ38" s="363"/>
      <c r="BK38" s="363"/>
      <c r="BL38" s="363"/>
      <c r="BM38" s="363"/>
      <c r="BQ38" s="351" t="str">
        <f t="shared" si="33"/>
        <v/>
      </c>
      <c r="BR38" s="351" t="str">
        <f t="shared" si="33"/>
        <v/>
      </c>
      <c r="BS38" s="351" t="str">
        <f t="shared" si="33"/>
        <v/>
      </c>
      <c r="BT38" s="351" t="str">
        <f t="shared" si="33"/>
        <v/>
      </c>
      <c r="BU38" s="351" t="str">
        <f t="shared" si="33"/>
        <v/>
      </c>
    </row>
    <row r="39" spans="1:73" x14ac:dyDescent="0.25">
      <c r="A39" s="379"/>
      <c r="B39" s="379" t="str">
        <f t="shared" si="6"/>
        <v/>
      </c>
      <c r="C39" s="380"/>
      <c r="D39" s="380"/>
      <c r="E39" s="381"/>
      <c r="F39" s="385"/>
      <c r="G39" s="382"/>
      <c r="H39" s="383"/>
      <c r="I39" s="383"/>
      <c r="J39" s="383"/>
      <c r="K39" s="398" t="str">
        <f t="shared" si="7"/>
        <v/>
      </c>
      <c r="L39" s="383"/>
      <c r="M39" s="383"/>
      <c r="N39" s="383"/>
      <c r="O39" s="379" t="str">
        <f t="shared" si="8"/>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9"/>
        <v>0</v>
      </c>
      <c r="AJ39" s="351" t="str">
        <f t="shared" si="10"/>
        <v/>
      </c>
      <c r="AK39" s="351" t="str">
        <f t="shared" si="10"/>
        <v/>
      </c>
      <c r="AL39" s="363">
        <f t="shared" si="11"/>
        <v>0</v>
      </c>
      <c r="AM39" s="363">
        <f t="shared" si="30"/>
        <v>0</v>
      </c>
      <c r="AN39" s="363">
        <f t="shared" si="31"/>
        <v>1</v>
      </c>
      <c r="AO39" s="363">
        <f t="shared" si="32"/>
        <v>0</v>
      </c>
      <c r="AP39" s="363">
        <f t="shared" si="12"/>
        <v>0</v>
      </c>
      <c r="AQ39" s="363">
        <f t="shared" si="13"/>
        <v>0</v>
      </c>
      <c r="AR39" s="363">
        <f t="shared" si="14"/>
        <v>1</v>
      </c>
      <c r="AS39" s="363">
        <f t="shared" si="15"/>
        <v>0</v>
      </c>
      <c r="AT39" s="363">
        <f t="shared" si="16"/>
        <v>0</v>
      </c>
      <c r="AU39" s="363">
        <f t="shared" si="17"/>
        <v>0</v>
      </c>
      <c r="AV39" s="363">
        <f t="shared" si="18"/>
        <v>1</v>
      </c>
      <c r="AW39" s="363">
        <f t="shared" si="19"/>
        <v>0</v>
      </c>
      <c r="AX39" s="363">
        <f t="shared" si="20"/>
        <v>0</v>
      </c>
      <c r="AY39" s="363">
        <f t="shared" si="21"/>
        <v>0</v>
      </c>
      <c r="AZ39" s="363">
        <f t="shared" si="22"/>
        <v>0</v>
      </c>
      <c r="BA39" s="363">
        <f t="shared" si="23"/>
        <v>1</v>
      </c>
      <c r="BB39" s="363">
        <f t="shared" si="24"/>
        <v>0</v>
      </c>
      <c r="BC39" s="363">
        <f t="shared" si="25"/>
        <v>0</v>
      </c>
      <c r="BD39" s="363">
        <f t="shared" si="26"/>
        <v>1</v>
      </c>
      <c r="BE39" s="363">
        <f t="shared" si="27"/>
        <v>1</v>
      </c>
      <c r="BF39" s="363">
        <f t="shared" si="28"/>
        <v>1</v>
      </c>
      <c r="BG39" s="363">
        <f t="shared" si="29"/>
        <v>1</v>
      </c>
      <c r="BH39" s="363"/>
      <c r="BI39" s="363"/>
      <c r="BJ39" s="363"/>
      <c r="BK39" s="363"/>
      <c r="BL39" s="363"/>
      <c r="BM39" s="363"/>
      <c r="BQ39" s="351" t="str">
        <f t="shared" si="33"/>
        <v/>
      </c>
      <c r="BR39" s="351" t="str">
        <f t="shared" si="33"/>
        <v/>
      </c>
      <c r="BS39" s="351" t="str">
        <f t="shared" si="33"/>
        <v/>
      </c>
      <c r="BT39" s="351" t="str">
        <f t="shared" si="33"/>
        <v/>
      </c>
      <c r="BU39" s="351" t="str">
        <f t="shared" si="33"/>
        <v/>
      </c>
    </row>
    <row r="40" spans="1:73" x14ac:dyDescent="0.25">
      <c r="A40" s="379"/>
      <c r="B40" s="379" t="str">
        <f t="shared" si="6"/>
        <v/>
      </c>
      <c r="C40" s="380"/>
      <c r="D40" s="380"/>
      <c r="E40" s="381"/>
      <c r="F40" s="385"/>
      <c r="G40" s="382"/>
      <c r="H40" s="383"/>
      <c r="I40" s="383"/>
      <c r="J40" s="383"/>
      <c r="K40" s="398" t="str">
        <f t="shared" si="7"/>
        <v/>
      </c>
      <c r="L40" s="383"/>
      <c r="M40" s="383"/>
      <c r="N40" s="383"/>
      <c r="O40" s="379" t="str">
        <f t="shared" si="8"/>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9"/>
        <v>0</v>
      </c>
      <c r="AJ40" s="351" t="str">
        <f t="shared" si="10"/>
        <v/>
      </c>
      <c r="AK40" s="351" t="str">
        <f t="shared" si="10"/>
        <v/>
      </c>
      <c r="AL40" s="363">
        <f t="shared" si="11"/>
        <v>0</v>
      </c>
      <c r="AM40" s="363">
        <f t="shared" si="30"/>
        <v>0</v>
      </c>
      <c r="AN40" s="363">
        <f t="shared" si="31"/>
        <v>1</v>
      </c>
      <c r="AO40" s="363">
        <f t="shared" si="32"/>
        <v>0</v>
      </c>
      <c r="AP40" s="363">
        <f t="shared" si="12"/>
        <v>0</v>
      </c>
      <c r="AQ40" s="363">
        <f t="shared" si="13"/>
        <v>0</v>
      </c>
      <c r="AR40" s="363">
        <f t="shared" si="14"/>
        <v>1</v>
      </c>
      <c r="AS40" s="363">
        <f t="shared" si="15"/>
        <v>0</v>
      </c>
      <c r="AT40" s="363">
        <f t="shared" si="16"/>
        <v>0</v>
      </c>
      <c r="AU40" s="363">
        <f t="shared" si="17"/>
        <v>0</v>
      </c>
      <c r="AV40" s="363">
        <f t="shared" si="18"/>
        <v>1</v>
      </c>
      <c r="AW40" s="363">
        <f t="shared" si="19"/>
        <v>0</v>
      </c>
      <c r="AX40" s="363">
        <f t="shared" si="20"/>
        <v>0</v>
      </c>
      <c r="AY40" s="363">
        <f t="shared" si="21"/>
        <v>0</v>
      </c>
      <c r="AZ40" s="363">
        <f t="shared" si="22"/>
        <v>0</v>
      </c>
      <c r="BA40" s="363">
        <f t="shared" si="23"/>
        <v>1</v>
      </c>
      <c r="BB40" s="363">
        <f t="shared" si="24"/>
        <v>0</v>
      </c>
      <c r="BC40" s="363">
        <f t="shared" si="25"/>
        <v>0</v>
      </c>
      <c r="BD40" s="363">
        <f t="shared" si="26"/>
        <v>1</v>
      </c>
      <c r="BE40" s="363">
        <f t="shared" si="27"/>
        <v>1</v>
      </c>
      <c r="BF40" s="363">
        <f t="shared" si="28"/>
        <v>1</v>
      </c>
      <c r="BG40" s="363">
        <f t="shared" si="29"/>
        <v>1</v>
      </c>
      <c r="BH40" s="363"/>
      <c r="BI40" s="363"/>
      <c r="BJ40" s="363"/>
      <c r="BK40" s="363"/>
      <c r="BL40" s="363"/>
      <c r="BM40" s="363"/>
      <c r="BQ40" s="351" t="str">
        <f t="shared" si="33"/>
        <v/>
      </c>
      <c r="BR40" s="351" t="str">
        <f t="shared" si="33"/>
        <v/>
      </c>
      <c r="BS40" s="351" t="str">
        <f t="shared" si="33"/>
        <v/>
      </c>
      <c r="BT40" s="351" t="str">
        <f t="shared" si="33"/>
        <v/>
      </c>
      <c r="BU40" s="351" t="str">
        <f t="shared" si="33"/>
        <v/>
      </c>
    </row>
    <row r="41" spans="1:73" x14ac:dyDescent="0.25">
      <c r="A41" s="379"/>
      <c r="B41" s="379" t="str">
        <f t="shared" si="6"/>
        <v/>
      </c>
      <c r="C41" s="380"/>
      <c r="D41" s="380"/>
      <c r="E41" s="381"/>
      <c r="F41" s="385"/>
      <c r="G41" s="382"/>
      <c r="H41" s="383"/>
      <c r="I41" s="383"/>
      <c r="J41" s="383"/>
      <c r="K41" s="398" t="str">
        <f t="shared" si="7"/>
        <v/>
      </c>
      <c r="L41" s="383"/>
      <c r="M41" s="383"/>
      <c r="N41" s="383"/>
      <c r="O41" s="379" t="str">
        <f t="shared" si="8"/>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9"/>
        <v>0</v>
      </c>
      <c r="AJ41" s="351" t="str">
        <f t="shared" si="10"/>
        <v/>
      </c>
      <c r="AK41" s="351" t="str">
        <f t="shared" si="10"/>
        <v/>
      </c>
      <c r="AL41" s="363">
        <f t="shared" si="11"/>
        <v>0</v>
      </c>
      <c r="AM41" s="363">
        <f t="shared" si="30"/>
        <v>0</v>
      </c>
      <c r="AN41" s="363">
        <f t="shared" si="31"/>
        <v>1</v>
      </c>
      <c r="AO41" s="363">
        <f t="shared" si="32"/>
        <v>0</v>
      </c>
      <c r="AP41" s="363">
        <f t="shared" si="12"/>
        <v>0</v>
      </c>
      <c r="AQ41" s="363">
        <f t="shared" si="13"/>
        <v>0</v>
      </c>
      <c r="AR41" s="363">
        <f t="shared" si="14"/>
        <v>1</v>
      </c>
      <c r="AS41" s="363">
        <f t="shared" si="15"/>
        <v>0</v>
      </c>
      <c r="AT41" s="363">
        <f t="shared" si="16"/>
        <v>0</v>
      </c>
      <c r="AU41" s="363">
        <f t="shared" si="17"/>
        <v>0</v>
      </c>
      <c r="AV41" s="363">
        <f t="shared" si="18"/>
        <v>1</v>
      </c>
      <c r="AW41" s="363">
        <f t="shared" si="19"/>
        <v>0</v>
      </c>
      <c r="AX41" s="363">
        <f t="shared" si="20"/>
        <v>0</v>
      </c>
      <c r="AY41" s="363">
        <f t="shared" si="21"/>
        <v>0</v>
      </c>
      <c r="AZ41" s="363">
        <f t="shared" si="22"/>
        <v>0</v>
      </c>
      <c r="BA41" s="363">
        <f t="shared" si="23"/>
        <v>1</v>
      </c>
      <c r="BB41" s="363">
        <f t="shared" si="24"/>
        <v>0</v>
      </c>
      <c r="BC41" s="363">
        <f t="shared" si="25"/>
        <v>0</v>
      </c>
      <c r="BD41" s="363">
        <f t="shared" si="26"/>
        <v>1</v>
      </c>
      <c r="BE41" s="363">
        <f t="shared" si="27"/>
        <v>1</v>
      </c>
      <c r="BF41" s="363">
        <f t="shared" si="28"/>
        <v>1</v>
      </c>
      <c r="BG41" s="363">
        <f t="shared" si="29"/>
        <v>1</v>
      </c>
      <c r="BH41" s="363"/>
      <c r="BI41" s="363"/>
      <c r="BJ41" s="363"/>
      <c r="BK41" s="363"/>
      <c r="BL41" s="363"/>
      <c r="BM41" s="363"/>
      <c r="BQ41" s="351" t="str">
        <f t="shared" si="33"/>
        <v/>
      </c>
      <c r="BR41" s="351" t="str">
        <f t="shared" si="33"/>
        <v/>
      </c>
      <c r="BS41" s="351" t="str">
        <f t="shared" si="33"/>
        <v/>
      </c>
      <c r="BT41" s="351" t="str">
        <f t="shared" si="33"/>
        <v/>
      </c>
      <c r="BU41" s="351" t="str">
        <f t="shared" si="33"/>
        <v/>
      </c>
    </row>
    <row r="42" spans="1:73" x14ac:dyDescent="0.25">
      <c r="A42" s="379"/>
      <c r="B42" s="379" t="str">
        <f t="shared" si="6"/>
        <v/>
      </c>
      <c r="C42" s="380"/>
      <c r="D42" s="380"/>
      <c r="E42" s="381"/>
      <c r="F42" s="385"/>
      <c r="G42" s="382"/>
      <c r="H42" s="383"/>
      <c r="I42" s="383"/>
      <c r="J42" s="383"/>
      <c r="K42" s="398" t="str">
        <f t="shared" si="7"/>
        <v/>
      </c>
      <c r="L42" s="383"/>
      <c r="M42" s="383"/>
      <c r="N42" s="383"/>
      <c r="O42" s="379" t="str">
        <f t="shared" si="8"/>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9"/>
        <v>0</v>
      </c>
      <c r="AJ42" s="351" t="str">
        <f t="shared" si="10"/>
        <v/>
      </c>
      <c r="AK42" s="351" t="str">
        <f t="shared" si="10"/>
        <v/>
      </c>
      <c r="AL42" s="363">
        <f t="shared" si="11"/>
        <v>0</v>
      </c>
      <c r="AM42" s="363">
        <f t="shared" si="30"/>
        <v>0</v>
      </c>
      <c r="AN42" s="363">
        <f t="shared" si="31"/>
        <v>1</v>
      </c>
      <c r="AO42" s="363">
        <f t="shared" si="32"/>
        <v>0</v>
      </c>
      <c r="AP42" s="363">
        <f t="shared" si="12"/>
        <v>0</v>
      </c>
      <c r="AQ42" s="363">
        <f t="shared" si="13"/>
        <v>0</v>
      </c>
      <c r="AR42" s="363">
        <f t="shared" si="14"/>
        <v>1</v>
      </c>
      <c r="AS42" s="363">
        <f t="shared" si="15"/>
        <v>0</v>
      </c>
      <c r="AT42" s="363">
        <f t="shared" si="16"/>
        <v>0</v>
      </c>
      <c r="AU42" s="363">
        <f t="shared" si="17"/>
        <v>0</v>
      </c>
      <c r="AV42" s="363">
        <f t="shared" si="18"/>
        <v>1</v>
      </c>
      <c r="AW42" s="363">
        <f t="shared" si="19"/>
        <v>0</v>
      </c>
      <c r="AX42" s="363">
        <f t="shared" si="20"/>
        <v>0</v>
      </c>
      <c r="AY42" s="363">
        <f t="shared" si="21"/>
        <v>0</v>
      </c>
      <c r="AZ42" s="363">
        <f t="shared" si="22"/>
        <v>0</v>
      </c>
      <c r="BA42" s="363">
        <f t="shared" si="23"/>
        <v>1</v>
      </c>
      <c r="BB42" s="363">
        <f t="shared" si="24"/>
        <v>0</v>
      </c>
      <c r="BC42" s="363">
        <f t="shared" si="25"/>
        <v>0</v>
      </c>
      <c r="BD42" s="363">
        <f t="shared" si="26"/>
        <v>1</v>
      </c>
      <c r="BE42" s="363">
        <f t="shared" si="27"/>
        <v>1</v>
      </c>
      <c r="BF42" s="363">
        <f t="shared" si="28"/>
        <v>1</v>
      </c>
      <c r="BG42" s="363">
        <f t="shared" si="29"/>
        <v>1</v>
      </c>
      <c r="BH42" s="363"/>
      <c r="BI42" s="363"/>
      <c r="BJ42" s="363"/>
      <c r="BK42" s="363"/>
      <c r="BL42" s="363"/>
      <c r="BM42" s="363"/>
      <c r="BQ42" s="351" t="str">
        <f t="shared" si="33"/>
        <v/>
      </c>
      <c r="BR42" s="351" t="str">
        <f t="shared" si="33"/>
        <v/>
      </c>
      <c r="BS42" s="351" t="str">
        <f t="shared" si="33"/>
        <v/>
      </c>
      <c r="BT42" s="351" t="str">
        <f t="shared" si="33"/>
        <v/>
      </c>
      <c r="BU42" s="351" t="str">
        <f t="shared" si="33"/>
        <v/>
      </c>
    </row>
    <row r="43" spans="1:73" x14ac:dyDescent="0.25">
      <c r="A43" s="379"/>
      <c r="B43" s="379" t="str">
        <f t="shared" si="6"/>
        <v/>
      </c>
      <c r="C43" s="380"/>
      <c r="D43" s="380"/>
      <c r="E43" s="381"/>
      <c r="F43" s="385"/>
      <c r="G43" s="382"/>
      <c r="H43" s="383"/>
      <c r="I43" s="383"/>
      <c r="J43" s="383"/>
      <c r="K43" s="398" t="str">
        <f t="shared" si="7"/>
        <v/>
      </c>
      <c r="L43" s="383"/>
      <c r="M43" s="383"/>
      <c r="N43" s="383"/>
      <c r="O43" s="379" t="str">
        <f t="shared" si="8"/>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9"/>
        <v>0</v>
      </c>
      <c r="AJ43" s="351" t="str">
        <f t="shared" si="10"/>
        <v/>
      </c>
      <c r="AK43" s="351" t="str">
        <f t="shared" si="10"/>
        <v/>
      </c>
      <c r="AL43" s="363">
        <f t="shared" si="11"/>
        <v>0</v>
      </c>
      <c r="AM43" s="363">
        <f t="shared" si="30"/>
        <v>0</v>
      </c>
      <c r="AN43" s="363">
        <f t="shared" si="31"/>
        <v>1</v>
      </c>
      <c r="AO43" s="363">
        <f t="shared" si="32"/>
        <v>0</v>
      </c>
      <c r="AP43" s="363">
        <f t="shared" si="12"/>
        <v>0</v>
      </c>
      <c r="AQ43" s="363">
        <f t="shared" si="13"/>
        <v>0</v>
      </c>
      <c r="AR43" s="363">
        <f t="shared" si="14"/>
        <v>1</v>
      </c>
      <c r="AS43" s="363">
        <f t="shared" si="15"/>
        <v>0</v>
      </c>
      <c r="AT43" s="363">
        <f t="shared" si="16"/>
        <v>0</v>
      </c>
      <c r="AU43" s="363">
        <f t="shared" si="17"/>
        <v>0</v>
      </c>
      <c r="AV43" s="363">
        <f t="shared" si="18"/>
        <v>1</v>
      </c>
      <c r="AW43" s="363">
        <f t="shared" si="19"/>
        <v>0</v>
      </c>
      <c r="AX43" s="363">
        <f t="shared" si="20"/>
        <v>0</v>
      </c>
      <c r="AY43" s="363">
        <f t="shared" si="21"/>
        <v>0</v>
      </c>
      <c r="AZ43" s="363">
        <f t="shared" si="22"/>
        <v>0</v>
      </c>
      <c r="BA43" s="363">
        <f t="shared" si="23"/>
        <v>1</v>
      </c>
      <c r="BB43" s="363">
        <f t="shared" si="24"/>
        <v>0</v>
      </c>
      <c r="BC43" s="363">
        <f t="shared" si="25"/>
        <v>0</v>
      </c>
      <c r="BD43" s="363">
        <f t="shared" si="26"/>
        <v>1</v>
      </c>
      <c r="BE43" s="363">
        <f t="shared" si="27"/>
        <v>1</v>
      </c>
      <c r="BF43" s="363">
        <f t="shared" si="28"/>
        <v>1</v>
      </c>
      <c r="BG43" s="363">
        <f t="shared" si="29"/>
        <v>1</v>
      </c>
      <c r="BH43" s="363"/>
      <c r="BI43" s="363"/>
      <c r="BJ43" s="363"/>
      <c r="BK43" s="363"/>
      <c r="BL43" s="363"/>
      <c r="BM43" s="363"/>
      <c r="BQ43" s="351" t="str">
        <f t="shared" si="33"/>
        <v/>
      </c>
      <c r="BR43" s="351" t="str">
        <f t="shared" si="33"/>
        <v/>
      </c>
      <c r="BS43" s="351" t="str">
        <f t="shared" si="33"/>
        <v/>
      </c>
      <c r="BT43" s="351" t="str">
        <f t="shared" si="33"/>
        <v/>
      </c>
      <c r="BU43" s="351" t="str">
        <f t="shared" si="33"/>
        <v/>
      </c>
    </row>
    <row r="44" spans="1:73" ht="16.5" thickBot="1" x14ac:dyDescent="0.3">
      <c r="A44" s="379"/>
      <c r="B44" s="379" t="str">
        <f t="shared" si="6"/>
        <v/>
      </c>
      <c r="C44" s="380"/>
      <c r="D44" s="380"/>
      <c r="E44" s="381"/>
      <c r="F44" s="385"/>
      <c r="G44" s="382"/>
      <c r="H44" s="383"/>
      <c r="I44" s="383"/>
      <c r="J44" s="383"/>
      <c r="K44" s="398" t="str">
        <f t="shared" si="7"/>
        <v/>
      </c>
      <c r="L44" s="383"/>
      <c r="M44" s="383"/>
      <c r="N44" s="383"/>
      <c r="O44" s="379" t="str">
        <f t="shared" si="8"/>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9"/>
        <v>0</v>
      </c>
      <c r="AJ44" s="351" t="str">
        <f t="shared" si="10"/>
        <v/>
      </c>
      <c r="AK44" s="351" t="str">
        <f t="shared" si="10"/>
        <v/>
      </c>
      <c r="AL44" s="363">
        <f t="shared" si="11"/>
        <v>0</v>
      </c>
      <c r="AM44" s="363">
        <f t="shared" si="30"/>
        <v>0</v>
      </c>
      <c r="AN44" s="363">
        <f t="shared" si="31"/>
        <v>1</v>
      </c>
      <c r="AO44" s="363">
        <f t="shared" si="32"/>
        <v>0</v>
      </c>
      <c r="AP44" s="363">
        <f t="shared" si="12"/>
        <v>0</v>
      </c>
      <c r="AQ44" s="363">
        <f t="shared" si="13"/>
        <v>0</v>
      </c>
      <c r="AR44" s="363">
        <f t="shared" si="14"/>
        <v>1</v>
      </c>
      <c r="AS44" s="363">
        <f t="shared" si="15"/>
        <v>0</v>
      </c>
      <c r="AT44" s="363">
        <f t="shared" si="16"/>
        <v>0</v>
      </c>
      <c r="AU44" s="363">
        <f t="shared" si="17"/>
        <v>0</v>
      </c>
      <c r="AV44" s="363">
        <f t="shared" si="18"/>
        <v>1</v>
      </c>
      <c r="AW44" s="363">
        <f t="shared" si="19"/>
        <v>0</v>
      </c>
      <c r="AX44" s="363">
        <f t="shared" si="20"/>
        <v>0</v>
      </c>
      <c r="AY44" s="363">
        <f t="shared" si="21"/>
        <v>0</v>
      </c>
      <c r="AZ44" s="363">
        <f t="shared" si="22"/>
        <v>0</v>
      </c>
      <c r="BA44" s="363">
        <f t="shared" si="23"/>
        <v>1</v>
      </c>
      <c r="BB44" s="363">
        <f t="shared" si="24"/>
        <v>0</v>
      </c>
      <c r="BC44" s="363">
        <f t="shared" si="25"/>
        <v>0</v>
      </c>
      <c r="BD44" s="363">
        <f t="shared" si="26"/>
        <v>1</v>
      </c>
      <c r="BE44" s="363">
        <f t="shared" si="27"/>
        <v>1</v>
      </c>
      <c r="BF44" s="363">
        <f t="shared" si="28"/>
        <v>1</v>
      </c>
      <c r="BG44" s="363">
        <f t="shared" si="29"/>
        <v>1</v>
      </c>
      <c r="BH44" s="363"/>
      <c r="BI44" s="363"/>
      <c r="BJ44" s="363"/>
      <c r="BK44" s="363"/>
      <c r="BL44" s="363"/>
      <c r="BM44" s="363"/>
      <c r="BQ44" s="351" t="str">
        <f t="shared" si="33"/>
        <v/>
      </c>
      <c r="BR44" s="351" t="str">
        <f t="shared" si="33"/>
        <v/>
      </c>
      <c r="BS44" s="351" t="str">
        <f t="shared" si="33"/>
        <v/>
      </c>
      <c r="BT44" s="351" t="str">
        <f t="shared" si="33"/>
        <v/>
      </c>
      <c r="BU44" s="351" t="str">
        <f t="shared" si="33"/>
        <v/>
      </c>
    </row>
    <row r="45" spans="1:73" ht="19.5" thickBot="1" x14ac:dyDescent="0.35">
      <c r="B45" s="705" t="s">
        <v>54</v>
      </c>
      <c r="C45" s="706"/>
      <c r="D45" s="706"/>
      <c r="E45" s="706"/>
      <c r="F45" s="689"/>
      <c r="G45" s="387"/>
      <c r="H45" s="387">
        <f>SUM(H15:H44)</f>
        <v>158</v>
      </c>
      <c r="I45" s="387">
        <f>SUM(I15:I44)</f>
        <v>197</v>
      </c>
      <c r="J45" s="387">
        <f>SUM(J15:J44)</f>
        <v>185</v>
      </c>
      <c r="K45" s="387">
        <f>SUM(K15:K44)</f>
        <v>1.8794633642930856</v>
      </c>
      <c r="L45" s="387">
        <f>SUM(L15:L44)</f>
        <v>650</v>
      </c>
      <c r="M45" s="387"/>
      <c r="N45" s="387">
        <f>SUM(N15:N44)</f>
        <v>340</v>
      </c>
      <c r="O45" s="387">
        <f>SUM(O15:O44)</f>
        <v>1140</v>
      </c>
      <c r="P45" s="387">
        <f t="shared" ref="P45:T45" si="34">SUM(P15:P44)</f>
        <v>100</v>
      </c>
      <c r="Q45" s="387">
        <f t="shared" si="34"/>
        <v>2</v>
      </c>
      <c r="R45" s="387">
        <f t="shared" si="34"/>
        <v>2</v>
      </c>
      <c r="S45" s="387">
        <f t="shared" si="34"/>
        <v>2</v>
      </c>
      <c r="T45" s="387">
        <f t="shared" ca="1" si="34"/>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fx4038T+rKL/qrVY7ptk63Nwyxp9TWeyQknj5DyL8ZBOg4nCQ7SzECGEWLfpdbiu0Zkdg1V0/HuzK//WRpyVjQ==" saltValue="67K1tYZZl0ydCAf9RkV5pA==" spinCount="100000" sheet="1" scenarios="1" formatColumns="0" formatRows="0"/>
  <mergeCells count="17">
    <mergeCell ref="F4:H4"/>
    <mergeCell ref="F10:H10"/>
    <mergeCell ref="F11:H11"/>
    <mergeCell ref="AG13:AG14"/>
    <mergeCell ref="AE13:AE14"/>
    <mergeCell ref="AF13:AF14"/>
    <mergeCell ref="B45:F45"/>
    <mergeCell ref="W13:W14"/>
    <mergeCell ref="Y13:Y14"/>
    <mergeCell ref="AC13:AC14"/>
    <mergeCell ref="AD13:AD14"/>
    <mergeCell ref="B13:B14"/>
    <mergeCell ref="C13:C14"/>
    <mergeCell ref="D13:D14"/>
    <mergeCell ref="O13:O14"/>
    <mergeCell ref="T13:T14"/>
    <mergeCell ref="K13:K14"/>
  </mergeCells>
  <conditionalFormatting sqref="A15:E15 B16:B44">
    <cfRule type="expression" dxfId="963" priority="455" stopIfTrue="1">
      <formula>AND($E15="",A15&lt;&gt;"")</formula>
    </cfRule>
    <cfRule type="expression" dxfId="962" priority="456">
      <formula>$E15=""</formula>
    </cfRule>
    <cfRule type="expression" dxfId="961" priority="457">
      <formula>A$14&lt;&gt;""</formula>
    </cfRule>
  </conditionalFormatting>
  <conditionalFormatting sqref="A16:E44 Z15:AA15 G15:Y44 AB15:AG44 Y16:AA44">
    <cfRule type="expression" dxfId="960" priority="459" stopIfTrue="1">
      <formula>AND($E15="",A15&lt;&gt;"")</formula>
    </cfRule>
  </conditionalFormatting>
  <conditionalFormatting sqref="F15:F44">
    <cfRule type="expression" dxfId="959" priority="3" stopIfTrue="1">
      <formula>AND($E15="",F15&lt;&gt;"")</formula>
    </cfRule>
    <cfRule type="expression" dxfId="958" priority="4">
      <formula>$E15=""</formula>
    </cfRule>
    <cfRule type="expression" dxfId="957" priority="5">
      <formula>F$14&lt;&gt;""</formula>
    </cfRule>
  </conditionalFormatting>
  <conditionalFormatting sqref="G15:N44 P15:Y44 AB15:AG44 A16:E44 Y16:AA44">
    <cfRule type="expression" dxfId="956" priority="460">
      <formula>$E15=""</formula>
    </cfRule>
  </conditionalFormatting>
  <conditionalFormatting sqref="G15:Y44 AB15:AG44 A16:E44 Y16:AA44 Z15:AA15">
    <cfRule type="expression" dxfId="955" priority="461">
      <formula>A$14&lt;&gt;""</formula>
    </cfRule>
  </conditionalFormatting>
  <conditionalFormatting sqref="O15:O44">
    <cfRule type="expression" dxfId="954" priority="367">
      <formula>$E15=""</formula>
    </cfRule>
    <cfRule type="cellIs" dxfId="953" priority="370" operator="equal">
      <formula>0</formula>
    </cfRule>
  </conditionalFormatting>
  <conditionalFormatting sqref="Z15">
    <cfRule type="expression" dxfId="952" priority="444">
      <formula>$F15=""</formula>
    </cfRule>
  </conditionalFormatting>
  <conditionalFormatting sqref="AA15">
    <cfRule type="expression" dxfId="951" priority="15">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1A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1A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1A00-000002000000}">
      <formula1>$AJ$15:$AK$15</formula1>
    </dataValidation>
    <dataValidation type="list" allowBlank="1" showInputMessage="1" showErrorMessage="1" sqref="F14" xr:uid="{00000000-0002-0000-1A00-000003000000}">
      <formula1>$AO$1:$BP$1</formula1>
    </dataValidation>
    <dataValidation type="list" allowBlank="1" showInputMessage="1" showErrorMessage="1" sqref="E14 Z14:AB14 L14:N14 U14:V14 X14 G14:J14 P14:S14" xr:uid="{00000000-0002-0000-1A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1A00-000005000000}"/>
    <dataValidation type="whole" operator="greaterThanOrEqual" allowBlank="1" showInputMessage="1" showErrorMessage="1" errorTitle="נתון שגוי." error="ניתן להזין רק מספר שלם גדול או שווה ל-0." sqref="L15:N44 H15:J44" xr:uid="{00000000-0002-0000-1A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1A00-000007000000}">
      <formula1>$AN$4:$AO$4</formula1>
    </dataValidation>
    <dataValidation type="decimal" operator="greaterThanOrEqual" allowBlank="1" showInputMessage="1" showErrorMessage="1" errorTitle="נתון שגוי." error="ניתן להזין רק מספר חיובי." sqref="P15:P44" xr:uid="{00000000-0002-0000-1A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1A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58" operator="containsText" id="{72C1458E-B3FA-44C5-89D2-BB622AC0D363}">
            <xm:f>NOT(ISERROR(SEARCH($AJ$1,A15)))</xm:f>
            <xm:f>$AJ$1</xm:f>
            <x14:dxf>
              <fill>
                <patternFill>
                  <bgColor rgb="FFFF0000"/>
                </patternFill>
              </fill>
            </x14:dxf>
          </x14:cfRule>
          <xm:sqref>A15:E44</xm:sqref>
        </x14:conditionalFormatting>
        <x14:conditionalFormatting xmlns:xm="http://schemas.microsoft.com/office/excel/2006/main">
          <x14:cfRule type="containsText" priority="2" operator="containsText" id="{07961943-50FF-48CD-819F-60DCAAE363C2}">
            <xm:f>NOT(ISERROR(SEARCH($AJ$1,F15)))</xm:f>
            <xm:f>$AJ$1</xm:f>
            <x14:dxf>
              <fill>
                <patternFill>
                  <bgColor rgb="FFFF0000"/>
                </patternFill>
              </fill>
            </x14:dxf>
          </x14:cfRule>
          <xm:sqref>F15:J44</xm:sqref>
        </x14:conditionalFormatting>
        <x14:conditionalFormatting xmlns:xm="http://schemas.microsoft.com/office/excel/2006/main">
          <x14:cfRule type="containsText" priority="369" operator="containsText" id="{8F3D970C-5691-4EF0-BF49-40B4075FD963}">
            <xm:f>NOT(ISERROR(SEARCH($AJ$1,I15)))</xm:f>
            <xm:f>$AJ$1</xm:f>
            <x14:dxf>
              <fill>
                <patternFill>
                  <bgColor rgb="FFFF0000"/>
                </patternFill>
              </fill>
            </x14:dxf>
          </x14:cfRule>
          <xm:sqref>I15:AC44</xm:sqref>
        </x14:conditionalFormatting>
        <x14:conditionalFormatting xmlns:xm="http://schemas.microsoft.com/office/excel/2006/main">
          <x14:cfRule type="containsText" priority="9" operator="containsText" id="{B6E34FAE-21FF-4021-8E5F-5503B6E10071}">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D63802EC-714E-4A30-86CE-BE4098814297}">
            <xm:f>NOT(ISERROR(SEARCH($AJ$1,P15)))</xm:f>
            <xm:f>$AJ$1</xm:f>
            <x14:dxf>
              <fill>
                <patternFill>
                  <bgColor rgb="FFFF0000"/>
                </patternFill>
              </fill>
            </x14:dxf>
          </x14:cfRule>
          <xm:sqref>P15:Q44</xm:sqref>
        </x14:conditionalFormatting>
        <x14:conditionalFormatting xmlns:xm="http://schemas.microsoft.com/office/excel/2006/main">
          <x14:cfRule type="containsText" priority="446" operator="containsText" id="{97780C00-ED0D-43B7-99E6-77F1308E260B}">
            <xm:f>NOT(ISERROR(SEARCH($AJ$1,Z15)))</xm:f>
            <xm:f>$AJ$1</xm:f>
            <x14:dxf>
              <fill>
                <patternFill>
                  <bgColor rgb="FFFF0000"/>
                </patternFill>
              </fill>
            </x14:dxf>
          </x14:cfRule>
          <xm:sqref>Z15</xm:sqref>
        </x14:conditionalFormatting>
        <x14:conditionalFormatting xmlns:xm="http://schemas.microsoft.com/office/excel/2006/main">
          <x14:cfRule type="containsText" priority="13" operator="containsText" id="{0E234AB9-4BD2-4664-85A9-759E2DEBFC52}">
            <xm:f>NOT(ISERROR(SEARCH($AJ$1,Z16)))</xm:f>
            <xm:f>$AJ$1</xm:f>
            <x14:dxf>
              <fill>
                <patternFill>
                  <bgColor rgb="FFFF0000"/>
                </patternFill>
              </fill>
            </x14:dxf>
          </x14:cfRule>
          <xm:sqref>Z16:AA44</xm:sqref>
        </x14:conditionalFormatting>
        <x14:conditionalFormatting xmlns:xm="http://schemas.microsoft.com/office/excel/2006/main">
          <x14:cfRule type="containsText" priority="17" operator="containsText" id="{78F041EC-5AA0-4369-8A0A-5E15C8F2C0C0}">
            <xm:f>NOT(ISERROR(SEARCH($AJ$1,AA15)))</xm:f>
            <xm:f>$AJ$1</xm:f>
            <x14:dxf>
              <fill>
                <patternFill>
                  <bgColor rgb="FFFF0000"/>
                </patternFill>
              </fill>
            </x14:dxf>
          </x14:cfRule>
          <xm:sqref>AA15</xm:sqref>
        </x14:conditionalFormatting>
        <x14:conditionalFormatting xmlns:xm="http://schemas.microsoft.com/office/excel/2006/main">
          <x14:cfRule type="containsText" priority="462" operator="containsText" id="{BCE6984A-D095-4380-9C04-0E7CAFBCF72F}">
            <xm:f>NOT(ISERROR(SEARCH($AJ$1,Y15)))</xm:f>
            <xm:f>$AJ$1</xm:f>
            <x14:dxf>
              <fill>
                <patternFill>
                  <bgColor rgb="FFFF0000"/>
                </patternFill>
              </fill>
            </x14:dxf>
          </x14:cfRule>
          <xm:sqref>AD15:AG44 Y16:Y44</xm:sqref>
        </x14:conditionalFormatting>
      </x14:conditionalFormatting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גיליון17">
    <tabColor theme="8" tint="0.59999389629810485"/>
    <pageSetUpPr fitToPage="1"/>
  </sheetPr>
  <dimension ref="A1:CZ45"/>
  <sheetViews>
    <sheetView rightToLeft="1" topLeftCell="B6" zoomScale="85" zoomScaleNormal="85" workbookViewId="0">
      <selection activeCell="N18" sqref="N18"/>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5" style="351" bestFit="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יהי (אורי צבי גרינברג)</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2</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1</v>
      </c>
      <c r="K2" s="369" t="s">
        <v>326</v>
      </c>
      <c r="L2" s="401" cm="1">
        <f t="array" aca="1" ref="L2" ca="1">SUMPRODUCT(--($H$15:$H$44&lt;פרמטרים!$B$9)*($H$15:$H$44&gt;=פרמטרים!$B$8),$T$15:$T$44)</f>
        <v>2</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1</v>
      </c>
      <c r="Q2" s="401"/>
      <c r="R2" s="515" cm="1">
        <f t="array" aca="1" ref="R2" ca="1">SUMPRODUCT(L2:P2,TRANSPOSE('היקף החוברות'!D4:D8))</f>
        <v>7</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2</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2</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3</v>
      </c>
      <c r="R9" s="401">
        <f>COUNTIF(R$15:$R$44,"=1")</f>
        <v>3</v>
      </c>
      <c r="S9" s="401">
        <f>COUNTIF($S$15:$S$44,"=1")</f>
        <v>3</v>
      </c>
      <c r="T9" s="401">
        <f ca="1">COUNTIF($T$15:$T$44,"=1")</f>
        <v>3</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44835</v>
      </c>
      <c r="F15" s="385" t="s">
        <v>366</v>
      </c>
      <c r="G15" s="382"/>
      <c r="H15" s="383">
        <v>35</v>
      </c>
      <c r="I15" s="383">
        <v>21</v>
      </c>
      <c r="J15" s="383">
        <v>21</v>
      </c>
      <c r="K15" s="398">
        <f>IFERROR(J15/I15,"")</f>
        <v>1</v>
      </c>
      <c r="L15" s="383">
        <v>44</v>
      </c>
      <c r="M15" s="383">
        <v>250</v>
      </c>
      <c r="N15" s="383">
        <v>550</v>
      </c>
      <c r="O15" s="379">
        <f>IF(E15="","",L15+M15+N15)</f>
        <v>844</v>
      </c>
      <c r="P15" s="383">
        <v>30</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44896</v>
      </c>
      <c r="F16" s="385" t="s">
        <v>366</v>
      </c>
      <c r="G16" s="382"/>
      <c r="H16" s="383">
        <v>45</v>
      </c>
      <c r="I16" s="383">
        <v>15</v>
      </c>
      <c r="J16" s="383">
        <v>15</v>
      </c>
      <c r="K16" s="398">
        <f t="shared" ref="K16:K44" si="8">IFERROR(J16/I16,"")</f>
        <v>1</v>
      </c>
      <c r="L16" s="383">
        <v>48</v>
      </c>
      <c r="M16" s="383">
        <v>250</v>
      </c>
      <c r="N16" s="383">
        <v>550</v>
      </c>
      <c r="O16" s="379">
        <f t="shared" ref="O16:O44" si="9">IF(E16="","",L16+M16+N16)</f>
        <v>848</v>
      </c>
      <c r="P16" s="383">
        <v>30</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f t="shared" si="7"/>
        <v>3</v>
      </c>
      <c r="C17" s="380"/>
      <c r="D17" s="380"/>
      <c r="E17" s="381">
        <v>45047</v>
      </c>
      <c r="F17" s="385" t="s">
        <v>366</v>
      </c>
      <c r="G17" s="382"/>
      <c r="H17" s="383">
        <v>100</v>
      </c>
      <c r="I17" s="383">
        <v>1</v>
      </c>
      <c r="J17" s="383">
        <v>1</v>
      </c>
      <c r="K17" s="398">
        <f t="shared" si="8"/>
        <v>1</v>
      </c>
      <c r="L17" s="383">
        <v>44</v>
      </c>
      <c r="M17" s="383">
        <v>0</v>
      </c>
      <c r="N17" s="383">
        <v>520</v>
      </c>
      <c r="O17" s="379">
        <f t="shared" si="9"/>
        <v>564</v>
      </c>
      <c r="P17" s="383">
        <v>0</v>
      </c>
      <c r="Q17" s="382">
        <v>0</v>
      </c>
      <c r="R17" s="382">
        <v>1</v>
      </c>
      <c r="S17" s="382">
        <v>1</v>
      </c>
      <c r="T17" s="379">
        <f ca="1">IF(E17="","",IF(AI17&lt;&gt;1,$AJ$1,IF(AND(S17=1,R17=1,OR(H17&gt;=פרמטרים!$B$8,INDEX('תנאי סף'!$AF$11:$AF$50,MATCH($T$1,'תנאי סף'!$A$11:$A$50,0))),OR(O17&gt;=$H$8,INDEX('תנאי סף'!$AC$11:$AC$50,MATCH($T$1,'תנאי סף'!$A$11:$A$50,0))),INDEX('תנאי סף'!$AI$11:$AI$50,MATCH($T$1,'תנאי סף'!$A$11:$A$50,0)),COUNTA($E$15:$E$44)&gt;=$H$6),1,0)))</f>
        <v>1</v>
      </c>
      <c r="U17" s="382">
        <v>0</v>
      </c>
      <c r="V17" s="382">
        <v>0</v>
      </c>
      <c r="W17" s="379"/>
      <c r="X17" s="382"/>
      <c r="Y17" s="379"/>
      <c r="Z17" s="385"/>
      <c r="AA17" s="385"/>
      <c r="AB17" s="382"/>
      <c r="AC17" s="384"/>
      <c r="AD17" s="386"/>
      <c r="AE17" s="386"/>
      <c r="AF17" s="386"/>
      <c r="AG17" s="386"/>
      <c r="AI17" s="351">
        <f t="shared" si="10"/>
        <v>1</v>
      </c>
      <c r="AJ17" s="351">
        <f t="shared" si="11"/>
        <v>0</v>
      </c>
      <c r="AK17" s="351">
        <f t="shared" si="11"/>
        <v>1</v>
      </c>
      <c r="AL17" s="363">
        <f t="shared" si="12"/>
        <v>1</v>
      </c>
      <c r="AM17" s="363">
        <f t="shared" si="4"/>
        <v>1</v>
      </c>
      <c r="AN17" s="363">
        <f t="shared" si="4"/>
        <v>1</v>
      </c>
      <c r="AO17" s="363">
        <f t="shared" si="4"/>
        <v>1</v>
      </c>
      <c r="AP17" s="363">
        <f t="shared" si="4"/>
        <v>1</v>
      </c>
      <c r="AQ17" s="363">
        <f t="shared" si="4"/>
        <v>1</v>
      </c>
      <c r="AR17" s="363">
        <f t="shared" si="4"/>
        <v>1</v>
      </c>
      <c r="AS17" s="363">
        <f t="shared" si="4"/>
        <v>1</v>
      </c>
      <c r="AT17" s="363">
        <f t="shared" si="4"/>
        <v>1</v>
      </c>
      <c r="AU17" s="363">
        <f t="shared" si="4"/>
        <v>1</v>
      </c>
      <c r="AV17" s="363">
        <f t="shared" si="4"/>
        <v>1</v>
      </c>
      <c r="AW17" s="363">
        <f t="shared" si="4"/>
        <v>1</v>
      </c>
      <c r="AX17" s="363">
        <f t="shared" si="4"/>
        <v>1</v>
      </c>
      <c r="AY17" s="363">
        <f t="shared" si="4"/>
        <v>1</v>
      </c>
      <c r="AZ17" s="363">
        <f t="shared" si="4"/>
        <v>1</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נאותה</v>
      </c>
      <c r="BR17" s="351" t="str">
        <f t="shared" si="6"/>
        <v>לא נאותה</v>
      </c>
      <c r="BS17" s="351">
        <f t="shared" si="6"/>
        <v>0</v>
      </c>
      <c r="BT17" s="351">
        <f t="shared" si="6"/>
        <v>0</v>
      </c>
      <c r="BU17" s="351">
        <f t="shared" si="6"/>
        <v>0</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180</v>
      </c>
      <c r="I45" s="387">
        <f>SUM(I15:I44)</f>
        <v>37</v>
      </c>
      <c r="J45" s="387">
        <f>SUM(J15:J44)</f>
        <v>37</v>
      </c>
      <c r="K45" s="387">
        <f>SUM(K15:K44)</f>
        <v>3</v>
      </c>
      <c r="L45" s="387">
        <f>SUM(L15:L44)</f>
        <v>136</v>
      </c>
      <c r="M45" s="387"/>
      <c r="N45" s="387">
        <f>SUM(N15:N44)</f>
        <v>1620</v>
      </c>
      <c r="O45" s="387">
        <f>SUM(O15:O44)</f>
        <v>2256</v>
      </c>
      <c r="P45" s="387">
        <f t="shared" ref="P45:T45" si="15">SUM(P15:P44)</f>
        <v>60</v>
      </c>
      <c r="Q45" s="387"/>
      <c r="R45" s="387">
        <f t="shared" si="15"/>
        <v>3</v>
      </c>
      <c r="S45" s="387">
        <f t="shared" si="15"/>
        <v>3</v>
      </c>
      <c r="T45" s="387">
        <f t="shared" ca="1" si="15"/>
        <v>3</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h61aARJzUDG+Nz+g1pH9m0lhzcaRUkS+KVCmoTidUyHe/Xk6miPF+4Dsv6HO8eGaHQpCcEbG8Nx3AdmztZFopQ==" saltValue="C+xb3ctoLGTavyFyb2G3g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cfRule type="expression" dxfId="941" priority="2">
      <formula>$E15=""</formula>
    </cfRule>
    <cfRule type="expression" dxfId="940" priority="3">
      <formula>A$14&lt;&gt;""</formula>
    </cfRule>
    <cfRule type="expression" dxfId="939" priority="1" stopIfTrue="1">
      <formula>AND($E15="",A15&lt;&gt;"")</formula>
    </cfRule>
  </conditionalFormatting>
  <conditionalFormatting sqref="A22:E44 A16:D21 O15:O21 G22:P44 T15:AG44">
    <cfRule type="expression" dxfId="938" priority="95" stopIfTrue="1">
      <formula>AND($E15="",A15&lt;&gt;"")</formula>
    </cfRule>
  </conditionalFormatting>
  <conditionalFormatting sqref="B16:B44">
    <cfRule type="expression" dxfId="937" priority="93">
      <formula>B$14&lt;&gt;""</formula>
    </cfRule>
    <cfRule type="expression" dxfId="936" priority="92">
      <formula>$E16=""</formula>
    </cfRule>
    <cfRule type="expression" dxfId="935" priority="91" stopIfTrue="1">
      <formula>AND($E16="",B16&lt;&gt;"")</formula>
    </cfRule>
  </conditionalFormatting>
  <conditionalFormatting sqref="E15:E21 G15:K21">
    <cfRule type="expression" dxfId="934" priority="50">
      <formula>E$14&lt;&gt;""</formula>
    </cfRule>
    <cfRule type="expression" dxfId="933" priority="49">
      <formula>$E15=""</formula>
    </cfRule>
    <cfRule type="expression" dxfId="932" priority="48" stopIfTrue="1">
      <formula>AND($E15="",E15&lt;&gt;"")</formula>
    </cfRule>
  </conditionalFormatting>
  <conditionalFormatting sqref="E17">
    <cfRule type="expression" dxfId="931" priority="5">
      <formula>$E17=""</formula>
    </cfRule>
    <cfRule type="expression" dxfId="930" priority="6">
      <formula>E$14&lt;&gt;""</formula>
    </cfRule>
    <cfRule type="expression" dxfId="929" priority="4" stopIfTrue="1">
      <formula>AND($E17="",E17&lt;&gt;"")</formula>
    </cfRule>
  </conditionalFormatting>
  <conditionalFormatting sqref="F15:F44">
    <cfRule type="expression" dxfId="928" priority="37">
      <formula>F$14&lt;&gt;""</formula>
    </cfRule>
    <cfRule type="expression" dxfId="927" priority="35" stopIfTrue="1">
      <formula>AND($E15="",F15&lt;&gt;"")</formula>
    </cfRule>
    <cfRule type="expression" dxfId="926" priority="36">
      <formula>$E15=""</formula>
    </cfRule>
  </conditionalFormatting>
  <conditionalFormatting sqref="L15:N21">
    <cfRule type="expression" dxfId="925" priority="16" stopIfTrue="1">
      <formula>AND($E15="",L15&lt;&gt;"")</formula>
    </cfRule>
    <cfRule type="expression" dxfId="924" priority="18">
      <formula>L$14&lt;&gt;""</formula>
    </cfRule>
    <cfRule type="expression" dxfId="923" priority="17">
      <formula>$E15=""</formula>
    </cfRule>
  </conditionalFormatting>
  <conditionalFormatting sqref="O15:O44">
    <cfRule type="cellIs" dxfId="922" priority="71" operator="equal">
      <formula>0</formula>
    </cfRule>
  </conditionalFormatting>
  <conditionalFormatting sqref="O15:Q44">
    <cfRule type="expression" dxfId="921" priority="11">
      <formula>$E15=""</formula>
    </cfRule>
  </conditionalFormatting>
  <conditionalFormatting sqref="P15:P21 R15:S44">
    <cfRule type="expression" dxfId="920" priority="25">
      <formula>P$14&lt;&gt;""</formula>
    </cfRule>
    <cfRule type="expression" dxfId="919" priority="24">
      <formula>$E15=""</formula>
    </cfRule>
    <cfRule type="expression" dxfId="918" priority="23" stopIfTrue="1">
      <formula>AND($E15="",P15&lt;&gt;"")</formula>
    </cfRule>
  </conditionalFormatting>
  <conditionalFormatting sqref="Q15:Q44">
    <cfRule type="expression" dxfId="917" priority="10" stopIfTrue="1">
      <formula>AND($E15="",Q15&lt;&gt;"")</formula>
    </cfRule>
    <cfRule type="expression" dxfId="916" priority="12">
      <formula>Q$14&lt;&gt;""</formula>
    </cfRule>
  </conditionalFormatting>
  <conditionalFormatting sqref="T15:AG44 A16:D21 A22:E44 G22:P44 O15:O21">
    <cfRule type="expression" dxfId="915" priority="97">
      <formula>A$14&lt;&gt;""</formula>
    </cfRule>
  </conditionalFormatting>
  <conditionalFormatting sqref="Y15 T15:X44 AB15:AG44 A16:D21 Y16:AA44 A22:E44 G22:N44 P22:P44">
    <cfRule type="expression" dxfId="914" priority="96">
      <formula>$E15=""</formula>
    </cfRule>
  </conditionalFormatting>
  <conditionalFormatting sqref="Z15:AA15">
    <cfRule type="expression" dxfId="913" priority="65">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1B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1B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1B00-000002000000}">
      <formula1>0</formula1>
    </dataValidation>
    <dataValidation allowBlank="1" showInputMessage="1" showErrorMessage="1" errorTitle="נתון שגוי." error="ניתן להזין רק 0 או 1._x000a_0 = לא עומד בתנאי._x000a_1 = עומד בתנאי." sqref="K15:K44 C15:E44" xr:uid="{00000000-0002-0000-1B00-000003000000}"/>
    <dataValidation type="list" allowBlank="1" showInputMessage="1" showErrorMessage="1" sqref="E14 Z14:AB14 L14:N14 U14:V14 X14 G14:J14 P14:S14" xr:uid="{00000000-0002-0000-1B00-000004000000}">
      <formula1>$AN$1:$BP$1</formula1>
    </dataValidation>
    <dataValidation type="list" allowBlank="1" showInputMessage="1" showErrorMessage="1" sqref="F14" xr:uid="{00000000-0002-0000-1B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1B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1B00-000007000000}">
      <formula1>$CA$2:$CA$10</formula1>
    </dataValidation>
    <dataValidation operator="greaterThanOrEqual" allowBlank="1" showInputMessage="1" showErrorMessage="1" errorTitle="נתון שגוי." error="ניתן להזין רק מספר שלם גדול או שווה ל-0." sqref="O15:O44" xr:uid="{00000000-0002-0000-1B00-000008000000}"/>
    <dataValidation type="list" allowBlank="1" showInputMessage="1" showErrorMessage="1" errorTitle="נתון שגוי." error="ניתן להזין רק 0 או 1._x000a_0 = לא עומד בתנאי._x000a_1 = עומד בתנאי." sqref="Q15:S44" xr:uid="{00000000-0002-0000-1B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98" operator="containsText" id="{01D4E390-0AA6-4946-8151-E1D0BF720E72}">
            <xm:f>NOT(ISERROR(SEARCH($AJ$1,A15)))</xm:f>
            <xm:f>$AJ$1</xm:f>
            <x14:dxf>
              <fill>
                <patternFill>
                  <bgColor rgb="FFFF0000"/>
                </patternFill>
              </fill>
            </x14:dxf>
          </x14:cfRule>
          <xm:sqref>A15:D21 AD15:AG44 Y16:Y44</xm:sqref>
        </x14:conditionalFormatting>
        <x14:conditionalFormatting xmlns:xm="http://schemas.microsoft.com/office/excel/2006/main">
          <x14:cfRule type="containsText" priority="94" operator="containsText" id="{FFEED92F-C6B7-47C3-BB30-949395C818F2}">
            <xm:f>NOT(ISERROR(SEARCH($AJ$1,A22)))</xm:f>
            <xm:f>$AJ$1</xm:f>
            <x14:dxf>
              <fill>
                <patternFill>
                  <bgColor rgb="FFFF0000"/>
                </patternFill>
              </fill>
            </x14:dxf>
          </x14:cfRule>
          <xm:sqref>A22:E44</xm:sqref>
        </x14:conditionalFormatting>
        <x14:conditionalFormatting xmlns:xm="http://schemas.microsoft.com/office/excel/2006/main">
          <x14:cfRule type="containsText" priority="47" operator="containsText" id="{C438C99F-D909-4B52-847C-7AD0E86629F4}">
            <xm:f>NOT(ISERROR(SEARCH($AJ$1,E15)))</xm:f>
            <xm:f>$AJ$1</xm:f>
            <x14:dxf>
              <fill>
                <patternFill>
                  <bgColor rgb="FFFF0000"/>
                </patternFill>
              </fill>
            </x14:dxf>
          </x14:cfRule>
          <xm:sqref>E15:E21</xm:sqref>
        </x14:conditionalFormatting>
        <x14:conditionalFormatting xmlns:xm="http://schemas.microsoft.com/office/excel/2006/main">
          <x14:cfRule type="containsText" priority="19" operator="containsText" id="{B110B3FA-4FF2-43F3-8426-8CD3C01230D3}">
            <xm:f>NOT(ISERROR(SEARCH($AJ$1,F15)))</xm:f>
            <xm:f>$AJ$1</xm:f>
            <x14:dxf>
              <fill>
                <patternFill>
                  <bgColor rgb="FFFF0000"/>
                </patternFill>
              </fill>
            </x14:dxf>
          </x14:cfRule>
          <xm:sqref>F15:S44</xm:sqref>
        </x14:conditionalFormatting>
        <x14:conditionalFormatting xmlns:xm="http://schemas.microsoft.com/office/excel/2006/main">
          <x14:cfRule type="containsText" priority="13" operator="containsText" id="{4DA37148-28CB-4E8A-B5D3-A34816C4F441}">
            <xm:f>NOT(ISERROR(SEARCH($AJ$1,L15)))</xm:f>
            <xm:f>$AJ$1</xm:f>
            <x14:dxf>
              <fill>
                <patternFill>
                  <bgColor rgb="FFFF0000"/>
                </patternFill>
              </fill>
            </x14:dxf>
          </x14:cfRule>
          <xm:sqref>L15:N44</xm:sqref>
        </x14:conditionalFormatting>
        <x14:conditionalFormatting xmlns:xm="http://schemas.microsoft.com/office/excel/2006/main">
          <x14:cfRule type="containsText" priority="7" operator="containsText" id="{DCC4230E-93D9-44F6-A295-20F4CB41E200}">
            <xm:f>NOT(ISERROR(SEARCH($AJ$1,Q15)))</xm:f>
            <xm:f>$AJ$1</xm:f>
            <x14:dxf>
              <fill>
                <patternFill>
                  <bgColor rgb="FFFF0000"/>
                </patternFill>
              </fill>
            </x14:dxf>
          </x14:cfRule>
          <xm:sqref>Q15:Q44</xm:sqref>
        </x14:conditionalFormatting>
        <x14:conditionalFormatting xmlns:xm="http://schemas.microsoft.com/office/excel/2006/main">
          <x14:cfRule type="containsText" priority="67" operator="containsText" id="{60AACB16-3B13-491D-8A45-74792C03D8EE}">
            <xm:f>NOT(ISERROR(SEARCH($AJ$1,T15)))</xm:f>
            <xm:f>$AJ$1</xm:f>
            <x14:dxf>
              <fill>
                <patternFill>
                  <bgColor rgb="FFFF0000"/>
                </patternFill>
              </fill>
            </x14:dxf>
          </x14:cfRule>
          <xm:sqref>T15:AC44</xm:sqref>
        </x14:conditionalFormatting>
        <x14:conditionalFormatting xmlns:xm="http://schemas.microsoft.com/office/excel/2006/main">
          <x14:cfRule type="containsText" priority="66" operator="containsText" id="{D98C0CBD-911D-4AF0-9C26-C18010B7E3C6}">
            <xm:f>NOT(ISERROR(SEARCH($AJ$1,AA15)))</xm:f>
            <xm:f>$AJ$1</xm:f>
            <x14:dxf>
              <fill>
                <patternFill>
                  <bgColor rgb="FFFF0000"/>
                </patternFill>
              </fill>
            </x14:dxf>
          </x14:cfRule>
          <xm:sqref>AA15</xm:sqref>
        </x14:conditionalFormatting>
        <x14:conditionalFormatting xmlns:xm="http://schemas.microsoft.com/office/excel/2006/main">
          <x14:cfRule type="containsText" priority="64" operator="containsText" id="{4EDB28F2-A0C3-4D97-84E5-E6279E33BEF8}">
            <xm:f>NOT(ISERROR(SEARCH($AJ$1,AA16)))</xm:f>
            <xm:f>$AJ$1</xm:f>
            <x14:dxf>
              <fill>
                <patternFill>
                  <bgColor rgb="FFFF0000"/>
                </patternFill>
              </fill>
            </x14:dxf>
          </x14:cfRule>
          <xm:sqref>AA16:AA44</xm:sqref>
        </x14:conditionalFormatting>
      </x14:conditionalFormatting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גיליון18">
    <tabColor theme="8" tint="0.59999389629810485"/>
    <pageSetUpPr fitToPage="1"/>
  </sheetPr>
  <dimension ref="A1:CZ45"/>
  <sheetViews>
    <sheetView rightToLeft="1" topLeftCell="B1" zoomScale="85" zoomScaleNormal="85" workbookViewId="0">
      <selection activeCell="R2" sqref="R2"/>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5" style="351" bestFit="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3</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yCFPTyh0QKH8pONL4CaSVhj4Rn8KriqPEJfLcF9Bwkam1Uf4WEkGq1RuTJJu/qzWhASo4sa3Cme8lEH8+58cTg==" saltValue="xOzQCwYhr1FZ+65Zkurw9g=="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cfRule type="expression" dxfId="903" priority="38" stopIfTrue="1">
      <formula>AND($E15="",A15&lt;&gt;"")</formula>
    </cfRule>
    <cfRule type="expression" dxfId="902" priority="39">
      <formula>$E15=""</formula>
    </cfRule>
    <cfRule type="expression" dxfId="901" priority="40">
      <formula>A$14&lt;&gt;""</formula>
    </cfRule>
  </conditionalFormatting>
  <conditionalFormatting sqref="A22:E44 A16:D21 O15:O21 G22:P44 T15:AG44">
    <cfRule type="expression" dxfId="900" priority="89" stopIfTrue="1">
      <formula>AND($E15="",A15&lt;&gt;"")</formula>
    </cfRule>
  </conditionalFormatting>
  <conditionalFormatting sqref="B16:B44">
    <cfRule type="expression" dxfId="899" priority="86">
      <formula>$E16=""</formula>
    </cfRule>
    <cfRule type="expression" dxfId="898" priority="85" stopIfTrue="1">
      <formula>AND($E16="",B16&lt;&gt;"")</formula>
    </cfRule>
    <cfRule type="expression" dxfId="897" priority="87">
      <formula>B$14&lt;&gt;""</formula>
    </cfRule>
  </conditionalFormatting>
  <conditionalFormatting sqref="E15:E21">
    <cfRule type="expression" dxfId="896" priority="44">
      <formula>E$14&lt;&gt;""</formula>
    </cfRule>
    <cfRule type="expression" dxfId="895" priority="42" stopIfTrue="1">
      <formula>AND($E15="",E15&lt;&gt;"")</formula>
    </cfRule>
    <cfRule type="expression" dxfId="894" priority="43">
      <formula>$E15=""</formula>
    </cfRule>
  </conditionalFormatting>
  <conditionalFormatting sqref="F22:F44">
    <cfRule type="expression" dxfId="893" priority="51" stopIfTrue="1">
      <formula>AND($E22="",F22&lt;&gt;"")</formula>
    </cfRule>
    <cfRule type="expression" dxfId="892" priority="52">
      <formula>$E22=""</formula>
    </cfRule>
    <cfRule type="expression" dxfId="891" priority="53">
      <formula>F$14&lt;&gt;""</formula>
    </cfRule>
  </conditionalFormatting>
  <conditionalFormatting sqref="F15:N21">
    <cfRule type="expression" dxfId="890" priority="10" stopIfTrue="1">
      <formula>AND($E15="",F15&lt;&gt;"")</formula>
    </cfRule>
    <cfRule type="expression" dxfId="889" priority="12">
      <formula>F$14&lt;&gt;""</formula>
    </cfRule>
    <cfRule type="expression" dxfId="888" priority="11">
      <formula>$E15=""</formula>
    </cfRule>
  </conditionalFormatting>
  <conditionalFormatting sqref="O15:O44">
    <cfRule type="cellIs" dxfId="887" priority="65" operator="equal">
      <formula>0</formula>
    </cfRule>
  </conditionalFormatting>
  <conditionalFormatting sqref="O15:S44">
    <cfRule type="expression" dxfId="886" priority="5">
      <formula>$E15=""</formula>
    </cfRule>
  </conditionalFormatting>
  <conditionalFormatting sqref="P15:P21">
    <cfRule type="expression" dxfId="885" priority="19">
      <formula>P$14&lt;&gt;""</formula>
    </cfRule>
    <cfRule type="expression" dxfId="884" priority="18">
      <formula>$E15=""</formula>
    </cfRule>
    <cfRule type="expression" dxfId="883" priority="17" stopIfTrue="1">
      <formula>AND($E15="",P15&lt;&gt;"")</formula>
    </cfRule>
  </conditionalFormatting>
  <conditionalFormatting sqref="Q15:S44">
    <cfRule type="expression" dxfId="882" priority="4" stopIfTrue="1">
      <formula>AND($E15="",Q15&lt;&gt;"")</formula>
    </cfRule>
    <cfRule type="expression" dxfId="881" priority="6">
      <formula>Q$14&lt;&gt;""</formula>
    </cfRule>
  </conditionalFormatting>
  <conditionalFormatting sqref="T15:AG44 A16:D21 A22:E44 G22:P44 O15:O21">
    <cfRule type="expression" dxfId="880" priority="91">
      <formula>A$14&lt;&gt;""</formula>
    </cfRule>
  </conditionalFormatting>
  <conditionalFormatting sqref="Y15 T15:X44 AB15:AG44 A16:D21 Y16:AA44 A22:E44 G22:N44 P22:P44">
    <cfRule type="expression" dxfId="879" priority="90">
      <formula>$E15=""</formula>
    </cfRule>
  </conditionalFormatting>
  <conditionalFormatting sqref="Z15:AA15">
    <cfRule type="expression" dxfId="878" priority="59">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1C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1C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1C00-000002000000}">
      <formula1>0</formula1>
    </dataValidation>
    <dataValidation allowBlank="1" showInputMessage="1" showErrorMessage="1" errorTitle="נתון שגוי." error="ניתן להזין רק 0 או 1._x000a_0 = לא עומד בתנאי._x000a_1 = עומד בתנאי." sqref="K15:K44 C15:E44" xr:uid="{00000000-0002-0000-1C00-000003000000}"/>
    <dataValidation type="list" allowBlank="1" showInputMessage="1" showErrorMessage="1" sqref="E14 Z14:AB14 L14:N14 U14:V14 X14 G14:J14 P14:S14" xr:uid="{00000000-0002-0000-1C00-000004000000}">
      <formula1>$AN$1:$BP$1</formula1>
    </dataValidation>
    <dataValidation type="list" allowBlank="1" showInputMessage="1" showErrorMessage="1" sqref="F14" xr:uid="{00000000-0002-0000-1C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1C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1C00-000007000000}">
      <formula1>$CA$2:$CA$10</formula1>
    </dataValidation>
    <dataValidation operator="greaterThanOrEqual" allowBlank="1" showInputMessage="1" showErrorMessage="1" errorTitle="נתון שגוי." error="ניתן להזין רק מספר שלם גדול או שווה ל-0." sqref="O15:O44" xr:uid="{00000000-0002-0000-1C00-000008000000}"/>
    <dataValidation type="list" allowBlank="1" showInputMessage="1" showErrorMessage="1" errorTitle="נתון שגוי." error="ניתן להזין רק 0 או 1._x000a_0 = לא עומד בתנאי._x000a_1 = עומד בתנאי." sqref="Q15:S44" xr:uid="{00000000-0002-0000-1C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92" operator="containsText" id="{176AAA5C-6948-4C93-BCEE-AE3CD4C2FCD0}">
            <xm:f>NOT(ISERROR(SEARCH($AJ$1,A15)))</xm:f>
            <xm:f>$AJ$1</xm:f>
            <x14:dxf>
              <fill>
                <patternFill>
                  <bgColor rgb="FFFF0000"/>
                </patternFill>
              </fill>
            </x14:dxf>
          </x14:cfRule>
          <xm:sqref>A15:D21 AD15:AG44 Y16:Y44</xm:sqref>
        </x14:conditionalFormatting>
        <x14:conditionalFormatting xmlns:xm="http://schemas.microsoft.com/office/excel/2006/main">
          <x14:cfRule type="containsText" priority="88" operator="containsText" id="{9456432C-1222-44C9-AD62-79A831C01A6F}">
            <xm:f>NOT(ISERROR(SEARCH($AJ$1,A22)))</xm:f>
            <xm:f>$AJ$1</xm:f>
            <x14:dxf>
              <fill>
                <patternFill>
                  <bgColor rgb="FFFF0000"/>
                </patternFill>
              </fill>
            </x14:dxf>
          </x14:cfRule>
          <xm:sqref>A22:E44</xm:sqref>
        </x14:conditionalFormatting>
        <x14:conditionalFormatting xmlns:xm="http://schemas.microsoft.com/office/excel/2006/main">
          <x14:cfRule type="containsText" priority="41" operator="containsText" id="{7E9C07E5-E599-429D-8CCE-625E484249CB}">
            <xm:f>NOT(ISERROR(SEARCH($AJ$1,E15)))</xm:f>
            <xm:f>$AJ$1</xm:f>
            <x14:dxf>
              <fill>
                <patternFill>
                  <bgColor rgb="FFFF0000"/>
                </patternFill>
              </fill>
            </x14:dxf>
          </x14:cfRule>
          <xm:sqref>E15:E21</xm:sqref>
        </x14:conditionalFormatting>
        <x14:conditionalFormatting xmlns:xm="http://schemas.microsoft.com/office/excel/2006/main">
          <x14:cfRule type="containsText" priority="7" operator="containsText" id="{1A173BFE-8E45-4E8B-870A-372C1EF919D7}">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CB42DCAA-C08E-4DD2-976A-4B65B2A60F9B}">
            <xm:f>NOT(ISERROR(SEARCH($AJ$1,Q15)))</xm:f>
            <xm:f>$AJ$1</xm:f>
            <x14:dxf>
              <fill>
                <patternFill>
                  <bgColor rgb="FFFF0000"/>
                </patternFill>
              </fill>
            </x14:dxf>
          </x14:cfRule>
          <xm:sqref>Q15:S44</xm:sqref>
        </x14:conditionalFormatting>
        <x14:conditionalFormatting xmlns:xm="http://schemas.microsoft.com/office/excel/2006/main">
          <x14:cfRule type="containsText" priority="61" operator="containsText" id="{21E23CEC-AC56-4B21-AB45-5B25591D144B}">
            <xm:f>NOT(ISERROR(SEARCH($AJ$1,T15)))</xm:f>
            <xm:f>$AJ$1</xm:f>
            <x14:dxf>
              <fill>
                <patternFill>
                  <bgColor rgb="FFFF0000"/>
                </patternFill>
              </fill>
            </x14:dxf>
          </x14:cfRule>
          <xm:sqref>T15:AC44</xm:sqref>
        </x14:conditionalFormatting>
        <x14:conditionalFormatting xmlns:xm="http://schemas.microsoft.com/office/excel/2006/main">
          <x14:cfRule type="containsText" priority="60" operator="containsText" id="{BB035127-886D-4949-92FE-E0499FCD415D}">
            <xm:f>NOT(ISERROR(SEARCH($AJ$1,AA15)))</xm:f>
            <xm:f>$AJ$1</xm:f>
            <x14:dxf>
              <fill>
                <patternFill>
                  <bgColor rgb="FFFF0000"/>
                </patternFill>
              </fill>
            </x14:dxf>
          </x14:cfRule>
          <xm:sqref>AA15</xm:sqref>
        </x14:conditionalFormatting>
        <x14:conditionalFormatting xmlns:xm="http://schemas.microsoft.com/office/excel/2006/main">
          <x14:cfRule type="containsText" priority="58" operator="containsText" id="{4DFA840C-40A0-4990-B33B-8EB21A7D11CB}">
            <xm:f>NOT(ISERROR(SEARCH($AJ$1,AA16)))</xm:f>
            <xm:f>$AJ$1</xm:f>
            <x14:dxf>
              <fill>
                <patternFill>
                  <bgColor rgb="FFFF0000"/>
                </patternFill>
              </fill>
            </x14:dxf>
          </x14:cfRule>
          <xm:sqref>AA16:AA44</xm:sqref>
        </x14:conditionalFormatting>
      </x14:conditionalFormatting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גיליון19">
    <tabColor theme="8" tint="0.59999389629810485"/>
    <pageSetUpPr fitToPage="1"/>
  </sheetPr>
  <dimension ref="A1:CZ45"/>
  <sheetViews>
    <sheetView rightToLeft="1" topLeftCell="B6" zoomScale="85" zoomScaleNormal="85" workbookViewId="0">
      <selection activeCell="N18" sqref="N18"/>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5" style="351" bestFit="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דעות (ברית נאמני תורה ועבודה)</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4</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1</v>
      </c>
      <c r="K2" s="369" t="s">
        <v>326</v>
      </c>
      <c r="L2" s="401" cm="1">
        <f t="array" aca="1" ref="L2" ca="1">SUMPRODUCT(--($H$15:$H$44&lt;פרמטרים!$B$9)*($H$15:$H$44&gt;=פרמטרים!$B$8),$T$15:$T$44)</f>
        <v>0</v>
      </c>
      <c r="M2" s="401" cm="1">
        <f t="array" aca="1" ref="M2" ca="1">SUMPRODUCT(--($H$15:$H$44&lt;פרמטרים!$B$10)*($H$15:$H$44&gt;=פרמטרים!$B$8),$T$15:$T$44)-SUM($L$2:L2)</f>
        <v>3</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0</v>
      </c>
      <c r="Q2" s="401"/>
      <c r="R2" s="515" cm="1">
        <f t="array" aca="1" ref="R2" ca="1">SUMPRODUCT(L2:P2,TRANSPOSE('היקף החוברות'!D4:D8))</f>
        <v>6</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3</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3</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3</v>
      </c>
      <c r="R9" s="401">
        <f>COUNTIF(R$15:$R$44,"=1")</f>
        <v>3</v>
      </c>
      <c r="S9" s="401">
        <f>COUNTIF($S$15:$S$44,"=1")</f>
        <v>3</v>
      </c>
      <c r="T9" s="401">
        <f ca="1">COUNTIF($T$15:$T$44,"=1")</f>
        <v>3</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44835</v>
      </c>
      <c r="F15" s="385" t="s">
        <v>367</v>
      </c>
      <c r="G15" s="382"/>
      <c r="H15" s="383">
        <v>51</v>
      </c>
      <c r="I15" s="383">
        <v>11</v>
      </c>
      <c r="J15" s="383">
        <v>11</v>
      </c>
      <c r="K15" s="398">
        <f>IFERROR(J15/I15,"")</f>
        <v>1</v>
      </c>
      <c r="L15" s="383">
        <v>371</v>
      </c>
      <c r="M15" s="383">
        <v>30</v>
      </c>
      <c r="N15" s="383">
        <v>926</v>
      </c>
      <c r="O15" s="379">
        <f>IF(E15="","",L15+M15+N15)</f>
        <v>1327</v>
      </c>
      <c r="P15" s="383">
        <v>35</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45047</v>
      </c>
      <c r="F16" s="385" t="s">
        <v>367</v>
      </c>
      <c r="G16" s="382"/>
      <c r="H16" s="383">
        <v>51</v>
      </c>
      <c r="I16" s="383">
        <v>12</v>
      </c>
      <c r="J16" s="383">
        <v>12</v>
      </c>
      <c r="K16" s="398">
        <f t="shared" ref="K16:K44" si="8">IFERROR(J16/I16,"")</f>
        <v>1</v>
      </c>
      <c r="L16" s="383">
        <v>339</v>
      </c>
      <c r="M16" s="383">
        <v>12</v>
      </c>
      <c r="N16" s="383">
        <v>1021</v>
      </c>
      <c r="O16" s="379">
        <f t="shared" ref="O16:O44" si="9">IF(E16="","",L16+M16+N16)</f>
        <v>1372</v>
      </c>
      <c r="P16" s="383">
        <v>35</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f t="shared" si="7"/>
        <v>3</v>
      </c>
      <c r="C17" s="380"/>
      <c r="D17" s="380"/>
      <c r="E17" s="381">
        <v>45170</v>
      </c>
      <c r="F17" s="385" t="s">
        <v>367</v>
      </c>
      <c r="G17" s="382"/>
      <c r="H17" s="383">
        <v>55</v>
      </c>
      <c r="I17" s="383">
        <v>11</v>
      </c>
      <c r="J17" s="383">
        <v>11</v>
      </c>
      <c r="K17" s="398">
        <f t="shared" si="8"/>
        <v>1</v>
      </c>
      <c r="L17" s="383">
        <v>398</v>
      </c>
      <c r="M17" s="383">
        <v>14</v>
      </c>
      <c r="N17" s="383">
        <v>958</v>
      </c>
      <c r="O17" s="379">
        <f t="shared" si="9"/>
        <v>1370</v>
      </c>
      <c r="P17" s="383">
        <v>35</v>
      </c>
      <c r="Q17" s="382">
        <v>1</v>
      </c>
      <c r="R17" s="382">
        <v>1</v>
      </c>
      <c r="S17" s="382">
        <v>1</v>
      </c>
      <c r="T17" s="379">
        <f ca="1">IF(E17="","",IF(AI17&lt;&gt;1,$AJ$1,IF(AND(S17=1,R17=1,OR(H17&gt;=פרמטרים!$B$8,INDEX('תנאי סף'!$AF$11:$AF$50,MATCH($T$1,'תנאי סף'!$A$11:$A$50,0))),OR(O17&gt;=$H$8,INDEX('תנאי סף'!$AC$11:$AC$50,MATCH($T$1,'תנאי סף'!$A$11:$A$50,0))),INDEX('תנאי סף'!$AI$11:$AI$50,MATCH($T$1,'תנאי סף'!$A$11:$A$50,0)),COUNTA($E$15:$E$44)&gt;=$H$6),1,0)))</f>
        <v>1</v>
      </c>
      <c r="U17" s="382">
        <v>0</v>
      </c>
      <c r="V17" s="382">
        <v>0</v>
      </c>
      <c r="W17" s="379"/>
      <c r="X17" s="382"/>
      <c r="Y17" s="379"/>
      <c r="Z17" s="385"/>
      <c r="AA17" s="385"/>
      <c r="AB17" s="382"/>
      <c r="AC17" s="384"/>
      <c r="AD17" s="386"/>
      <c r="AE17" s="386"/>
      <c r="AF17" s="386"/>
      <c r="AG17" s="386"/>
      <c r="AI17" s="351">
        <f t="shared" si="10"/>
        <v>1</v>
      </c>
      <c r="AJ17" s="351">
        <f t="shared" si="11"/>
        <v>0</v>
      </c>
      <c r="AK17" s="351">
        <f t="shared" si="11"/>
        <v>1</v>
      </c>
      <c r="AL17" s="363">
        <f t="shared" si="12"/>
        <v>1</v>
      </c>
      <c r="AM17" s="363">
        <f t="shared" si="4"/>
        <v>1</v>
      </c>
      <c r="AN17" s="363">
        <f t="shared" si="4"/>
        <v>1</v>
      </c>
      <c r="AO17" s="363">
        <f t="shared" si="4"/>
        <v>1</v>
      </c>
      <c r="AP17" s="363">
        <f t="shared" si="4"/>
        <v>1</v>
      </c>
      <c r="AQ17" s="363">
        <f t="shared" si="4"/>
        <v>1</v>
      </c>
      <c r="AR17" s="363">
        <f t="shared" si="4"/>
        <v>1</v>
      </c>
      <c r="AS17" s="363">
        <f t="shared" si="4"/>
        <v>1</v>
      </c>
      <c r="AT17" s="363">
        <f t="shared" si="4"/>
        <v>1</v>
      </c>
      <c r="AU17" s="363">
        <f t="shared" si="4"/>
        <v>1</v>
      </c>
      <c r="AV17" s="363">
        <f t="shared" si="4"/>
        <v>1</v>
      </c>
      <c r="AW17" s="363">
        <f t="shared" si="4"/>
        <v>1</v>
      </c>
      <c r="AX17" s="363">
        <f t="shared" si="4"/>
        <v>1</v>
      </c>
      <c r="AY17" s="363">
        <f t="shared" si="4"/>
        <v>1</v>
      </c>
      <c r="AZ17" s="363">
        <f t="shared" si="4"/>
        <v>1</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נאותה</v>
      </c>
      <c r="BR17" s="351" t="str">
        <f t="shared" si="6"/>
        <v>לא נאותה</v>
      </c>
      <c r="BS17" s="351">
        <f t="shared" si="6"/>
        <v>0</v>
      </c>
      <c r="BT17" s="351">
        <f t="shared" si="6"/>
        <v>0</v>
      </c>
      <c r="BU17" s="351">
        <f t="shared" si="6"/>
        <v>0</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157</v>
      </c>
      <c r="I45" s="387">
        <f>SUM(I15:I44)</f>
        <v>34</v>
      </c>
      <c r="J45" s="387">
        <f>SUM(J15:J44)</f>
        <v>34</v>
      </c>
      <c r="K45" s="387">
        <f>SUM(K15:K44)</f>
        <v>3</v>
      </c>
      <c r="L45" s="387">
        <f>SUM(L15:L44)</f>
        <v>1108</v>
      </c>
      <c r="M45" s="387"/>
      <c r="N45" s="387">
        <f>SUM(N15:N44)</f>
        <v>2905</v>
      </c>
      <c r="O45" s="387">
        <f>SUM(O15:O44)</f>
        <v>4069</v>
      </c>
      <c r="P45" s="387">
        <f t="shared" ref="P45:T45" si="15">SUM(P15:P44)</f>
        <v>105</v>
      </c>
      <c r="Q45" s="387"/>
      <c r="R45" s="387">
        <f t="shared" si="15"/>
        <v>3</v>
      </c>
      <c r="S45" s="387">
        <f t="shared" si="15"/>
        <v>3</v>
      </c>
      <c r="T45" s="387">
        <f t="shared" ca="1" si="15"/>
        <v>3</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p+eFsPe8WMNXwOGNPQR3g3jih8Gm0nKmowP5ZMyzwXa6y/n9Dbp8DMnZrUujhguPnbY/ndnfhexIqTvLLkD62Q==" saltValue="yB8raYCE5HfTR8QlZCEiHg=="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869" priority="47" stopIfTrue="1">
      <formula>AND($E15="",A15&lt;&gt;"")</formula>
    </cfRule>
    <cfRule type="expression" dxfId="868" priority="48">
      <formula>$E15=""</formula>
    </cfRule>
    <cfRule type="expression" dxfId="867" priority="49">
      <formula>A$14&lt;&gt;""</formula>
    </cfRule>
  </conditionalFormatting>
  <conditionalFormatting sqref="E15:E19 A16:E44 G15:P44 T15:AG44">
    <cfRule type="expression" dxfId="866" priority="51" stopIfTrue="1">
      <formula>AND($E15="",A15&lt;&gt;"")</formula>
    </cfRule>
  </conditionalFormatting>
  <conditionalFormatting sqref="E15:E19 G15:P44 T15:AG44 A16:E44">
    <cfRule type="expression" dxfId="865" priority="53">
      <formula>A$14&lt;&gt;""</formula>
    </cfRule>
  </conditionalFormatting>
  <conditionalFormatting sqref="F15:F44">
    <cfRule type="expression" dxfId="864" priority="13" stopIfTrue="1">
      <formula>AND($E15="",F15&lt;&gt;"")</formula>
    </cfRule>
    <cfRule type="expression" dxfId="863" priority="14">
      <formula>$E15=""</formula>
    </cfRule>
    <cfRule type="expression" dxfId="862" priority="15">
      <formula>F$14&lt;&gt;""</formula>
    </cfRule>
  </conditionalFormatting>
  <conditionalFormatting sqref="O15:O44">
    <cfRule type="cellIs" dxfId="861" priority="27" operator="equal">
      <formula>0</formula>
    </cfRule>
  </conditionalFormatting>
  <conditionalFormatting sqref="O15:S44">
    <cfRule type="expression" dxfId="860" priority="10">
      <formula>$E15=""</formula>
    </cfRule>
  </conditionalFormatting>
  <conditionalFormatting sqref="Q15:Q44">
    <cfRule type="expression" dxfId="859" priority="5">
      <formula>$E15=""</formula>
    </cfRule>
    <cfRule type="expression" dxfId="858" priority="6">
      <formula>Q$14&lt;&gt;""</formula>
    </cfRule>
  </conditionalFormatting>
  <conditionalFormatting sqref="Q15:S44">
    <cfRule type="expression" dxfId="857" priority="4" stopIfTrue="1">
      <formula>AND($E15="",Q15&lt;&gt;"")</formula>
    </cfRule>
  </conditionalFormatting>
  <conditionalFormatting sqref="R15:S44">
    <cfRule type="expression" dxfId="856" priority="11">
      <formula>R$14&lt;&gt;""</formula>
    </cfRule>
  </conditionalFormatting>
  <conditionalFormatting sqref="Y15 E15:E19 G15:N44 P15:P44 T15:X44 AB15:AG44 A16:E44 Y16:AA44">
    <cfRule type="expression" dxfId="855" priority="52">
      <formula>$E15=""</formula>
    </cfRule>
  </conditionalFormatting>
  <conditionalFormatting sqref="Z15:AA15">
    <cfRule type="expression" dxfId="854"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1D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1D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1D00-000002000000}">
      <formula1>$AJ$15:$AK$15</formula1>
    </dataValidation>
    <dataValidation type="list" allowBlank="1" showInputMessage="1" showErrorMessage="1" sqref="F14" xr:uid="{00000000-0002-0000-1D00-000003000000}">
      <formula1>$AO$1:$BP$1</formula1>
    </dataValidation>
    <dataValidation type="list" allowBlank="1" showInputMessage="1" showErrorMessage="1" sqref="E14 Z14:AB14 L14:N14 U14:V14 X14 G14:J14 P14:S14" xr:uid="{00000000-0002-0000-1D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1D00-000005000000}"/>
    <dataValidation type="whole" operator="greaterThanOrEqual" allowBlank="1" showInputMessage="1" showErrorMessage="1" errorTitle="נתון שגוי." error="ניתן להזין רק מספר שלם גדול או שווה ל-0." sqref="H15:J44 L15:N44" xr:uid="{00000000-0002-0000-1D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1D00-000007000000}">
      <formula1>$AN$4:$AO$4</formula1>
    </dataValidation>
    <dataValidation type="decimal" operator="greaterThanOrEqual" allowBlank="1" showInputMessage="1" showErrorMessage="1" errorTitle="נתון שגוי." error="ניתן להזין רק מספר חיובי." sqref="P15:P44" xr:uid="{00000000-0002-0000-1D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1D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12A873BF-A6CF-4134-9060-25FF803120C8}">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DFB8A15A-E43F-4045-9F74-844B14043A5C}">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A097E0B6-1589-4499-B9BB-250FD9F964DA}">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4CE2C230-A242-4B6B-81E3-82A6BB7B6EBE}">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CE979EDE-7464-42F0-869B-AEDC1F5930A1}">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C9FC21BF-2A42-4407-9653-6CAA73A237DC}">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A933D270-C56C-409F-BFFD-F38E456B1077}">
            <xm:f>NOT(ISERROR(SEARCH($AJ$1,Y15)))</xm:f>
            <xm:f>$AJ$1</xm:f>
            <x14:dxf>
              <fill>
                <patternFill>
                  <bgColor rgb="FFFF0000"/>
                </patternFill>
              </fill>
            </x14:dxf>
          </x14:cfRule>
          <xm:sqref>AD15:AG44 Y16:Y44</xm:sqref>
        </x14:conditionalFormatting>
      </x14:conditionalFormatting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גיליון20">
    <tabColor theme="8" tint="0.59999389629810485"/>
    <pageSetUpPr fitToPage="1"/>
  </sheetPr>
  <dimension ref="A1:CZ45"/>
  <sheetViews>
    <sheetView rightToLeft="1" topLeftCell="B8" zoomScale="85" zoomScaleNormal="85" workbookViewId="0">
      <selection activeCell="S17" sqref="S17"/>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5" style="351" bestFit="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הליקון</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5</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0.78761061946902655</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3</v>
      </c>
      <c r="Q2" s="401"/>
      <c r="R2" s="515" cm="1">
        <f t="array" aca="1" ref="R2" ca="1">SUMPRODUCT(L2:P2,TRANSPOSE('היקף החוברות'!D4:D8))</f>
        <v>15</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3</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3</v>
      </c>
      <c r="R9" s="401">
        <f>COUNTIF(R$15:$R$44,"=1")</f>
        <v>3</v>
      </c>
      <c r="S9" s="401">
        <f>COUNTIF($S$15:$S$44,"=1")</f>
        <v>3</v>
      </c>
      <c r="T9" s="401">
        <f ca="1">COUNTIF($T$15:$T$44,"=1")</f>
        <v>3</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44835</v>
      </c>
      <c r="F15" s="385" t="s">
        <v>290</v>
      </c>
      <c r="G15" s="382"/>
      <c r="H15" s="383">
        <v>102</v>
      </c>
      <c r="I15" s="383">
        <v>74</v>
      </c>
      <c r="J15" s="383">
        <v>74</v>
      </c>
      <c r="K15" s="398">
        <f>IFERROR(J15/I15,"")</f>
        <v>1</v>
      </c>
      <c r="L15" s="383">
        <v>12</v>
      </c>
      <c r="M15" s="383">
        <v>42</v>
      </c>
      <c r="N15" s="383">
        <v>204</v>
      </c>
      <c r="O15" s="379">
        <f>IF(E15="","",L15+M15+N15)</f>
        <v>258</v>
      </c>
      <c r="P15" s="383">
        <v>50</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44896</v>
      </c>
      <c r="F16" s="385" t="s">
        <v>290</v>
      </c>
      <c r="G16" s="382"/>
      <c r="H16" s="383">
        <v>122</v>
      </c>
      <c r="I16" s="383">
        <v>101</v>
      </c>
      <c r="J16" s="383">
        <v>101</v>
      </c>
      <c r="K16" s="398">
        <f t="shared" ref="K16:K44" si="8">IFERROR(J16/I16,"")</f>
        <v>1</v>
      </c>
      <c r="L16" s="383">
        <v>12</v>
      </c>
      <c r="M16" s="383">
        <v>9</v>
      </c>
      <c r="N16" s="383">
        <v>204</v>
      </c>
      <c r="O16" s="379">
        <f t="shared" ref="O16:O44" si="9">IF(E16="","",L16+M16+N16)</f>
        <v>225</v>
      </c>
      <c r="P16" s="383">
        <v>50</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f t="shared" si="7"/>
        <v>3</v>
      </c>
      <c r="C17" s="380"/>
      <c r="D17" s="380"/>
      <c r="E17" s="381">
        <v>45047</v>
      </c>
      <c r="F17" s="385" t="s">
        <v>290</v>
      </c>
      <c r="G17" s="382"/>
      <c r="H17" s="383">
        <v>110</v>
      </c>
      <c r="I17" s="383">
        <v>51</v>
      </c>
      <c r="J17" s="383">
        <v>3</v>
      </c>
      <c r="K17" s="398">
        <f t="shared" si="8"/>
        <v>5.8823529411764705E-2</v>
      </c>
      <c r="L17" s="383">
        <v>12</v>
      </c>
      <c r="M17" s="383">
        <v>50</v>
      </c>
      <c r="N17" s="383">
        <v>204</v>
      </c>
      <c r="O17" s="379">
        <f t="shared" si="9"/>
        <v>266</v>
      </c>
      <c r="P17" s="383">
        <v>50</v>
      </c>
      <c r="Q17" s="382">
        <v>1</v>
      </c>
      <c r="R17" s="382">
        <v>1</v>
      </c>
      <c r="S17" s="382">
        <v>1</v>
      </c>
      <c r="T17" s="379">
        <f ca="1">IF(E17="","",IF(AI17&lt;&gt;1,$AJ$1,IF(AND(S17=1,R17=1,OR(H17&gt;=פרמטרים!$B$8,INDEX('תנאי סף'!$AF$11:$AF$50,MATCH($T$1,'תנאי סף'!$A$11:$A$50,0))),OR(O17&gt;=$H$8,INDEX('תנאי סף'!$AC$11:$AC$50,MATCH($T$1,'תנאי סף'!$A$11:$A$50,0))),INDEX('תנאי סף'!$AI$11:$AI$50,MATCH($T$1,'תנאי סף'!$A$11:$A$50,0)),COUNTA($E$15:$E$44)&gt;=$H$6),1,0)))</f>
        <v>1</v>
      </c>
      <c r="U17" s="382">
        <v>0</v>
      </c>
      <c r="V17" s="382">
        <v>0</v>
      </c>
      <c r="W17" s="379"/>
      <c r="X17" s="382"/>
      <c r="Y17" s="379"/>
      <c r="Z17" s="385"/>
      <c r="AA17" s="385"/>
      <c r="AB17" s="382"/>
      <c r="AC17" s="384"/>
      <c r="AD17" s="386"/>
      <c r="AE17" s="386"/>
      <c r="AF17" s="386"/>
      <c r="AG17" s="386"/>
      <c r="AI17" s="351">
        <f t="shared" si="10"/>
        <v>1</v>
      </c>
      <c r="AJ17" s="351">
        <f t="shared" si="11"/>
        <v>0</v>
      </c>
      <c r="AK17" s="351">
        <f t="shared" si="11"/>
        <v>1</v>
      </c>
      <c r="AL17" s="363">
        <f t="shared" si="12"/>
        <v>1</v>
      </c>
      <c r="AM17" s="363">
        <f t="shared" si="4"/>
        <v>1</v>
      </c>
      <c r="AN17" s="363">
        <f t="shared" si="4"/>
        <v>1</v>
      </c>
      <c r="AO17" s="363">
        <f t="shared" si="4"/>
        <v>1</v>
      </c>
      <c r="AP17" s="363">
        <f t="shared" si="4"/>
        <v>1</v>
      </c>
      <c r="AQ17" s="363">
        <f t="shared" si="4"/>
        <v>1</v>
      </c>
      <c r="AR17" s="363">
        <f t="shared" si="4"/>
        <v>1</v>
      </c>
      <c r="AS17" s="363">
        <f t="shared" si="4"/>
        <v>1</v>
      </c>
      <c r="AT17" s="363">
        <f t="shared" si="4"/>
        <v>1</v>
      </c>
      <c r="AU17" s="363">
        <f t="shared" si="4"/>
        <v>1</v>
      </c>
      <c r="AV17" s="363">
        <f t="shared" si="4"/>
        <v>1</v>
      </c>
      <c r="AW17" s="363">
        <f t="shared" si="4"/>
        <v>1</v>
      </c>
      <c r="AX17" s="363">
        <f t="shared" si="4"/>
        <v>1</v>
      </c>
      <c r="AY17" s="363">
        <f t="shared" si="4"/>
        <v>1</v>
      </c>
      <c r="AZ17" s="363">
        <f t="shared" si="4"/>
        <v>1</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נאותה</v>
      </c>
      <c r="BR17" s="351" t="str">
        <f t="shared" si="6"/>
        <v>לא נאותה</v>
      </c>
      <c r="BS17" s="351">
        <f t="shared" si="6"/>
        <v>0</v>
      </c>
      <c r="BT17" s="351">
        <f t="shared" si="6"/>
        <v>0</v>
      </c>
      <c r="BU17" s="351">
        <f t="shared" si="6"/>
        <v>0</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334</v>
      </c>
      <c r="I45" s="387">
        <f>SUM(I15:I44)</f>
        <v>226</v>
      </c>
      <c r="J45" s="387">
        <f>SUM(J15:J44)</f>
        <v>178</v>
      </c>
      <c r="K45" s="387">
        <f>SUM(K15:K44)</f>
        <v>2.0588235294117645</v>
      </c>
      <c r="L45" s="387">
        <f>SUM(L15:L44)</f>
        <v>36</v>
      </c>
      <c r="M45" s="387"/>
      <c r="N45" s="387">
        <f>SUM(N15:N44)</f>
        <v>612</v>
      </c>
      <c r="O45" s="387">
        <f>SUM(O15:O44)</f>
        <v>749</v>
      </c>
      <c r="P45" s="387">
        <f t="shared" ref="P45:T45" si="15">SUM(P15:P44)</f>
        <v>150</v>
      </c>
      <c r="Q45" s="387"/>
      <c r="R45" s="387">
        <f t="shared" si="15"/>
        <v>3</v>
      </c>
      <c r="S45" s="387">
        <f t="shared" si="15"/>
        <v>3</v>
      </c>
      <c r="T45" s="387">
        <f t="shared" ca="1" si="15"/>
        <v>3</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MTt5o7ZmLk5skIF0EAS6BVlFGMcPgNuBlbAlkJpmBAoeb946PNzijmucjmc88ClTX+uAiiAalQiRtO6mWehbBg==" saltValue="MJ8NXQprovQU+LcpYEYo2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846" priority="47" stopIfTrue="1">
      <formula>AND($E15="",A15&lt;&gt;"")</formula>
    </cfRule>
    <cfRule type="expression" dxfId="845" priority="48">
      <formula>$E15=""</formula>
    </cfRule>
    <cfRule type="expression" dxfId="844" priority="49">
      <formula>A$14&lt;&gt;""</formula>
    </cfRule>
  </conditionalFormatting>
  <conditionalFormatting sqref="E15:E19 A16:E44 G15:P44 T15:AG44">
    <cfRule type="expression" dxfId="843" priority="51" stopIfTrue="1">
      <formula>AND($E15="",A15&lt;&gt;"")</formula>
    </cfRule>
  </conditionalFormatting>
  <conditionalFormatting sqref="E15:E19 G15:P44 T15:AG44 A16:E44">
    <cfRule type="expression" dxfId="842" priority="53">
      <formula>A$14&lt;&gt;""</formula>
    </cfRule>
  </conditionalFormatting>
  <conditionalFormatting sqref="F15:F44">
    <cfRule type="expression" dxfId="841" priority="13" stopIfTrue="1">
      <formula>AND($E15="",F15&lt;&gt;"")</formula>
    </cfRule>
    <cfRule type="expression" dxfId="840" priority="14">
      <formula>$E15=""</formula>
    </cfRule>
    <cfRule type="expression" dxfId="839" priority="15">
      <formula>F$14&lt;&gt;""</formula>
    </cfRule>
  </conditionalFormatting>
  <conditionalFormatting sqref="O15:O44">
    <cfRule type="cellIs" dxfId="838" priority="27" operator="equal">
      <formula>0</formula>
    </cfRule>
  </conditionalFormatting>
  <conditionalFormatting sqref="O15:S44">
    <cfRule type="expression" dxfId="837" priority="10">
      <formula>$E15=""</formula>
    </cfRule>
  </conditionalFormatting>
  <conditionalFormatting sqref="Q15:Q44">
    <cfRule type="expression" dxfId="836" priority="5">
      <formula>$E15=""</formula>
    </cfRule>
    <cfRule type="expression" dxfId="835" priority="6">
      <formula>Q$14&lt;&gt;""</formula>
    </cfRule>
  </conditionalFormatting>
  <conditionalFormatting sqref="Q15:S44">
    <cfRule type="expression" dxfId="834" priority="4" stopIfTrue="1">
      <formula>AND($E15="",Q15&lt;&gt;"")</formula>
    </cfRule>
  </conditionalFormatting>
  <conditionalFormatting sqref="R15:S44">
    <cfRule type="expression" dxfId="833" priority="11">
      <formula>R$14&lt;&gt;""</formula>
    </cfRule>
  </conditionalFormatting>
  <conditionalFormatting sqref="Y15 E15:E19 G15:N44 P15:P44 T15:X44 AB15:AG44 A16:E44 Y16:AA44">
    <cfRule type="expression" dxfId="832" priority="52">
      <formula>$E15=""</formula>
    </cfRule>
  </conditionalFormatting>
  <conditionalFormatting sqref="Z15:AA15">
    <cfRule type="expression" dxfId="831"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1E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1E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1E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1E00-000003000000}"/>
    <dataValidation type="list" allowBlank="1" showInputMessage="1" showErrorMessage="1" sqref="E14 Z14:AB14 L14:N14 U14:V14 X14 G14:J14 P14:S14" xr:uid="{00000000-0002-0000-1E00-000004000000}">
      <formula1>$AN$1:$BP$1</formula1>
    </dataValidation>
    <dataValidation type="list" allowBlank="1" showInputMessage="1" showErrorMessage="1" sqref="F14" xr:uid="{00000000-0002-0000-1E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1E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1E00-000007000000}">
      <formula1>$CA$2:$CA$10</formula1>
    </dataValidation>
    <dataValidation operator="greaterThanOrEqual" allowBlank="1" showInputMessage="1" showErrorMessage="1" errorTitle="נתון שגוי." error="ניתן להזין רק מספר שלם גדול או שווה ל-0." sqref="O15:O44" xr:uid="{00000000-0002-0000-1E00-000008000000}"/>
    <dataValidation type="list" allowBlank="1" showInputMessage="1" showErrorMessage="1" errorTitle="נתון שגוי." error="ניתן להזין רק 0 או 1._x000a_0 = לא עומד בתנאי._x000a_1 = עומד בתנאי." sqref="Q15:S44" xr:uid="{00000000-0002-0000-1E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A6B0E9B7-BD33-44B1-B5C5-06E59EEB285F}">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87E02C72-F438-4E60-A98F-D24AA04BF937}">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4E37C66D-DE8B-4BFA-8CCD-F7CC1D1443F8}">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C8639727-50F6-45D3-8B18-0CDFC55D1FDA}">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C5C3F165-9B23-4CD9-AD0A-13351A1E5F4C}">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C904D506-54FC-4D82-9B3D-5D5B156A33FE}">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646168BE-3CE5-448C-B725-BCCDBBA5F651}">
            <xm:f>NOT(ISERROR(SEARCH($AJ$1,Y15)))</xm:f>
            <xm:f>$AJ$1</xm:f>
            <x14:dxf>
              <fill>
                <patternFill>
                  <bgColor rgb="FFFF0000"/>
                </patternFill>
              </fill>
            </x14:dxf>
          </x14:cfRule>
          <xm:sqref>AD15:AG44 Y16:Y44</xm:sqref>
        </x14:conditionalFormatting>
      </x14:conditionalFormatting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גיליון21">
    <tabColor theme="8" tint="0.59999389629810485"/>
    <pageSetUpPr fitToPage="1"/>
  </sheetPr>
  <dimension ref="A1:CZ45"/>
  <sheetViews>
    <sheetView rightToLeft="1" topLeftCell="B5" zoomScale="85" zoomScaleNormal="85" workbookViewId="0">
      <selection activeCell="P15" sqref="P15:S17"/>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5" style="351" bestFit="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6</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yy5WjEme9Ib/L4O8ZsPQ9vOoBTVHMWBCQbZ/NKAiljmdwfd0FPomQ1TxHlpTjF++cvj2bHKpbdFOvTXyo8dG2g==" saltValue="crCkxOSLRK5jqtRgtQC03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D15 B16:B44">
    <cfRule type="expression" dxfId="823" priority="47" stopIfTrue="1">
      <formula>AND($E15="",A15&lt;&gt;"")</formula>
    </cfRule>
    <cfRule type="expression" dxfId="822" priority="48">
      <formula>$E15=""</formula>
    </cfRule>
    <cfRule type="expression" dxfId="821" priority="49">
      <formula>A$14&lt;&gt;""</formula>
    </cfRule>
  </conditionalFormatting>
  <conditionalFormatting sqref="E15 A16:E44 G15:P44 T15:AG44">
    <cfRule type="expression" dxfId="820" priority="51" stopIfTrue="1">
      <formula>AND($E15="",A15&lt;&gt;"")</formula>
    </cfRule>
  </conditionalFormatting>
  <conditionalFormatting sqref="E15 G15:P44 T15:AG44 A16:E44">
    <cfRule type="expression" dxfId="819" priority="53">
      <formula>A$14&lt;&gt;""</formula>
    </cfRule>
  </conditionalFormatting>
  <conditionalFormatting sqref="E15 Y15 G15:N44 P15:P44 T15:X44 AB15:AG44 A16:E44 Y16:AA44">
    <cfRule type="expression" dxfId="818" priority="52">
      <formula>$E15=""</formula>
    </cfRule>
  </conditionalFormatting>
  <conditionalFormatting sqref="F15:F44">
    <cfRule type="expression" dxfId="817" priority="13" stopIfTrue="1">
      <formula>AND($E15="",F15&lt;&gt;"")</formula>
    </cfRule>
    <cfRule type="expression" dxfId="816" priority="14">
      <formula>$E15=""</formula>
    </cfRule>
    <cfRule type="expression" dxfId="815" priority="15">
      <formula>F$14&lt;&gt;""</formula>
    </cfRule>
  </conditionalFormatting>
  <conditionalFormatting sqref="O15:O44">
    <cfRule type="cellIs" dxfId="814" priority="27" operator="equal">
      <formula>0</formula>
    </cfRule>
  </conditionalFormatting>
  <conditionalFormatting sqref="O15:S44">
    <cfRule type="expression" dxfId="813" priority="10">
      <formula>$E15=""</formula>
    </cfRule>
  </conditionalFormatting>
  <conditionalFormatting sqref="Q15:Q44">
    <cfRule type="expression" dxfId="812" priority="5">
      <formula>$E15=""</formula>
    </cfRule>
    <cfRule type="expression" dxfId="811" priority="6">
      <formula>Q$14&lt;&gt;""</formula>
    </cfRule>
  </conditionalFormatting>
  <conditionalFormatting sqref="Q15:S44">
    <cfRule type="expression" dxfId="810" priority="4" stopIfTrue="1">
      <formula>AND($E15="",Q15&lt;&gt;"")</formula>
    </cfRule>
  </conditionalFormatting>
  <conditionalFormatting sqref="R15:S44">
    <cfRule type="expression" dxfId="809" priority="11">
      <formula>R$14&lt;&gt;""</formula>
    </cfRule>
  </conditionalFormatting>
  <conditionalFormatting sqref="Z15:AA15">
    <cfRule type="expression" dxfId="808"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1F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1F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1F00-000002000000}">
      <formula1>$AJ$15:$AK$15</formula1>
    </dataValidation>
    <dataValidation type="list" allowBlank="1" showInputMessage="1" showErrorMessage="1" sqref="F14" xr:uid="{00000000-0002-0000-1F00-000003000000}">
      <formula1>$AO$1:$BP$1</formula1>
    </dataValidation>
    <dataValidation type="list" allowBlank="1" showInputMessage="1" showErrorMessage="1" sqref="E14 Z14:AB14 L14:N14 U14:V14 X14 G14:J14 P14:S14" xr:uid="{00000000-0002-0000-1F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1F00-000005000000}"/>
    <dataValidation type="whole" operator="greaterThanOrEqual" allowBlank="1" showInputMessage="1" showErrorMessage="1" errorTitle="נתון שגוי." error="ניתן להזין רק מספר שלם גדול או שווה ל-0." sqref="H15:J44 L15:N44" xr:uid="{00000000-0002-0000-1F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1F00-000007000000}">
      <formula1>$AN$4:$AO$4</formula1>
    </dataValidation>
    <dataValidation type="decimal" operator="greaterThanOrEqual" allowBlank="1" showInputMessage="1" showErrorMessage="1" errorTitle="נתון שגוי." error="ניתן להזין רק מספר חיובי." sqref="P15:P44" xr:uid="{00000000-0002-0000-1F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1F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652074BB-B6FF-4CDA-9962-449F835EC932}">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2D5DEA20-3CCD-4A09-A58D-F53D3A7BD16E}">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06BF02D4-F058-4B54-8095-7E092297CF4F}">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D126BBE2-3B4E-464E-B690-5D95CC98B897}">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63A1CDE3-CEF1-47A5-B8B2-9451C15195C7}">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C204E839-04F6-401C-8C68-8B7AA982432C}">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8EA7743C-A474-4EB7-94C8-A2E82BCC0ECE}">
            <xm:f>NOT(ISERROR(SEARCH($AJ$1,Y15)))</xm:f>
            <xm:f>$AJ$1</xm:f>
            <x14:dxf>
              <fill>
                <patternFill>
                  <bgColor rgb="FFFF0000"/>
                </patternFill>
              </fill>
            </x14:dxf>
          </x14:cfRule>
          <xm:sqref>AD15:AG44 Y16:Y44</xm:sqref>
        </x14:conditionalFormatting>
      </x14:conditionalFormatting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גיליון22">
    <tabColor theme="8" tint="0.59999389629810485"/>
    <pageSetUpPr fitToPage="1"/>
  </sheetPr>
  <dimension ref="A1:CZ45"/>
  <sheetViews>
    <sheetView rightToLeft="1" topLeftCell="B8" zoomScale="85" zoomScaleNormal="85" workbookViewId="0">
      <selection activeCell="R2" sqref="R2"/>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7</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C2pW4lUyzyozlZDHccHr7Ixh3NDRS8Gyxd/rxkpFZn1iI7QnVrS/2gPPhLTffuf+6mOBwlrNdCL1sJ3EAT5xUQ==" saltValue="Co79o59CN9gh19xGldQAaQ=="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800" priority="47" stopIfTrue="1">
      <formula>AND($E15="",A15&lt;&gt;"")</formula>
    </cfRule>
    <cfRule type="expression" dxfId="799" priority="48">
      <formula>$E15=""</formula>
    </cfRule>
    <cfRule type="expression" dxfId="798" priority="49">
      <formula>A$14&lt;&gt;""</formula>
    </cfRule>
  </conditionalFormatting>
  <conditionalFormatting sqref="E15:E16 A16:E44 G15:P44 T15:AG44">
    <cfRule type="expression" dxfId="797" priority="51" stopIfTrue="1">
      <formula>AND($E15="",A15&lt;&gt;"")</formula>
    </cfRule>
  </conditionalFormatting>
  <conditionalFormatting sqref="E15:E16 G15:P44 T15:AG44 A16:E44">
    <cfRule type="expression" dxfId="796" priority="53">
      <formula>A$14&lt;&gt;""</formula>
    </cfRule>
  </conditionalFormatting>
  <conditionalFormatting sqref="F15:F44">
    <cfRule type="expression" dxfId="795" priority="13" stopIfTrue="1">
      <formula>AND($E15="",F15&lt;&gt;"")</formula>
    </cfRule>
    <cfRule type="expression" dxfId="794" priority="14">
      <formula>$E15=""</formula>
    </cfRule>
    <cfRule type="expression" dxfId="793" priority="15">
      <formula>F$14&lt;&gt;""</formula>
    </cfRule>
  </conditionalFormatting>
  <conditionalFormatting sqref="O15:O44">
    <cfRule type="cellIs" dxfId="792" priority="27" operator="equal">
      <formula>0</formula>
    </cfRule>
  </conditionalFormatting>
  <conditionalFormatting sqref="O15:S44">
    <cfRule type="expression" dxfId="791" priority="10">
      <formula>$E15=""</formula>
    </cfRule>
  </conditionalFormatting>
  <conditionalFormatting sqref="Q15:Q44">
    <cfRule type="expression" dxfId="790" priority="5">
      <formula>$E15=""</formula>
    </cfRule>
    <cfRule type="expression" dxfId="789" priority="6">
      <formula>Q$14&lt;&gt;""</formula>
    </cfRule>
  </conditionalFormatting>
  <conditionalFormatting sqref="Q15:S44">
    <cfRule type="expression" dxfId="788" priority="4" stopIfTrue="1">
      <formula>AND($E15="",Q15&lt;&gt;"")</formula>
    </cfRule>
  </conditionalFormatting>
  <conditionalFormatting sqref="R15:S44">
    <cfRule type="expression" dxfId="787" priority="11">
      <formula>R$14&lt;&gt;""</formula>
    </cfRule>
  </conditionalFormatting>
  <conditionalFormatting sqref="Y15 E15:E16 G15:N44 P15:P44 T15:X44 AB15:AG44 A16:E44 Y16:AA44">
    <cfRule type="expression" dxfId="786" priority="52">
      <formula>$E15=""</formula>
    </cfRule>
  </conditionalFormatting>
  <conditionalFormatting sqref="Z15:AA15">
    <cfRule type="expression" dxfId="785"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20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0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2000-000002000000}">
      <formula1>$AJ$15:$AK$15</formula1>
    </dataValidation>
    <dataValidation type="list" allowBlank="1" showInputMessage="1" showErrorMessage="1" sqref="F14" xr:uid="{00000000-0002-0000-2000-000003000000}">
      <formula1>$AO$1:$BP$1</formula1>
    </dataValidation>
    <dataValidation type="list" allowBlank="1" showInputMessage="1" showErrorMessage="1" sqref="E14 Z14:AB14 L14:N14 U14:V14 X14 G14:J14 P14:S14" xr:uid="{00000000-0002-0000-20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2000-000005000000}"/>
    <dataValidation type="whole" operator="greaterThanOrEqual" allowBlank="1" showInputMessage="1" showErrorMessage="1" errorTitle="נתון שגוי." error="ניתן להזין רק מספר שלם גדול או שווה ל-0." sqref="H15:J44 L15:N44" xr:uid="{00000000-0002-0000-20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000-000007000000}">
      <formula1>$AN$4:$AO$4</formula1>
    </dataValidation>
    <dataValidation type="decimal" operator="greaterThanOrEqual" allowBlank="1" showInputMessage="1" showErrorMessage="1" errorTitle="נתון שגוי." error="ניתן להזין רק מספר חיובי." sqref="P15:P44" xr:uid="{00000000-0002-0000-20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20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2CCA6215-B5B4-40B9-9885-795640D218DD}">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3BA50C6B-C886-4E7E-87E1-7F86FE485A3C}">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AB075920-87BF-462A-9F16-208B469CD8F2}">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3354A311-C99D-4C9B-B3C4-321EC5BA168F}">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7E9C1632-6AFF-400D-AC8A-64950770C801}">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964D7613-D64E-4842-A94E-61788D6D7453}">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3A0F2605-1830-48D9-A79C-2454A378CF60}">
            <xm:f>NOT(ISERROR(SEARCH($AJ$1,Y15)))</xm:f>
            <xm:f>$AJ$1</xm:f>
            <x14:dxf>
              <fill>
                <patternFill>
                  <bgColor rgb="FFFF0000"/>
                </patternFill>
              </fill>
            </x14:dxf>
          </x14:cfRule>
          <xm:sqref>AD15:AG44 Y16:Y44</xm:sqref>
        </x14:conditionalFormatting>
      </x14:conditionalFormattings>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גיליון23">
    <tabColor theme="8" tint="0.59999389629810485"/>
    <pageSetUpPr fitToPage="1"/>
  </sheetPr>
  <dimension ref="A1:CZ45"/>
  <sheetViews>
    <sheetView rightToLeft="1" topLeftCell="B6" zoomScale="85" zoomScaleNormal="85" workbookViewId="0">
      <selection activeCell="Q17" sqref="Q17:S19"/>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ננפואטיקה (עמותת מקום לשירה)</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8</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0.97289156626506024</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5</v>
      </c>
      <c r="Q2" s="401"/>
      <c r="R2" s="515" cm="1">
        <f t="array" aca="1" ref="R2" ca="1">SUMPRODUCT(L2:P2,TRANSPOSE('היקף החוברות'!D4:D8))</f>
        <v>25</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5</v>
      </c>
      <c r="Q3" s="401" cm="1">
        <f t="array" aca="1" ref="Q3" ca="1">SUMPRODUCT(--($Q$15:$Q$44=1),$T$15:$T$44)</f>
        <v>5</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5</v>
      </c>
      <c r="R9" s="401">
        <f>COUNTIF(R$15:$R$44,"=1")</f>
        <v>5</v>
      </c>
      <c r="S9" s="401">
        <f>COUNTIF($S$15:$S$44,"=1")</f>
        <v>5</v>
      </c>
      <c r="T9" s="401">
        <f ca="1">COUNTIF($T$15:$T$44,"=1")</f>
        <v>5</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44866</v>
      </c>
      <c r="F15" s="385" t="s">
        <v>368</v>
      </c>
      <c r="G15" s="382"/>
      <c r="H15" s="383">
        <v>100</v>
      </c>
      <c r="I15" s="383">
        <v>65</v>
      </c>
      <c r="J15" s="383">
        <v>60</v>
      </c>
      <c r="K15" s="398">
        <f>IFERROR(J15/I15,"")</f>
        <v>0.92307692307692313</v>
      </c>
      <c r="L15" s="383">
        <v>5</v>
      </c>
      <c r="M15" s="383">
        <v>450</v>
      </c>
      <c r="N15" s="383">
        <v>52</v>
      </c>
      <c r="O15" s="379">
        <f>IF(E15="","",L15+M15+N15)</f>
        <v>507</v>
      </c>
      <c r="P15" s="383">
        <v>25</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44896</v>
      </c>
      <c r="F16" s="385" t="s">
        <v>368</v>
      </c>
      <c r="G16" s="382"/>
      <c r="H16" s="383">
        <v>189</v>
      </c>
      <c r="I16" s="383">
        <v>79</v>
      </c>
      <c r="J16" s="383">
        <v>75</v>
      </c>
      <c r="K16" s="398">
        <f t="shared" ref="K16:K44" si="8">IFERROR(J16/I16,"")</f>
        <v>0.94936708860759489</v>
      </c>
      <c r="L16" s="383">
        <v>5</v>
      </c>
      <c r="M16" s="383">
        <v>450</v>
      </c>
      <c r="N16" s="383">
        <v>52</v>
      </c>
      <c r="O16" s="379">
        <f t="shared" ref="O16:O44" si="9">IF(E16="","",L16+M16+N16)</f>
        <v>507</v>
      </c>
      <c r="P16" s="383">
        <v>40</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f t="shared" si="7"/>
        <v>3</v>
      </c>
      <c r="C17" s="380"/>
      <c r="D17" s="380"/>
      <c r="E17" s="381">
        <v>44986</v>
      </c>
      <c r="F17" s="385" t="s">
        <v>368</v>
      </c>
      <c r="G17" s="382"/>
      <c r="H17" s="383">
        <v>148</v>
      </c>
      <c r="I17" s="383">
        <v>87</v>
      </c>
      <c r="J17" s="383">
        <v>87</v>
      </c>
      <c r="K17" s="398">
        <f t="shared" si="8"/>
        <v>1</v>
      </c>
      <c r="L17" s="383">
        <v>8</v>
      </c>
      <c r="M17" s="383">
        <v>450</v>
      </c>
      <c r="N17" s="383">
        <v>52</v>
      </c>
      <c r="O17" s="379">
        <f t="shared" si="9"/>
        <v>510</v>
      </c>
      <c r="P17" s="383">
        <v>40</v>
      </c>
      <c r="Q17" s="382">
        <v>1</v>
      </c>
      <c r="R17" s="382">
        <v>1</v>
      </c>
      <c r="S17" s="382">
        <v>1</v>
      </c>
      <c r="T17" s="379">
        <f ca="1">IF(E17="","",IF(AI17&lt;&gt;1,$AJ$1,IF(AND(S17=1,R17=1,OR(H17&gt;=פרמטרים!$B$8,INDEX('תנאי סף'!$AF$11:$AF$50,MATCH($T$1,'תנאי סף'!$A$11:$A$50,0))),OR(O17&gt;=$H$8,INDEX('תנאי סף'!$AC$11:$AC$50,MATCH($T$1,'תנאי סף'!$A$11:$A$50,0))),INDEX('תנאי סף'!$AI$11:$AI$50,MATCH($T$1,'תנאי סף'!$A$11:$A$50,0)),COUNTA($E$15:$E$44)&gt;=$H$6),1,0)))</f>
        <v>1</v>
      </c>
      <c r="U17" s="382">
        <v>0</v>
      </c>
      <c r="V17" s="382">
        <v>0</v>
      </c>
      <c r="W17" s="379"/>
      <c r="X17" s="382"/>
      <c r="Y17" s="379"/>
      <c r="Z17" s="385"/>
      <c r="AA17" s="385"/>
      <c r="AB17" s="382"/>
      <c r="AC17" s="384"/>
      <c r="AD17" s="386"/>
      <c r="AE17" s="386"/>
      <c r="AF17" s="386"/>
      <c r="AG17" s="386"/>
      <c r="AI17" s="351">
        <f t="shared" si="10"/>
        <v>1</v>
      </c>
      <c r="AJ17" s="351">
        <f t="shared" si="11"/>
        <v>0</v>
      </c>
      <c r="AK17" s="351">
        <f t="shared" si="11"/>
        <v>1</v>
      </c>
      <c r="AL17" s="363">
        <f t="shared" si="12"/>
        <v>1</v>
      </c>
      <c r="AM17" s="363">
        <f t="shared" si="4"/>
        <v>1</v>
      </c>
      <c r="AN17" s="363">
        <f t="shared" si="4"/>
        <v>1</v>
      </c>
      <c r="AO17" s="363">
        <f t="shared" si="4"/>
        <v>1</v>
      </c>
      <c r="AP17" s="363">
        <f t="shared" si="4"/>
        <v>1</v>
      </c>
      <c r="AQ17" s="363">
        <f t="shared" si="4"/>
        <v>1</v>
      </c>
      <c r="AR17" s="363">
        <f t="shared" si="4"/>
        <v>1</v>
      </c>
      <c r="AS17" s="363">
        <f t="shared" si="4"/>
        <v>1</v>
      </c>
      <c r="AT17" s="363">
        <f t="shared" si="4"/>
        <v>1</v>
      </c>
      <c r="AU17" s="363">
        <f t="shared" si="4"/>
        <v>1</v>
      </c>
      <c r="AV17" s="363">
        <f t="shared" si="4"/>
        <v>1</v>
      </c>
      <c r="AW17" s="363">
        <f t="shared" si="4"/>
        <v>1</v>
      </c>
      <c r="AX17" s="363">
        <f t="shared" si="4"/>
        <v>1</v>
      </c>
      <c r="AY17" s="363">
        <f t="shared" si="4"/>
        <v>1</v>
      </c>
      <c r="AZ17" s="363">
        <f t="shared" si="4"/>
        <v>1</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נאותה</v>
      </c>
      <c r="BR17" s="351" t="str">
        <f t="shared" si="6"/>
        <v>לא נאותה</v>
      </c>
      <c r="BS17" s="351">
        <f t="shared" si="6"/>
        <v>0</v>
      </c>
      <c r="BT17" s="351">
        <f t="shared" si="6"/>
        <v>0</v>
      </c>
      <c r="BU17" s="351">
        <f t="shared" si="6"/>
        <v>0</v>
      </c>
    </row>
    <row r="18" spans="1:73" x14ac:dyDescent="0.25">
      <c r="A18" s="379"/>
      <c r="B18" s="379">
        <f t="shared" si="7"/>
        <v>4</v>
      </c>
      <c r="C18" s="380"/>
      <c r="D18" s="380"/>
      <c r="E18" s="381">
        <v>45078</v>
      </c>
      <c r="F18" s="385" t="s">
        <v>368</v>
      </c>
      <c r="G18" s="382"/>
      <c r="H18" s="383">
        <v>112</v>
      </c>
      <c r="I18" s="383">
        <v>53</v>
      </c>
      <c r="J18" s="383">
        <v>53</v>
      </c>
      <c r="K18" s="398">
        <f t="shared" si="8"/>
        <v>1</v>
      </c>
      <c r="L18" s="383">
        <v>8</v>
      </c>
      <c r="M18" s="383">
        <v>450</v>
      </c>
      <c r="N18" s="383">
        <v>52</v>
      </c>
      <c r="O18" s="379">
        <f t="shared" si="9"/>
        <v>510</v>
      </c>
      <c r="P18" s="383">
        <v>25</v>
      </c>
      <c r="Q18" s="382">
        <v>1</v>
      </c>
      <c r="R18" s="382">
        <v>1</v>
      </c>
      <c r="S18" s="382">
        <v>1</v>
      </c>
      <c r="T18" s="379">
        <f ca="1">IF(E18="","",IF(AI18&lt;&gt;1,$AJ$1,IF(AND(S18=1,R18=1,OR(H18&gt;=פרמטרים!$B$8,INDEX('תנאי סף'!$AF$11:$AF$50,MATCH($T$1,'תנאי סף'!$A$11:$A$50,0))),OR(O18&gt;=$H$8,INDEX('תנאי סף'!$AC$11:$AC$50,MATCH($T$1,'תנאי סף'!$A$11:$A$50,0))),INDEX('תנאי סף'!$AI$11:$AI$50,MATCH($T$1,'תנאי סף'!$A$11:$A$50,0)),COUNTA($E$15:$E$44)&gt;=$H$6),1,0)))</f>
        <v>1</v>
      </c>
      <c r="U18" s="382">
        <v>0</v>
      </c>
      <c r="V18" s="382">
        <v>0</v>
      </c>
      <c r="W18" s="379"/>
      <c r="X18" s="382"/>
      <c r="Y18" s="379"/>
      <c r="Z18" s="385"/>
      <c r="AA18" s="385"/>
      <c r="AB18" s="382"/>
      <c r="AC18" s="384"/>
      <c r="AD18" s="386"/>
      <c r="AE18" s="386"/>
      <c r="AF18" s="386"/>
      <c r="AG18" s="386"/>
      <c r="AI18" s="351">
        <f t="shared" si="10"/>
        <v>1</v>
      </c>
      <c r="AJ18" s="351">
        <f t="shared" si="11"/>
        <v>0</v>
      </c>
      <c r="AK18" s="351">
        <f t="shared" si="11"/>
        <v>1</v>
      </c>
      <c r="AL18" s="363">
        <f t="shared" si="12"/>
        <v>1</v>
      </c>
      <c r="AM18" s="363">
        <f t="shared" si="4"/>
        <v>1</v>
      </c>
      <c r="AN18" s="363">
        <f t="shared" si="4"/>
        <v>1</v>
      </c>
      <c r="AO18" s="363">
        <f t="shared" si="4"/>
        <v>1</v>
      </c>
      <c r="AP18" s="363">
        <f t="shared" si="4"/>
        <v>1</v>
      </c>
      <c r="AQ18" s="363">
        <f t="shared" si="4"/>
        <v>1</v>
      </c>
      <c r="AR18" s="363">
        <f t="shared" si="4"/>
        <v>1</v>
      </c>
      <c r="AS18" s="363">
        <f t="shared" si="4"/>
        <v>1</v>
      </c>
      <c r="AT18" s="363">
        <f t="shared" si="4"/>
        <v>1</v>
      </c>
      <c r="AU18" s="363">
        <f t="shared" si="4"/>
        <v>1</v>
      </c>
      <c r="AV18" s="363">
        <f t="shared" si="4"/>
        <v>1</v>
      </c>
      <c r="AW18" s="363">
        <f t="shared" si="4"/>
        <v>1</v>
      </c>
      <c r="AX18" s="363">
        <f t="shared" si="4"/>
        <v>1</v>
      </c>
      <c r="AY18" s="363">
        <f t="shared" si="4"/>
        <v>1</v>
      </c>
      <c r="AZ18" s="363">
        <f t="shared" si="4"/>
        <v>1</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נאותה</v>
      </c>
      <c r="BR18" s="351" t="str">
        <f t="shared" si="6"/>
        <v>לא נאותה</v>
      </c>
      <c r="BS18" s="351">
        <f t="shared" si="6"/>
        <v>0</v>
      </c>
      <c r="BT18" s="351">
        <f t="shared" si="6"/>
        <v>0</v>
      </c>
      <c r="BU18" s="351">
        <f t="shared" si="6"/>
        <v>0</v>
      </c>
    </row>
    <row r="19" spans="1:73" x14ac:dyDescent="0.25">
      <c r="A19" s="379"/>
      <c r="B19" s="379">
        <f t="shared" si="7"/>
        <v>5</v>
      </c>
      <c r="C19" s="380"/>
      <c r="D19" s="380"/>
      <c r="E19" s="381">
        <v>45170</v>
      </c>
      <c r="F19" s="385" t="s">
        <v>368</v>
      </c>
      <c r="G19" s="382"/>
      <c r="H19" s="383">
        <v>96</v>
      </c>
      <c r="I19" s="383">
        <v>48</v>
      </c>
      <c r="J19" s="383">
        <v>48</v>
      </c>
      <c r="K19" s="398">
        <f t="shared" si="8"/>
        <v>1</v>
      </c>
      <c r="L19" s="383">
        <v>8</v>
      </c>
      <c r="M19" s="383">
        <v>450</v>
      </c>
      <c r="N19" s="383">
        <v>52</v>
      </c>
      <c r="O19" s="379">
        <f t="shared" si="9"/>
        <v>510</v>
      </c>
      <c r="P19" s="383">
        <v>25</v>
      </c>
      <c r="Q19" s="382">
        <v>1</v>
      </c>
      <c r="R19" s="382">
        <v>1</v>
      </c>
      <c r="S19" s="382">
        <v>1</v>
      </c>
      <c r="T19" s="379">
        <f ca="1">IF(E19="","",IF(AI19&lt;&gt;1,$AJ$1,IF(AND(S19=1,R19=1,OR(H19&gt;=פרמטרים!$B$8,INDEX('תנאי סף'!$AF$11:$AF$50,MATCH($T$1,'תנאי סף'!$A$11:$A$50,0))),OR(O19&gt;=$H$8,INDEX('תנאי סף'!$AC$11:$AC$50,MATCH($T$1,'תנאי סף'!$A$11:$A$50,0))),INDEX('תנאי סף'!$AI$11:$AI$50,MATCH($T$1,'תנאי סף'!$A$11:$A$50,0)),COUNTA($E$15:$E$44)&gt;=$H$6),1,0)))</f>
        <v>1</v>
      </c>
      <c r="U19" s="382">
        <v>0</v>
      </c>
      <c r="V19" s="382">
        <v>0</v>
      </c>
      <c r="W19" s="379"/>
      <c r="X19" s="382"/>
      <c r="Y19" s="379"/>
      <c r="Z19" s="385"/>
      <c r="AA19" s="385"/>
      <c r="AB19" s="382"/>
      <c r="AC19" s="384"/>
      <c r="AD19" s="386"/>
      <c r="AE19" s="386"/>
      <c r="AF19" s="386"/>
      <c r="AG19" s="386"/>
      <c r="AI19" s="351">
        <f t="shared" si="10"/>
        <v>1</v>
      </c>
      <c r="AJ19" s="351">
        <f t="shared" si="11"/>
        <v>0</v>
      </c>
      <c r="AK19" s="351">
        <f t="shared" si="11"/>
        <v>1</v>
      </c>
      <c r="AL19" s="363">
        <f t="shared" si="12"/>
        <v>1</v>
      </c>
      <c r="AM19" s="363">
        <f t="shared" si="4"/>
        <v>1</v>
      </c>
      <c r="AN19" s="363">
        <f t="shared" si="4"/>
        <v>1</v>
      </c>
      <c r="AO19" s="363">
        <f t="shared" si="4"/>
        <v>1</v>
      </c>
      <c r="AP19" s="363">
        <f t="shared" si="4"/>
        <v>1</v>
      </c>
      <c r="AQ19" s="363">
        <f t="shared" si="4"/>
        <v>1</v>
      </c>
      <c r="AR19" s="363">
        <f t="shared" si="4"/>
        <v>1</v>
      </c>
      <c r="AS19" s="363">
        <f t="shared" si="4"/>
        <v>1</v>
      </c>
      <c r="AT19" s="363">
        <f t="shared" si="4"/>
        <v>1</v>
      </c>
      <c r="AU19" s="363">
        <f t="shared" si="4"/>
        <v>1</v>
      </c>
      <c r="AV19" s="363">
        <f t="shared" si="4"/>
        <v>1</v>
      </c>
      <c r="AW19" s="363">
        <f t="shared" si="4"/>
        <v>1</v>
      </c>
      <c r="AX19" s="363">
        <f t="shared" si="4"/>
        <v>1</v>
      </c>
      <c r="AY19" s="363">
        <f t="shared" si="4"/>
        <v>1</v>
      </c>
      <c r="AZ19" s="363">
        <f t="shared" si="4"/>
        <v>1</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נאותה</v>
      </c>
      <c r="BR19" s="351" t="str">
        <f t="shared" si="6"/>
        <v>לא נאותה</v>
      </c>
      <c r="BS19" s="351">
        <f t="shared" si="6"/>
        <v>0</v>
      </c>
      <c r="BT19" s="351">
        <f t="shared" si="6"/>
        <v>0</v>
      </c>
      <c r="BU19" s="351">
        <f t="shared" si="6"/>
        <v>0</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645</v>
      </c>
      <c r="I45" s="387">
        <f>SUM(I15:I44)</f>
        <v>332</v>
      </c>
      <c r="J45" s="387">
        <f>SUM(J15:J44)</f>
        <v>323</v>
      </c>
      <c r="K45" s="387">
        <f>SUM(K15:K44)</f>
        <v>4.872444011684518</v>
      </c>
      <c r="L45" s="387">
        <f>SUM(L15:L44)</f>
        <v>34</v>
      </c>
      <c r="M45" s="387"/>
      <c r="N45" s="387">
        <f>SUM(N15:N44)</f>
        <v>260</v>
      </c>
      <c r="O45" s="387">
        <f>SUM(O15:O44)</f>
        <v>2544</v>
      </c>
      <c r="P45" s="387">
        <f t="shared" ref="P45:T45" si="15">SUM(P15:P44)</f>
        <v>155</v>
      </c>
      <c r="Q45" s="387"/>
      <c r="R45" s="387">
        <f t="shared" si="15"/>
        <v>5</v>
      </c>
      <c r="S45" s="387">
        <f t="shared" si="15"/>
        <v>5</v>
      </c>
      <c r="T45" s="387">
        <f t="shared" ca="1" si="15"/>
        <v>5</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sSdS8FN/eR8Za5JVkkGYLlueIaRUemjHB1snb7a7CONO/mvdO+dWrrHA2Wo6daH5UHuTWUidK8znQX0yzkD3BQ==" saltValue="t9UVpqPJV1CoJy+hqD9YBA=="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777" priority="47" stopIfTrue="1">
      <formula>AND($E15="",A15&lt;&gt;"")</formula>
    </cfRule>
    <cfRule type="expression" dxfId="776" priority="48">
      <formula>$E15=""</formula>
    </cfRule>
    <cfRule type="expression" dxfId="775" priority="49">
      <formula>A$14&lt;&gt;""</formula>
    </cfRule>
  </conditionalFormatting>
  <conditionalFormatting sqref="E15:E19 A16:E44 G15:P44 T15:AG44">
    <cfRule type="expression" dxfId="774" priority="51" stopIfTrue="1">
      <formula>AND($E15="",A15&lt;&gt;"")</formula>
    </cfRule>
  </conditionalFormatting>
  <conditionalFormatting sqref="E15:E19 G15:P44 T15:AG44 A16:E44">
    <cfRule type="expression" dxfId="773" priority="53">
      <formula>A$14&lt;&gt;""</formula>
    </cfRule>
  </conditionalFormatting>
  <conditionalFormatting sqref="F15:F44">
    <cfRule type="expression" dxfId="772" priority="13" stopIfTrue="1">
      <formula>AND($E15="",F15&lt;&gt;"")</formula>
    </cfRule>
    <cfRule type="expression" dxfId="771" priority="14">
      <formula>$E15=""</formula>
    </cfRule>
    <cfRule type="expression" dxfId="770" priority="15">
      <formula>F$14&lt;&gt;""</formula>
    </cfRule>
  </conditionalFormatting>
  <conditionalFormatting sqref="O15:O44">
    <cfRule type="cellIs" dxfId="769" priority="27" operator="equal">
      <formula>0</formula>
    </cfRule>
  </conditionalFormatting>
  <conditionalFormatting sqref="O15:S44">
    <cfRule type="expression" dxfId="768" priority="10">
      <formula>$E15=""</formula>
    </cfRule>
  </conditionalFormatting>
  <conditionalFormatting sqref="Q15:Q44">
    <cfRule type="expression" dxfId="767" priority="5">
      <formula>$E15=""</formula>
    </cfRule>
    <cfRule type="expression" dxfId="766" priority="6">
      <formula>Q$14&lt;&gt;""</formula>
    </cfRule>
  </conditionalFormatting>
  <conditionalFormatting sqref="Q15:S44">
    <cfRule type="expression" dxfId="765" priority="4" stopIfTrue="1">
      <formula>AND($E15="",Q15&lt;&gt;"")</formula>
    </cfRule>
  </conditionalFormatting>
  <conditionalFormatting sqref="R15:S44">
    <cfRule type="expression" dxfId="764" priority="11">
      <formula>R$14&lt;&gt;""</formula>
    </cfRule>
  </conditionalFormatting>
  <conditionalFormatting sqref="Y15 E15:E19 G15:N44 P15:P44 T15:X44 AB15:AG44 A16:E44 Y16:AA44">
    <cfRule type="expression" dxfId="763" priority="52">
      <formula>$E15=""</formula>
    </cfRule>
  </conditionalFormatting>
  <conditionalFormatting sqref="Z15:AA15">
    <cfRule type="expression" dxfId="762"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21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1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21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2100-000003000000}"/>
    <dataValidation type="list" allowBlank="1" showInputMessage="1" showErrorMessage="1" sqref="E14 Z14:AB14 L14:N14 U14:V14 X14 G14:J14 P14:S14" xr:uid="{00000000-0002-0000-2100-000004000000}">
      <formula1>$AN$1:$BP$1</formula1>
    </dataValidation>
    <dataValidation type="list" allowBlank="1" showInputMessage="1" showErrorMessage="1" sqref="F14" xr:uid="{00000000-0002-0000-21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21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100-000007000000}">
      <formula1>$CA$2:$CA$10</formula1>
    </dataValidation>
    <dataValidation operator="greaterThanOrEqual" allowBlank="1" showInputMessage="1" showErrorMessage="1" errorTitle="נתון שגוי." error="ניתן להזין רק מספר שלם גדול או שווה ל-0." sqref="O15:O44" xr:uid="{00000000-0002-0000-2100-000008000000}"/>
    <dataValidation type="list" allowBlank="1" showInputMessage="1" showErrorMessage="1" errorTitle="נתון שגוי." error="ניתן להזין רק 0 או 1._x000a_0 = לא עומד בתנאי._x000a_1 = עומד בתנאי." sqref="Q15:S44" xr:uid="{00000000-0002-0000-21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77E6C4AB-0790-40C6-929C-914A1AC92DC9}">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4FC4974B-E1F3-4A66-8361-C9DE2710FFD7}">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B149AEAE-042D-4943-9973-16F87138B25C}">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D5812236-A3FE-4B46-982B-03A8AD1FEBAB}">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02C89F67-5732-4816-817B-F8DCAA9F6D6F}">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0FB83183-79DF-4B90-8C62-3F7A3F9DEADD}">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F5B15CA3-97D8-4F2E-ABB3-601DB2165529}">
            <xm:f>NOT(ISERROR(SEARCH($AJ$1,Y15)))</xm:f>
            <xm:f>$AJ$1</xm:f>
            <x14:dxf>
              <fill>
                <patternFill>
                  <bgColor rgb="FFFF0000"/>
                </patternFill>
              </fill>
            </x14:dxf>
          </x14:cfRule>
          <xm:sqref>AD15:AG44 Y16:Y44</xm:sqref>
        </x14:conditionalFormatting>
      </x14:conditionalFormattings>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גיליון24">
    <tabColor theme="8" tint="0.59999389629810485"/>
    <pageSetUpPr fitToPage="1"/>
  </sheetPr>
  <dimension ref="A1:CZ45"/>
  <sheetViews>
    <sheetView rightToLeft="1" topLeftCell="B7" zoomScale="85" zoomScaleNormal="85" workbookViewId="0">
      <selection activeCell="E20" sqref="E20"/>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מאזניים (אגודת הסופרים העבריים)</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9</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0.97237569060773477</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5</v>
      </c>
      <c r="Q2" s="401"/>
      <c r="R2" s="515" cm="1">
        <f t="array" aca="1" ref="R2" ca="1">SUMPRODUCT(L2:P2,TRANSPOSE('היקף החוברות'!D4:D8))</f>
        <v>25</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5</v>
      </c>
      <c r="Q3" s="401" cm="1">
        <f t="array" aca="1" ref="Q3" ca="1">SUMPRODUCT(--($Q$15:$Q$44=1),$T$15:$T$44)</f>
        <v>5</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5</v>
      </c>
      <c r="R9" s="401">
        <f>COUNTIF(R$15:$R$44,"=1")</f>
        <v>5</v>
      </c>
      <c r="S9" s="401">
        <f>COUNTIF($S$15:$S$44,"=1")</f>
        <v>5</v>
      </c>
      <c r="T9" s="401">
        <f ca="1">COUNTIF($T$15:$T$44,"=1")</f>
        <v>5</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44835</v>
      </c>
      <c r="F15" s="385" t="s">
        <v>369</v>
      </c>
      <c r="G15" s="382"/>
      <c r="H15" s="383">
        <v>127</v>
      </c>
      <c r="I15" s="383">
        <v>46</v>
      </c>
      <c r="J15" s="383">
        <v>45</v>
      </c>
      <c r="K15" s="398">
        <f>IFERROR(J15/I15,"")</f>
        <v>0.97826086956521741</v>
      </c>
      <c r="L15" s="383">
        <v>487</v>
      </c>
      <c r="M15" s="383">
        <v>20</v>
      </c>
      <c r="N15" s="383">
        <v>203</v>
      </c>
      <c r="O15" s="379">
        <f>IF(E15="","",L15+M15+N15)</f>
        <v>710</v>
      </c>
      <c r="P15" s="383">
        <v>30</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44896</v>
      </c>
      <c r="F16" s="385" t="s">
        <v>369</v>
      </c>
      <c r="G16" s="382"/>
      <c r="H16" s="383">
        <v>140</v>
      </c>
      <c r="I16" s="383">
        <v>29</v>
      </c>
      <c r="J16" s="383">
        <v>28</v>
      </c>
      <c r="K16" s="398">
        <f t="shared" ref="K16:K44" si="8">IFERROR(J16/I16,"")</f>
        <v>0.96551724137931039</v>
      </c>
      <c r="L16" s="383">
        <v>520</v>
      </c>
      <c r="M16" s="383">
        <v>20</v>
      </c>
      <c r="N16" s="383">
        <v>170</v>
      </c>
      <c r="O16" s="379">
        <f t="shared" ref="O16:O44" si="9">IF(E16="","",L16+M16+N16)</f>
        <v>710</v>
      </c>
      <c r="P16" s="383">
        <v>30</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f t="shared" si="7"/>
        <v>3</v>
      </c>
      <c r="C17" s="380"/>
      <c r="D17" s="380"/>
      <c r="E17" s="381">
        <v>44986</v>
      </c>
      <c r="F17" s="385" t="s">
        <v>369</v>
      </c>
      <c r="G17" s="382"/>
      <c r="H17" s="383">
        <v>116</v>
      </c>
      <c r="I17" s="383">
        <v>36</v>
      </c>
      <c r="J17" s="383">
        <v>35</v>
      </c>
      <c r="K17" s="398">
        <f t="shared" si="8"/>
        <v>0.97222222222222221</v>
      </c>
      <c r="L17" s="383">
        <v>258</v>
      </c>
      <c r="M17" s="383">
        <v>419</v>
      </c>
      <c r="N17" s="383">
        <v>123</v>
      </c>
      <c r="O17" s="379">
        <f t="shared" si="9"/>
        <v>800</v>
      </c>
      <c r="P17" s="383">
        <v>30</v>
      </c>
      <c r="Q17" s="382">
        <v>1</v>
      </c>
      <c r="R17" s="382">
        <v>1</v>
      </c>
      <c r="S17" s="382">
        <v>1</v>
      </c>
      <c r="T17" s="379">
        <f ca="1">IF(E17="","",IF(AI17&lt;&gt;1,$AJ$1,IF(AND(S17=1,R17=1,OR(H17&gt;=פרמטרים!$B$8,INDEX('תנאי סף'!$AF$11:$AF$50,MATCH($T$1,'תנאי סף'!$A$11:$A$50,0))),OR(O17&gt;=$H$8,INDEX('תנאי סף'!$AC$11:$AC$50,MATCH($T$1,'תנאי סף'!$A$11:$A$50,0))),INDEX('תנאי סף'!$AI$11:$AI$50,MATCH($T$1,'תנאי סף'!$A$11:$A$50,0)),COUNTA($E$15:$E$44)&gt;=$H$6),1,0)))</f>
        <v>1</v>
      </c>
      <c r="U17" s="382">
        <v>0</v>
      </c>
      <c r="V17" s="382">
        <v>0</v>
      </c>
      <c r="W17" s="379"/>
      <c r="X17" s="382"/>
      <c r="Y17" s="379"/>
      <c r="Z17" s="385"/>
      <c r="AA17" s="385"/>
      <c r="AB17" s="382"/>
      <c r="AC17" s="384"/>
      <c r="AD17" s="386"/>
      <c r="AE17" s="386"/>
      <c r="AF17" s="386"/>
      <c r="AG17" s="386"/>
      <c r="AI17" s="351">
        <f t="shared" si="10"/>
        <v>1</v>
      </c>
      <c r="AJ17" s="351">
        <f t="shared" si="11"/>
        <v>0</v>
      </c>
      <c r="AK17" s="351">
        <f t="shared" si="11"/>
        <v>1</v>
      </c>
      <c r="AL17" s="363">
        <f t="shared" si="12"/>
        <v>1</v>
      </c>
      <c r="AM17" s="363">
        <f t="shared" si="4"/>
        <v>1</v>
      </c>
      <c r="AN17" s="363">
        <f t="shared" si="4"/>
        <v>1</v>
      </c>
      <c r="AO17" s="363">
        <f t="shared" si="4"/>
        <v>1</v>
      </c>
      <c r="AP17" s="363">
        <f t="shared" si="4"/>
        <v>1</v>
      </c>
      <c r="AQ17" s="363">
        <f t="shared" si="4"/>
        <v>1</v>
      </c>
      <c r="AR17" s="363">
        <f t="shared" si="4"/>
        <v>1</v>
      </c>
      <c r="AS17" s="363">
        <f t="shared" si="4"/>
        <v>1</v>
      </c>
      <c r="AT17" s="363">
        <f t="shared" si="4"/>
        <v>1</v>
      </c>
      <c r="AU17" s="363">
        <f t="shared" si="4"/>
        <v>1</v>
      </c>
      <c r="AV17" s="363">
        <f t="shared" si="4"/>
        <v>1</v>
      </c>
      <c r="AW17" s="363">
        <f t="shared" si="4"/>
        <v>1</v>
      </c>
      <c r="AX17" s="363">
        <f t="shared" si="4"/>
        <v>1</v>
      </c>
      <c r="AY17" s="363">
        <f t="shared" si="4"/>
        <v>1</v>
      </c>
      <c r="AZ17" s="363">
        <f t="shared" si="4"/>
        <v>1</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נאותה</v>
      </c>
      <c r="BR17" s="351" t="str">
        <f t="shared" si="6"/>
        <v>לא נאותה</v>
      </c>
      <c r="BS17" s="351">
        <f t="shared" si="6"/>
        <v>0</v>
      </c>
      <c r="BT17" s="351">
        <f t="shared" si="6"/>
        <v>0</v>
      </c>
      <c r="BU17" s="351">
        <f t="shared" si="6"/>
        <v>0</v>
      </c>
    </row>
    <row r="18" spans="1:73" x14ac:dyDescent="0.25">
      <c r="A18" s="379"/>
      <c r="B18" s="379">
        <f t="shared" si="7"/>
        <v>4</v>
      </c>
      <c r="C18" s="380"/>
      <c r="D18" s="380"/>
      <c r="E18" s="381">
        <v>45078</v>
      </c>
      <c r="F18" s="385" t="s">
        <v>369</v>
      </c>
      <c r="G18" s="382"/>
      <c r="H18" s="383">
        <v>143</v>
      </c>
      <c r="I18" s="383">
        <v>44</v>
      </c>
      <c r="J18" s="383">
        <v>43</v>
      </c>
      <c r="K18" s="398">
        <f t="shared" si="8"/>
        <v>0.97727272727272729</v>
      </c>
      <c r="L18" s="383">
        <v>303</v>
      </c>
      <c r="M18" s="383">
        <v>269</v>
      </c>
      <c r="N18" s="383">
        <v>128</v>
      </c>
      <c r="O18" s="379">
        <f t="shared" si="9"/>
        <v>700</v>
      </c>
      <c r="P18" s="383">
        <v>30</v>
      </c>
      <c r="Q18" s="382">
        <v>1</v>
      </c>
      <c r="R18" s="382">
        <v>1</v>
      </c>
      <c r="S18" s="382">
        <v>1</v>
      </c>
      <c r="T18" s="379">
        <f ca="1">IF(E18="","",IF(AI18&lt;&gt;1,$AJ$1,IF(AND(S18=1,R18=1,OR(H18&gt;=פרמטרים!$B$8,INDEX('תנאי סף'!$AF$11:$AF$50,MATCH($T$1,'תנאי סף'!$A$11:$A$50,0))),OR(O18&gt;=$H$8,INDEX('תנאי סף'!$AC$11:$AC$50,MATCH($T$1,'תנאי סף'!$A$11:$A$50,0))),INDEX('תנאי סף'!$AI$11:$AI$50,MATCH($T$1,'תנאי סף'!$A$11:$A$50,0)),COUNTA($E$15:$E$44)&gt;=$H$6),1,0)))</f>
        <v>1</v>
      </c>
      <c r="U18" s="382">
        <v>0</v>
      </c>
      <c r="V18" s="382">
        <v>0</v>
      </c>
      <c r="W18" s="379"/>
      <c r="X18" s="382"/>
      <c r="Y18" s="379"/>
      <c r="Z18" s="385"/>
      <c r="AA18" s="385"/>
      <c r="AB18" s="382"/>
      <c r="AC18" s="384"/>
      <c r="AD18" s="386"/>
      <c r="AE18" s="386"/>
      <c r="AF18" s="386"/>
      <c r="AG18" s="386"/>
      <c r="AI18" s="351">
        <f t="shared" si="10"/>
        <v>1</v>
      </c>
      <c r="AJ18" s="351">
        <f t="shared" si="11"/>
        <v>0</v>
      </c>
      <c r="AK18" s="351">
        <f t="shared" si="11"/>
        <v>1</v>
      </c>
      <c r="AL18" s="363">
        <f t="shared" si="12"/>
        <v>1</v>
      </c>
      <c r="AM18" s="363">
        <f t="shared" si="4"/>
        <v>1</v>
      </c>
      <c r="AN18" s="363">
        <f t="shared" si="4"/>
        <v>1</v>
      </c>
      <c r="AO18" s="363">
        <f t="shared" si="4"/>
        <v>1</v>
      </c>
      <c r="AP18" s="363">
        <f t="shared" si="4"/>
        <v>1</v>
      </c>
      <c r="AQ18" s="363">
        <f t="shared" si="4"/>
        <v>1</v>
      </c>
      <c r="AR18" s="363">
        <f t="shared" si="4"/>
        <v>1</v>
      </c>
      <c r="AS18" s="363">
        <f t="shared" si="4"/>
        <v>1</v>
      </c>
      <c r="AT18" s="363">
        <f t="shared" si="4"/>
        <v>1</v>
      </c>
      <c r="AU18" s="363">
        <f t="shared" si="4"/>
        <v>1</v>
      </c>
      <c r="AV18" s="363">
        <f t="shared" si="4"/>
        <v>1</v>
      </c>
      <c r="AW18" s="363">
        <f t="shared" si="4"/>
        <v>1</v>
      </c>
      <c r="AX18" s="363">
        <f t="shared" si="4"/>
        <v>1</v>
      </c>
      <c r="AY18" s="363">
        <f t="shared" si="4"/>
        <v>1</v>
      </c>
      <c r="AZ18" s="363">
        <f t="shared" si="4"/>
        <v>1</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נאותה</v>
      </c>
      <c r="BR18" s="351" t="str">
        <f t="shared" si="6"/>
        <v>לא נאותה</v>
      </c>
      <c r="BS18" s="351">
        <f t="shared" si="6"/>
        <v>0</v>
      </c>
      <c r="BT18" s="351">
        <f t="shared" si="6"/>
        <v>0</v>
      </c>
      <c r="BU18" s="351">
        <f t="shared" si="6"/>
        <v>0</v>
      </c>
    </row>
    <row r="19" spans="1:73" x14ac:dyDescent="0.25">
      <c r="A19" s="379"/>
      <c r="B19" s="379">
        <f t="shared" si="7"/>
        <v>5</v>
      </c>
      <c r="C19" s="380"/>
      <c r="D19" s="380"/>
      <c r="E19" s="381">
        <v>45139</v>
      </c>
      <c r="F19" s="385" t="s">
        <v>369</v>
      </c>
      <c r="G19" s="382"/>
      <c r="H19" s="383">
        <v>104</v>
      </c>
      <c r="I19" s="383">
        <v>26</v>
      </c>
      <c r="J19" s="383">
        <v>25</v>
      </c>
      <c r="K19" s="398">
        <f t="shared" si="8"/>
        <v>0.96153846153846156</v>
      </c>
      <c r="L19" s="383">
        <v>368</v>
      </c>
      <c r="M19" s="383">
        <v>211</v>
      </c>
      <c r="N19" s="383">
        <v>121</v>
      </c>
      <c r="O19" s="379">
        <f t="shared" si="9"/>
        <v>700</v>
      </c>
      <c r="P19" s="383">
        <v>30</v>
      </c>
      <c r="Q19" s="382">
        <v>1</v>
      </c>
      <c r="R19" s="382">
        <v>1</v>
      </c>
      <c r="S19" s="382">
        <v>1</v>
      </c>
      <c r="T19" s="379">
        <f ca="1">IF(E19="","",IF(AI19&lt;&gt;1,$AJ$1,IF(AND(S19=1,R19=1,OR(H19&gt;=פרמטרים!$B$8,INDEX('תנאי סף'!$AF$11:$AF$50,MATCH($T$1,'תנאי סף'!$A$11:$A$50,0))),OR(O19&gt;=$H$8,INDEX('תנאי סף'!$AC$11:$AC$50,MATCH($T$1,'תנאי סף'!$A$11:$A$50,0))),INDEX('תנאי סף'!$AI$11:$AI$50,MATCH($T$1,'תנאי סף'!$A$11:$A$50,0)),COUNTA($E$15:$E$44)&gt;=$H$6),1,0)))</f>
        <v>1</v>
      </c>
      <c r="U19" s="382">
        <v>0</v>
      </c>
      <c r="V19" s="382">
        <v>0</v>
      </c>
      <c r="W19" s="379"/>
      <c r="X19" s="382"/>
      <c r="Y19" s="379"/>
      <c r="Z19" s="385"/>
      <c r="AA19" s="385"/>
      <c r="AB19" s="382"/>
      <c r="AC19" s="384"/>
      <c r="AD19" s="386"/>
      <c r="AE19" s="386"/>
      <c r="AF19" s="386"/>
      <c r="AG19" s="386"/>
      <c r="AI19" s="351">
        <f t="shared" si="10"/>
        <v>1</v>
      </c>
      <c r="AJ19" s="351">
        <f t="shared" si="11"/>
        <v>0</v>
      </c>
      <c r="AK19" s="351">
        <f t="shared" si="11"/>
        <v>1</v>
      </c>
      <c r="AL19" s="363">
        <f t="shared" si="12"/>
        <v>1</v>
      </c>
      <c r="AM19" s="363">
        <f t="shared" si="4"/>
        <v>1</v>
      </c>
      <c r="AN19" s="363">
        <f t="shared" si="4"/>
        <v>1</v>
      </c>
      <c r="AO19" s="363">
        <f t="shared" si="4"/>
        <v>1</v>
      </c>
      <c r="AP19" s="363">
        <f t="shared" si="4"/>
        <v>1</v>
      </c>
      <c r="AQ19" s="363">
        <f t="shared" si="4"/>
        <v>1</v>
      </c>
      <c r="AR19" s="363">
        <f t="shared" si="4"/>
        <v>1</v>
      </c>
      <c r="AS19" s="363">
        <f t="shared" si="4"/>
        <v>1</v>
      </c>
      <c r="AT19" s="363">
        <f t="shared" si="4"/>
        <v>1</v>
      </c>
      <c r="AU19" s="363">
        <f t="shared" si="4"/>
        <v>1</v>
      </c>
      <c r="AV19" s="363">
        <f t="shared" si="4"/>
        <v>1</v>
      </c>
      <c r="AW19" s="363">
        <f t="shared" si="4"/>
        <v>1</v>
      </c>
      <c r="AX19" s="363">
        <f t="shared" si="4"/>
        <v>1</v>
      </c>
      <c r="AY19" s="363">
        <f t="shared" si="4"/>
        <v>1</v>
      </c>
      <c r="AZ19" s="363">
        <f t="shared" si="4"/>
        <v>1</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נאותה</v>
      </c>
      <c r="BR19" s="351" t="str">
        <f t="shared" si="6"/>
        <v>לא נאותה</v>
      </c>
      <c r="BS19" s="351">
        <f t="shared" si="6"/>
        <v>0</v>
      </c>
      <c r="BT19" s="351">
        <f t="shared" si="6"/>
        <v>0</v>
      </c>
      <c r="BU19" s="351">
        <f t="shared" si="6"/>
        <v>0</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630</v>
      </c>
      <c r="I45" s="387">
        <f>SUM(I15:I44)</f>
        <v>181</v>
      </c>
      <c r="J45" s="387">
        <f>SUM(J15:J44)</f>
        <v>176</v>
      </c>
      <c r="K45" s="387">
        <f>SUM(K15:K44)</f>
        <v>4.8548115219779389</v>
      </c>
      <c r="L45" s="387">
        <f>SUM(L15:L44)</f>
        <v>1936</v>
      </c>
      <c r="M45" s="387"/>
      <c r="N45" s="387">
        <f>SUM(N15:N44)</f>
        <v>745</v>
      </c>
      <c r="O45" s="387">
        <f>SUM(O15:O44)</f>
        <v>3620</v>
      </c>
      <c r="P45" s="387">
        <f t="shared" ref="P45:T45" si="15">SUM(P15:P44)</f>
        <v>150</v>
      </c>
      <c r="Q45" s="387"/>
      <c r="R45" s="387">
        <f t="shared" si="15"/>
        <v>5</v>
      </c>
      <c r="S45" s="387">
        <f t="shared" si="15"/>
        <v>5</v>
      </c>
      <c r="T45" s="387">
        <f t="shared" ca="1" si="15"/>
        <v>5</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GRS5XkSURD/YXt7/XT391LoY/llOJLAIzpNp8Qq3pv8aBpBapmz7affNajHCxQunC9qCtQLzLLcIOCw+maUXNg==" saltValue="8Q1z8F3v9kB1AfYndsLqGA=="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754" priority="47" stopIfTrue="1">
      <formula>AND($E15="",A15&lt;&gt;"")</formula>
    </cfRule>
    <cfRule type="expression" dxfId="753" priority="48">
      <formula>$E15=""</formula>
    </cfRule>
    <cfRule type="expression" dxfId="752" priority="49">
      <formula>A$14&lt;&gt;""</formula>
    </cfRule>
  </conditionalFormatting>
  <conditionalFormatting sqref="E15:E17 A16:E44 G15:P44 T15:AG44">
    <cfRule type="expression" dxfId="751" priority="51" stopIfTrue="1">
      <formula>AND($E15="",A15&lt;&gt;"")</formula>
    </cfRule>
  </conditionalFormatting>
  <conditionalFormatting sqref="E15:E17 G15:P44 T15:AG44 A16:E44">
    <cfRule type="expression" dxfId="750" priority="53">
      <formula>A$14&lt;&gt;""</formula>
    </cfRule>
  </conditionalFormatting>
  <conditionalFormatting sqref="F15:F44">
    <cfRule type="expression" dxfId="749" priority="13" stopIfTrue="1">
      <formula>AND($E15="",F15&lt;&gt;"")</formula>
    </cfRule>
    <cfRule type="expression" dxfId="748" priority="14">
      <formula>$E15=""</formula>
    </cfRule>
    <cfRule type="expression" dxfId="747" priority="15">
      <formula>F$14&lt;&gt;""</formula>
    </cfRule>
  </conditionalFormatting>
  <conditionalFormatting sqref="O15:O44">
    <cfRule type="cellIs" dxfId="746" priority="27" operator="equal">
      <formula>0</formula>
    </cfRule>
  </conditionalFormatting>
  <conditionalFormatting sqref="O15:S44">
    <cfRule type="expression" dxfId="745" priority="10">
      <formula>$E15=""</formula>
    </cfRule>
  </conditionalFormatting>
  <conditionalFormatting sqref="Q15:Q44">
    <cfRule type="expression" dxfId="744" priority="5">
      <formula>$E15=""</formula>
    </cfRule>
    <cfRule type="expression" dxfId="743" priority="6">
      <formula>Q$14&lt;&gt;""</formula>
    </cfRule>
  </conditionalFormatting>
  <conditionalFormatting sqref="Q15:S44">
    <cfRule type="expression" dxfId="742" priority="4" stopIfTrue="1">
      <formula>AND($E15="",Q15&lt;&gt;"")</formula>
    </cfRule>
  </conditionalFormatting>
  <conditionalFormatting sqref="R15:S44">
    <cfRule type="expression" dxfId="741" priority="11">
      <formula>R$14&lt;&gt;""</formula>
    </cfRule>
  </conditionalFormatting>
  <conditionalFormatting sqref="Y15 E15:E17 G15:N44 P15:P44 T15:X44 AB15:AG44 A16:E44 Y16:AA44">
    <cfRule type="expression" dxfId="740" priority="52">
      <formula>$E15=""</formula>
    </cfRule>
  </conditionalFormatting>
  <conditionalFormatting sqref="Z15:AA15">
    <cfRule type="expression" dxfId="739"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22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2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22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2200-000003000000}"/>
    <dataValidation type="list" allowBlank="1" showInputMessage="1" showErrorMessage="1" sqref="E14 Z14:AB14 L14:N14 U14:V14 X14 G14:J14 P14:S14" xr:uid="{00000000-0002-0000-2200-000004000000}">
      <formula1>$AN$1:$BP$1</formula1>
    </dataValidation>
    <dataValidation type="list" allowBlank="1" showInputMessage="1" showErrorMessage="1" sqref="F14" xr:uid="{00000000-0002-0000-22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22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200-000007000000}">
      <formula1>$CA$2:$CA$10</formula1>
    </dataValidation>
    <dataValidation operator="greaterThanOrEqual" allowBlank="1" showInputMessage="1" showErrorMessage="1" errorTitle="נתון שגוי." error="ניתן להזין רק מספר שלם גדול או שווה ל-0." sqref="O15:O44" xr:uid="{00000000-0002-0000-2200-000008000000}"/>
    <dataValidation type="list" allowBlank="1" showInputMessage="1" showErrorMessage="1" errorTitle="נתון שגוי." error="ניתן להזין רק 0 או 1._x000a_0 = לא עומד בתנאי._x000a_1 = עומד בתנאי." sqref="Q15:S44" xr:uid="{00000000-0002-0000-22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112E6C74-0194-4EF7-814B-BD49D59CFBD3}">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32A8EFA3-7B23-4A3A-BF00-96611D6C84EE}">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DFB355E8-E1B6-4C05-B9ED-CDF72090A3C9}">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5DCD2E51-3C70-4E42-AD78-2F090ECC9FBC}">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71D1708F-2AFA-46F2-B0E8-A877ADDCF422}">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1FB121C8-266E-4A18-B1B9-0B797A4CA2CB}">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29CA0B69-476E-4005-9BB3-31BE77CEE852}">
            <xm:f>NOT(ISERROR(SEARCH($AJ$1,Y15)))</xm:f>
            <xm:f>$AJ$1</xm:f>
            <x14:dxf>
              <fill>
                <patternFill>
                  <bgColor rgb="FFFF0000"/>
                </patternFill>
              </fill>
            </x14:dxf>
          </x14:cfRule>
          <xm:sqref>AD15:AG44 Y16:Y44</xm:sqref>
        </x14:conditionalFormatting>
      </x14:conditionalFormatting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גיליון25">
    <tabColor theme="8" tint="0.59999389629810485"/>
    <pageSetUpPr fitToPage="1"/>
  </sheetPr>
  <dimension ref="A1:CZ45"/>
  <sheetViews>
    <sheetView rightToLeft="1" topLeftCell="B6" zoomScale="85" zoomScaleNormal="85" workbookViewId="0">
      <selection activeCell="P16" sqref="P16:S19"/>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משיב הרוח</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10</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0.88978494623655913</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1</v>
      </c>
      <c r="O2" s="401" cm="1">
        <f t="array" aca="1" ref="O2" ca="1">SUMPRODUCT(--($H$15:$H$44&lt;פרמטרים!$B$12)*($H$15:$H$44&gt;=פרמטרים!$B$8),$T$15:$T$44)-SUM($L$2:N2)</f>
        <v>1</v>
      </c>
      <c r="P2" s="401" cm="1">
        <f t="array" aca="1" ref="P2" ca="1">SUMPRODUCT(--($H$15:$H$44&gt;=פרמטרים!$B$12),$T$15:$T$44)</f>
        <v>3</v>
      </c>
      <c r="Q2" s="401"/>
      <c r="R2" s="515" cm="1">
        <f t="array" aca="1" ref="R2" ca="1">SUMPRODUCT(L2:P2,TRANSPOSE('היקף החוברות'!D4:D8))</f>
        <v>22</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1</v>
      </c>
      <c r="O3" s="401" cm="1">
        <f t="array" aca="1" ref="O3" ca="1">SUMPRODUCT(--($H$15:$H$44&lt;פרמטרים!$B$12)*($P$15:$P$44&gt;=פרמטרים!$B$13)*(($L$15:$L$44+$M$15:$M$44)&gt;=פרמטרים!$B$45),$T$15:$T$44)-SUM($L$3:N3)</f>
        <v>1</v>
      </c>
      <c r="P3" s="401" cm="1">
        <f t="array" aca="1" ref="P3" ca="1">SUMPRODUCT(--($H$15:$H$44&gt;=פרמטרים!$B$12)*($P$15:$P$44&gt;=פרמטרים!$B$13)*(($L$15:$L$44+$M$15:$M$44)&gt;=פרמטרים!$B$45),$T$15:$T$44)</f>
        <v>3</v>
      </c>
      <c r="Q3" s="401" cm="1">
        <f t="array" aca="1" ref="Q3" ca="1">SUMPRODUCT(--($Q$15:$Q$44=1),$T$15:$T$44)</f>
        <v>5</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5</v>
      </c>
      <c r="R9" s="401">
        <f>COUNTIF(R$15:$R$44,"=1")</f>
        <v>5</v>
      </c>
      <c r="S9" s="401">
        <f>COUNTIF($S$15:$S$44,"=1")</f>
        <v>5</v>
      </c>
      <c r="T9" s="401">
        <f ca="1">COUNTIF($T$15:$T$44,"=1")</f>
        <v>5</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44866</v>
      </c>
      <c r="F15" s="385" t="s">
        <v>370</v>
      </c>
      <c r="G15" s="382"/>
      <c r="H15" s="383">
        <v>115</v>
      </c>
      <c r="I15" s="383">
        <v>83</v>
      </c>
      <c r="J15" s="383">
        <v>72</v>
      </c>
      <c r="K15" s="398">
        <f>IFERROR(J15/I15,"")</f>
        <v>0.86746987951807231</v>
      </c>
      <c r="L15" s="383">
        <v>51</v>
      </c>
      <c r="M15" s="383">
        <v>160</v>
      </c>
      <c r="N15" s="383">
        <v>120</v>
      </c>
      <c r="O15" s="379">
        <f>IF(E15="","",L15+M15+N15)</f>
        <v>331</v>
      </c>
      <c r="P15" s="383">
        <v>40</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44986</v>
      </c>
      <c r="F16" s="385" t="s">
        <v>370</v>
      </c>
      <c r="G16" s="382"/>
      <c r="H16" s="383">
        <v>116</v>
      </c>
      <c r="I16" s="383">
        <v>99</v>
      </c>
      <c r="J16" s="383">
        <v>89</v>
      </c>
      <c r="K16" s="398">
        <f t="shared" ref="K16:K44" si="8">IFERROR(J16/I16,"")</f>
        <v>0.89898989898989901</v>
      </c>
      <c r="L16" s="383">
        <v>127</v>
      </c>
      <c r="M16" s="383">
        <v>82</v>
      </c>
      <c r="N16" s="383">
        <v>122</v>
      </c>
      <c r="O16" s="379">
        <f t="shared" ref="O16:O44" si="9">IF(E16="","",L16+M16+N16)</f>
        <v>331</v>
      </c>
      <c r="P16" s="383">
        <v>40</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f t="shared" si="7"/>
        <v>3</v>
      </c>
      <c r="C17" s="380"/>
      <c r="D17" s="380"/>
      <c r="E17" s="381">
        <v>45047</v>
      </c>
      <c r="F17" s="385" t="s">
        <v>370</v>
      </c>
      <c r="G17" s="382"/>
      <c r="H17" s="383">
        <v>81</v>
      </c>
      <c r="I17" s="383">
        <v>60</v>
      </c>
      <c r="J17" s="383">
        <v>52</v>
      </c>
      <c r="K17" s="398">
        <f t="shared" si="8"/>
        <v>0.8666666666666667</v>
      </c>
      <c r="L17" s="383">
        <v>127</v>
      </c>
      <c r="M17" s="383">
        <v>76</v>
      </c>
      <c r="N17" s="383">
        <v>102</v>
      </c>
      <c r="O17" s="379">
        <f t="shared" si="9"/>
        <v>305</v>
      </c>
      <c r="P17" s="383">
        <v>40</v>
      </c>
      <c r="Q17" s="382">
        <v>1</v>
      </c>
      <c r="R17" s="382">
        <v>1</v>
      </c>
      <c r="S17" s="382">
        <v>1</v>
      </c>
      <c r="T17" s="379">
        <f ca="1">IF(E17="","",IF(AI17&lt;&gt;1,$AJ$1,IF(AND(S17=1,R17=1,OR(H17&gt;=פרמטרים!$B$8,INDEX('תנאי סף'!$AF$11:$AF$50,MATCH($T$1,'תנאי סף'!$A$11:$A$50,0))),OR(O17&gt;=$H$8,INDEX('תנאי סף'!$AC$11:$AC$50,MATCH($T$1,'תנאי סף'!$A$11:$A$50,0))),INDEX('תנאי סף'!$AI$11:$AI$50,MATCH($T$1,'תנאי סף'!$A$11:$A$50,0)),COUNTA($E$15:$E$44)&gt;=$H$6),1,0)))</f>
        <v>1</v>
      </c>
      <c r="U17" s="382">
        <v>0</v>
      </c>
      <c r="V17" s="382">
        <v>0</v>
      </c>
      <c r="W17" s="379"/>
      <c r="X17" s="382"/>
      <c r="Y17" s="379"/>
      <c r="Z17" s="385"/>
      <c r="AA17" s="385"/>
      <c r="AB17" s="382"/>
      <c r="AC17" s="384"/>
      <c r="AD17" s="386"/>
      <c r="AE17" s="386"/>
      <c r="AF17" s="386"/>
      <c r="AG17" s="386"/>
      <c r="AI17" s="351">
        <f t="shared" si="10"/>
        <v>1</v>
      </c>
      <c r="AJ17" s="351">
        <f t="shared" si="11"/>
        <v>0</v>
      </c>
      <c r="AK17" s="351">
        <f t="shared" si="11"/>
        <v>1</v>
      </c>
      <c r="AL17" s="363">
        <f t="shared" si="12"/>
        <v>1</v>
      </c>
      <c r="AM17" s="363">
        <f t="shared" si="4"/>
        <v>1</v>
      </c>
      <c r="AN17" s="363">
        <f t="shared" si="4"/>
        <v>1</v>
      </c>
      <c r="AO17" s="363">
        <f t="shared" si="4"/>
        <v>1</v>
      </c>
      <c r="AP17" s="363">
        <f t="shared" si="4"/>
        <v>1</v>
      </c>
      <c r="AQ17" s="363">
        <f t="shared" si="4"/>
        <v>1</v>
      </c>
      <c r="AR17" s="363">
        <f t="shared" si="4"/>
        <v>1</v>
      </c>
      <c r="AS17" s="363">
        <f t="shared" si="4"/>
        <v>1</v>
      </c>
      <c r="AT17" s="363">
        <f t="shared" si="4"/>
        <v>1</v>
      </c>
      <c r="AU17" s="363">
        <f t="shared" si="4"/>
        <v>1</v>
      </c>
      <c r="AV17" s="363">
        <f t="shared" si="4"/>
        <v>1</v>
      </c>
      <c r="AW17" s="363">
        <f t="shared" si="4"/>
        <v>1</v>
      </c>
      <c r="AX17" s="363">
        <f t="shared" si="4"/>
        <v>1</v>
      </c>
      <c r="AY17" s="363">
        <f t="shared" si="4"/>
        <v>1</v>
      </c>
      <c r="AZ17" s="363">
        <f t="shared" si="4"/>
        <v>1</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נאותה</v>
      </c>
      <c r="BR17" s="351" t="str">
        <f t="shared" si="6"/>
        <v>לא נאותה</v>
      </c>
      <c r="BS17" s="351">
        <f t="shared" si="6"/>
        <v>0</v>
      </c>
      <c r="BT17" s="351">
        <f t="shared" si="6"/>
        <v>0</v>
      </c>
      <c r="BU17" s="351">
        <f t="shared" si="6"/>
        <v>0</v>
      </c>
    </row>
    <row r="18" spans="1:73" x14ac:dyDescent="0.25">
      <c r="A18" s="379"/>
      <c r="B18" s="379">
        <f t="shared" si="7"/>
        <v>4</v>
      </c>
      <c r="C18" s="380"/>
      <c r="D18" s="380"/>
      <c r="E18" s="381">
        <v>45047</v>
      </c>
      <c r="F18" s="385" t="s">
        <v>370</v>
      </c>
      <c r="G18" s="382"/>
      <c r="H18" s="383">
        <v>116</v>
      </c>
      <c r="I18" s="383">
        <v>84</v>
      </c>
      <c r="J18" s="383">
        <v>72</v>
      </c>
      <c r="K18" s="398">
        <f t="shared" si="8"/>
        <v>0.8571428571428571</v>
      </c>
      <c r="L18" s="383">
        <v>127</v>
      </c>
      <c r="M18" s="383">
        <v>109</v>
      </c>
      <c r="N18" s="383">
        <v>122</v>
      </c>
      <c r="O18" s="379">
        <f t="shared" si="9"/>
        <v>358</v>
      </c>
      <c r="P18" s="383">
        <v>40</v>
      </c>
      <c r="Q18" s="382">
        <v>1</v>
      </c>
      <c r="R18" s="382">
        <v>1</v>
      </c>
      <c r="S18" s="382">
        <v>1</v>
      </c>
      <c r="T18" s="379">
        <f ca="1">IF(E18="","",IF(AI18&lt;&gt;1,$AJ$1,IF(AND(S18=1,R18=1,OR(H18&gt;=פרמטרים!$B$8,INDEX('תנאי סף'!$AF$11:$AF$50,MATCH($T$1,'תנאי סף'!$A$11:$A$50,0))),OR(O18&gt;=$H$8,INDEX('תנאי סף'!$AC$11:$AC$50,MATCH($T$1,'תנאי סף'!$A$11:$A$50,0))),INDEX('תנאי סף'!$AI$11:$AI$50,MATCH($T$1,'תנאי סף'!$A$11:$A$50,0)),COUNTA($E$15:$E$44)&gt;=$H$6),1,0)))</f>
        <v>1</v>
      </c>
      <c r="U18" s="382">
        <v>0</v>
      </c>
      <c r="V18" s="382">
        <v>0</v>
      </c>
      <c r="W18" s="379"/>
      <c r="X18" s="382"/>
      <c r="Y18" s="379"/>
      <c r="Z18" s="385"/>
      <c r="AA18" s="385"/>
      <c r="AB18" s="382"/>
      <c r="AC18" s="384"/>
      <c r="AD18" s="386"/>
      <c r="AE18" s="386"/>
      <c r="AF18" s="386"/>
      <c r="AG18" s="386"/>
      <c r="AI18" s="351">
        <f t="shared" si="10"/>
        <v>1</v>
      </c>
      <c r="AJ18" s="351">
        <f t="shared" si="11"/>
        <v>0</v>
      </c>
      <c r="AK18" s="351">
        <f t="shared" si="11"/>
        <v>1</v>
      </c>
      <c r="AL18" s="363">
        <f t="shared" si="12"/>
        <v>1</v>
      </c>
      <c r="AM18" s="363">
        <f t="shared" si="4"/>
        <v>1</v>
      </c>
      <c r="AN18" s="363">
        <f t="shared" si="4"/>
        <v>1</v>
      </c>
      <c r="AO18" s="363">
        <f t="shared" si="4"/>
        <v>1</v>
      </c>
      <c r="AP18" s="363">
        <f t="shared" si="4"/>
        <v>1</v>
      </c>
      <c r="AQ18" s="363">
        <f t="shared" si="4"/>
        <v>1</v>
      </c>
      <c r="AR18" s="363">
        <f t="shared" si="4"/>
        <v>1</v>
      </c>
      <c r="AS18" s="363">
        <f t="shared" si="4"/>
        <v>1</v>
      </c>
      <c r="AT18" s="363">
        <f t="shared" si="4"/>
        <v>1</v>
      </c>
      <c r="AU18" s="363">
        <f t="shared" si="4"/>
        <v>1</v>
      </c>
      <c r="AV18" s="363">
        <f t="shared" si="4"/>
        <v>1</v>
      </c>
      <c r="AW18" s="363">
        <f t="shared" si="4"/>
        <v>1</v>
      </c>
      <c r="AX18" s="363">
        <f t="shared" si="4"/>
        <v>1</v>
      </c>
      <c r="AY18" s="363">
        <f t="shared" si="4"/>
        <v>1</v>
      </c>
      <c r="AZ18" s="363">
        <f t="shared" si="4"/>
        <v>1</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נאותה</v>
      </c>
      <c r="BR18" s="351" t="str">
        <f t="shared" si="6"/>
        <v>לא נאותה</v>
      </c>
      <c r="BS18" s="351">
        <f t="shared" si="6"/>
        <v>0</v>
      </c>
      <c r="BT18" s="351">
        <f t="shared" si="6"/>
        <v>0</v>
      </c>
      <c r="BU18" s="351">
        <f t="shared" si="6"/>
        <v>0</v>
      </c>
    </row>
    <row r="19" spans="1:73" x14ac:dyDescent="0.25">
      <c r="A19" s="379"/>
      <c r="B19" s="379">
        <f t="shared" si="7"/>
        <v>5</v>
      </c>
      <c r="C19" s="380"/>
      <c r="D19" s="380"/>
      <c r="E19" s="381">
        <v>45170</v>
      </c>
      <c r="F19" s="385" t="s">
        <v>370</v>
      </c>
      <c r="G19" s="382"/>
      <c r="H19" s="383">
        <v>64</v>
      </c>
      <c r="I19" s="383">
        <v>46</v>
      </c>
      <c r="J19" s="383">
        <v>46</v>
      </c>
      <c r="K19" s="398">
        <f t="shared" si="8"/>
        <v>1</v>
      </c>
      <c r="L19" s="383">
        <v>184</v>
      </c>
      <c r="M19" s="383">
        <v>39</v>
      </c>
      <c r="N19" s="383">
        <v>1296</v>
      </c>
      <c r="O19" s="379">
        <f t="shared" si="9"/>
        <v>1519</v>
      </c>
      <c r="P19" s="383">
        <v>40</v>
      </c>
      <c r="Q19" s="382">
        <v>1</v>
      </c>
      <c r="R19" s="382">
        <v>1</v>
      </c>
      <c r="S19" s="382">
        <v>1</v>
      </c>
      <c r="T19" s="379">
        <f ca="1">IF(E19="","",IF(AI19&lt;&gt;1,$AJ$1,IF(AND(S19=1,R19=1,OR(H19&gt;=פרמטרים!$B$8,INDEX('תנאי סף'!$AF$11:$AF$50,MATCH($T$1,'תנאי סף'!$A$11:$A$50,0))),OR(O19&gt;=$H$8,INDEX('תנאי סף'!$AC$11:$AC$50,MATCH($T$1,'תנאי סף'!$A$11:$A$50,0))),INDEX('תנאי סף'!$AI$11:$AI$50,MATCH($T$1,'תנאי סף'!$A$11:$A$50,0)),COUNTA($E$15:$E$44)&gt;=$H$6),1,0)))</f>
        <v>1</v>
      </c>
      <c r="U19" s="382">
        <v>0</v>
      </c>
      <c r="V19" s="382">
        <v>0</v>
      </c>
      <c r="W19" s="379"/>
      <c r="X19" s="382"/>
      <c r="Y19" s="379"/>
      <c r="Z19" s="385"/>
      <c r="AA19" s="385"/>
      <c r="AB19" s="382"/>
      <c r="AC19" s="384"/>
      <c r="AD19" s="386"/>
      <c r="AE19" s="386"/>
      <c r="AF19" s="386"/>
      <c r="AG19" s="386"/>
      <c r="AI19" s="351">
        <f t="shared" si="10"/>
        <v>1</v>
      </c>
      <c r="AJ19" s="351">
        <f t="shared" si="11"/>
        <v>0</v>
      </c>
      <c r="AK19" s="351">
        <f t="shared" si="11"/>
        <v>1</v>
      </c>
      <c r="AL19" s="363">
        <f t="shared" si="12"/>
        <v>1</v>
      </c>
      <c r="AM19" s="363">
        <f t="shared" si="4"/>
        <v>1</v>
      </c>
      <c r="AN19" s="363">
        <f t="shared" si="4"/>
        <v>1</v>
      </c>
      <c r="AO19" s="363">
        <f t="shared" si="4"/>
        <v>1</v>
      </c>
      <c r="AP19" s="363">
        <f t="shared" si="4"/>
        <v>1</v>
      </c>
      <c r="AQ19" s="363">
        <f t="shared" si="4"/>
        <v>1</v>
      </c>
      <c r="AR19" s="363">
        <f t="shared" si="4"/>
        <v>1</v>
      </c>
      <c r="AS19" s="363">
        <f t="shared" si="4"/>
        <v>1</v>
      </c>
      <c r="AT19" s="363">
        <f t="shared" si="4"/>
        <v>1</v>
      </c>
      <c r="AU19" s="363">
        <f t="shared" si="4"/>
        <v>1</v>
      </c>
      <c r="AV19" s="363">
        <f t="shared" si="4"/>
        <v>1</v>
      </c>
      <c r="AW19" s="363">
        <f t="shared" si="4"/>
        <v>1</v>
      </c>
      <c r="AX19" s="363">
        <f t="shared" si="4"/>
        <v>1</v>
      </c>
      <c r="AY19" s="363">
        <f t="shared" si="4"/>
        <v>1</v>
      </c>
      <c r="AZ19" s="363">
        <f t="shared" si="4"/>
        <v>1</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נאותה</v>
      </c>
      <c r="BR19" s="351" t="str">
        <f t="shared" si="6"/>
        <v>לא נאותה</v>
      </c>
      <c r="BS19" s="351">
        <f t="shared" si="6"/>
        <v>0</v>
      </c>
      <c r="BT19" s="351">
        <f t="shared" si="6"/>
        <v>0</v>
      </c>
      <c r="BU19" s="351">
        <f t="shared" si="6"/>
        <v>0</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492</v>
      </c>
      <c r="I45" s="387">
        <f>SUM(I15:I44)</f>
        <v>372</v>
      </c>
      <c r="J45" s="387">
        <f>SUM(J15:J44)</f>
        <v>331</v>
      </c>
      <c r="K45" s="387">
        <f>SUM(K15:K44)</f>
        <v>4.4902693023174951</v>
      </c>
      <c r="L45" s="387">
        <f>SUM(L15:L44)</f>
        <v>616</v>
      </c>
      <c r="M45" s="387"/>
      <c r="N45" s="387">
        <f>SUM(N15:N44)</f>
        <v>1762</v>
      </c>
      <c r="O45" s="387">
        <f>SUM(O15:O44)</f>
        <v>2844</v>
      </c>
      <c r="P45" s="387">
        <f t="shared" ref="P45:T45" si="15">SUM(P15:P44)</f>
        <v>200</v>
      </c>
      <c r="Q45" s="387"/>
      <c r="R45" s="387">
        <f t="shared" si="15"/>
        <v>5</v>
      </c>
      <c r="S45" s="387">
        <f t="shared" si="15"/>
        <v>5</v>
      </c>
      <c r="T45" s="387">
        <f t="shared" ca="1" si="15"/>
        <v>5</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RILJiqiMCk0IishVgNeioLVPnUCIJyey6wiHL8c/WQVdO1SBI4Hpwgw1io6iiNOkTHFV4JqskiaNgealnSfbcA==" saltValue="kIFon0ye6zDrEzQKYE7eoA=="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731" priority="47" stopIfTrue="1">
      <formula>AND($E15="",A15&lt;&gt;"")</formula>
    </cfRule>
    <cfRule type="expression" dxfId="730" priority="48">
      <formula>$E15=""</formula>
    </cfRule>
    <cfRule type="expression" dxfId="729" priority="49">
      <formula>A$14&lt;&gt;""</formula>
    </cfRule>
  </conditionalFormatting>
  <conditionalFormatting sqref="A16:E44 G15:P44 T15:AG44">
    <cfRule type="expression" dxfId="728" priority="51" stopIfTrue="1">
      <formula>AND($E15="",A15&lt;&gt;"")</formula>
    </cfRule>
  </conditionalFormatting>
  <conditionalFormatting sqref="F15:F44">
    <cfRule type="expression" dxfId="727" priority="13" stopIfTrue="1">
      <formula>AND($E15="",F15&lt;&gt;"")</formula>
    </cfRule>
    <cfRule type="expression" dxfId="726" priority="14">
      <formula>$E15=""</formula>
    </cfRule>
    <cfRule type="expression" dxfId="725" priority="15">
      <formula>F$14&lt;&gt;""</formula>
    </cfRule>
  </conditionalFormatting>
  <conditionalFormatting sqref="G15:P44 T15:AG44 A16:E44">
    <cfRule type="expression" dxfId="724" priority="53">
      <formula>A$14&lt;&gt;""</formula>
    </cfRule>
  </conditionalFormatting>
  <conditionalFormatting sqref="O15:O44">
    <cfRule type="cellIs" dxfId="723" priority="27" operator="equal">
      <formula>0</formula>
    </cfRule>
  </conditionalFormatting>
  <conditionalFormatting sqref="O15:S44">
    <cfRule type="expression" dxfId="722" priority="10">
      <formula>$E15=""</formula>
    </cfRule>
  </conditionalFormatting>
  <conditionalFormatting sqref="Q15:Q44">
    <cfRule type="expression" dxfId="721" priority="5">
      <formula>$E15=""</formula>
    </cfRule>
    <cfRule type="expression" dxfId="720" priority="6">
      <formula>Q$14&lt;&gt;""</formula>
    </cfRule>
  </conditionalFormatting>
  <conditionalFormatting sqref="Q15:S44">
    <cfRule type="expression" dxfId="719" priority="4" stopIfTrue="1">
      <formula>AND($E15="",Q15&lt;&gt;"")</formula>
    </cfRule>
  </conditionalFormatting>
  <conditionalFormatting sqref="R15:S44">
    <cfRule type="expression" dxfId="718" priority="11">
      <formula>R$14&lt;&gt;""</formula>
    </cfRule>
  </conditionalFormatting>
  <conditionalFormatting sqref="Y15 G15:N44 P15:P44 T15:X44 AB15:AG44 A16:E44 Y16:AA44">
    <cfRule type="expression" dxfId="717" priority="52">
      <formula>$E15=""</formula>
    </cfRule>
  </conditionalFormatting>
  <conditionalFormatting sqref="Z15:AA15">
    <cfRule type="expression" dxfId="716"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23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3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2300-000002000000}">
      <formula1>$AJ$15:$AK$15</formula1>
    </dataValidation>
    <dataValidation type="list" allowBlank="1" showInputMessage="1" showErrorMessage="1" sqref="F14" xr:uid="{00000000-0002-0000-2300-000003000000}">
      <formula1>$AO$1:$BP$1</formula1>
    </dataValidation>
    <dataValidation type="list" allowBlank="1" showInputMessage="1" showErrorMessage="1" sqref="E14 Z14:AB14 L14:N14 U14:V14 X14 G14:J14 P14:S14" xr:uid="{00000000-0002-0000-23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2300-000005000000}"/>
    <dataValidation type="whole" operator="greaterThanOrEqual" allowBlank="1" showInputMessage="1" showErrorMessage="1" errorTitle="נתון שגוי." error="ניתן להזין רק מספר שלם גדול או שווה ל-0." sqref="H15:J44 L15:N44" xr:uid="{00000000-0002-0000-23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300-000007000000}">
      <formula1>$AN$4:$AO$4</formula1>
    </dataValidation>
    <dataValidation type="decimal" operator="greaterThanOrEqual" allowBlank="1" showInputMessage="1" showErrorMessage="1" errorTitle="נתון שגוי." error="ניתן להזין רק מספר חיובי." sqref="P15:P44" xr:uid="{00000000-0002-0000-23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23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95690A33-2236-4545-B845-4BB24BC7BAD6}">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A1C1DE3C-C230-49F6-BD46-D6948B84086E}">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601849CA-80BB-4463-B89C-2803A6E962BD}">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2E59D57D-0DC7-4D09-93BD-5911DD2B1B25}">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57CFF86E-6BF5-43EC-B82A-ED7FEEAB1364}">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65BD7D9A-E06B-4B7E-99BD-8CEA1AE1BC02}">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5FD6C2FF-0BEA-4648-9EEA-079B69CF1BA1}">
            <xm:f>NOT(ISERROR(SEARCH($AJ$1,Y15)))</xm:f>
            <xm:f>$AJ$1</xm:f>
            <x14:dxf>
              <fill>
                <patternFill>
                  <bgColor rgb="FFFF0000"/>
                </patternFill>
              </fill>
            </x14:dxf>
          </x14:cfRule>
          <xm:sqref>AD15:AG44 Y16:Y44</xm:sqref>
        </x14:conditionalFormatting>
      </x14:conditionalFormattings>
    </ext>
  </extLs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גיליון26">
    <tabColor theme="8" tint="0.59999389629810485"/>
    <pageSetUpPr fitToPage="1"/>
  </sheetPr>
  <dimension ref="A1:CZ45"/>
  <sheetViews>
    <sheetView rightToLeft="1" topLeftCell="B6" zoomScale="85" zoomScaleNormal="85" workbookViewId="0">
      <selection activeCell="B16" sqref="B16"/>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עמדה (עמותת מונטן)</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11</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1</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2</v>
      </c>
      <c r="Q2" s="401"/>
      <c r="R2" s="515" cm="1">
        <f t="array" aca="1" ref="R2" ca="1">SUMPRODUCT(L2:P2,TRANSPOSE('היקף החוברות'!D4:D8))</f>
        <v>10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2</v>
      </c>
      <c r="Q3" s="401" cm="1">
        <f t="array" aca="1" ref="Q3" ca="1">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45170</v>
      </c>
      <c r="F15" s="385" t="s">
        <v>626</v>
      </c>
      <c r="G15" s="382"/>
      <c r="H15" s="383">
        <v>216</v>
      </c>
      <c r="I15" s="383">
        <v>22</v>
      </c>
      <c r="J15" s="383">
        <v>22</v>
      </c>
      <c r="K15" s="398">
        <f>IFERROR(J15/I15,"")</f>
        <v>1</v>
      </c>
      <c r="L15" s="383">
        <v>0</v>
      </c>
      <c r="M15" s="383">
        <v>350</v>
      </c>
      <c r="N15" s="383">
        <v>150</v>
      </c>
      <c r="O15" s="379">
        <f>IF(E15="","",L15+M15+N15)</f>
        <v>500</v>
      </c>
      <c r="P15" s="383">
        <v>63</v>
      </c>
      <c r="Q15" s="382">
        <v>0</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45170</v>
      </c>
      <c r="F16" s="385" t="s">
        <v>626</v>
      </c>
      <c r="G16" s="382"/>
      <c r="H16" s="383">
        <v>294</v>
      </c>
      <c r="I16" s="383">
        <v>32</v>
      </c>
      <c r="J16" s="383">
        <v>32</v>
      </c>
      <c r="K16" s="398">
        <f t="shared" ref="K16:K44" si="8">IFERROR(J16/I16,"")</f>
        <v>1</v>
      </c>
      <c r="L16" s="383">
        <v>0</v>
      </c>
      <c r="M16" s="383">
        <v>350</v>
      </c>
      <c r="N16" s="383">
        <v>150</v>
      </c>
      <c r="O16" s="379">
        <f t="shared" ref="O16:O44" si="9">IF(E16="","",L16+M16+N16)</f>
        <v>500</v>
      </c>
      <c r="P16" s="383">
        <v>74</v>
      </c>
      <c r="Q16" s="382">
        <v>0</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510</v>
      </c>
      <c r="I45" s="387">
        <f>SUM(I15:I44)</f>
        <v>54</v>
      </c>
      <c r="J45" s="387">
        <f>SUM(J15:J44)</f>
        <v>54</v>
      </c>
      <c r="K45" s="387">
        <f>SUM(K15:K44)</f>
        <v>2</v>
      </c>
      <c r="L45" s="387">
        <f>SUM(L15:L44)</f>
        <v>0</v>
      </c>
      <c r="M45" s="387"/>
      <c r="N45" s="387">
        <f>SUM(N15:N44)</f>
        <v>300</v>
      </c>
      <c r="O45" s="387">
        <f>SUM(O15:O44)</f>
        <v>1000</v>
      </c>
      <c r="P45" s="387">
        <f t="shared" ref="P45:T45" si="15">SUM(P15:P44)</f>
        <v>137</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s8ANhozGRnM6XQR/QQb/ZiyAtZVCmRl+1lrgqyBT0zMC6J4u1yrFfn+s8TXmcmXFVxkCfL2TLXC7++OEVN+MPQ==" saltValue="UGCFWlBBri7i8Ok3xRFVxA=="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708" priority="47" stopIfTrue="1">
      <formula>AND($E15="",A15&lt;&gt;"")</formula>
    </cfRule>
    <cfRule type="expression" dxfId="707" priority="48">
      <formula>$E15=""</formula>
    </cfRule>
    <cfRule type="expression" dxfId="706" priority="49">
      <formula>A$14&lt;&gt;""</formula>
    </cfRule>
  </conditionalFormatting>
  <conditionalFormatting sqref="A16:E44 G15:P44 T15:AG44">
    <cfRule type="expression" dxfId="705" priority="51" stopIfTrue="1">
      <formula>AND($E15="",A15&lt;&gt;"")</formula>
    </cfRule>
  </conditionalFormatting>
  <conditionalFormatting sqref="F15:F44">
    <cfRule type="expression" dxfId="704" priority="13" stopIfTrue="1">
      <formula>AND($E15="",F15&lt;&gt;"")</formula>
    </cfRule>
    <cfRule type="expression" dxfId="703" priority="14">
      <formula>$E15=""</formula>
    </cfRule>
    <cfRule type="expression" dxfId="702" priority="15">
      <formula>F$14&lt;&gt;""</formula>
    </cfRule>
  </conditionalFormatting>
  <conditionalFormatting sqref="G15:P44 T15:AG44 A16:E44">
    <cfRule type="expression" dxfId="701" priority="53">
      <formula>A$14&lt;&gt;""</formula>
    </cfRule>
  </conditionalFormatting>
  <conditionalFormatting sqref="O15:O44">
    <cfRule type="cellIs" dxfId="700" priority="27" operator="equal">
      <formula>0</formula>
    </cfRule>
  </conditionalFormatting>
  <conditionalFormatting sqref="O15:S44">
    <cfRule type="expression" dxfId="699" priority="10">
      <formula>$E15=""</formula>
    </cfRule>
  </conditionalFormatting>
  <conditionalFormatting sqref="Q15:Q44">
    <cfRule type="expression" dxfId="698" priority="5">
      <formula>$E15=""</formula>
    </cfRule>
    <cfRule type="expression" dxfId="697" priority="6">
      <formula>Q$14&lt;&gt;""</formula>
    </cfRule>
  </conditionalFormatting>
  <conditionalFormatting sqref="Q15:S44">
    <cfRule type="expression" dxfId="696" priority="4" stopIfTrue="1">
      <formula>AND($E15="",Q15&lt;&gt;"")</formula>
    </cfRule>
  </conditionalFormatting>
  <conditionalFormatting sqref="R15:S44">
    <cfRule type="expression" dxfId="695" priority="11">
      <formula>R$14&lt;&gt;""</formula>
    </cfRule>
  </conditionalFormatting>
  <conditionalFormatting sqref="Y15 G15:N44 P15:P44 T15:X44 AB15:AG44 A16:E44 Y16:AA44">
    <cfRule type="expression" dxfId="694" priority="52">
      <formula>$E15=""</formula>
    </cfRule>
  </conditionalFormatting>
  <conditionalFormatting sqref="Z15:AA15">
    <cfRule type="expression" dxfId="693"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24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4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2400-000002000000}">
      <formula1>$AJ$15:$AK$15</formula1>
    </dataValidation>
    <dataValidation type="list" allowBlank="1" showInputMessage="1" showErrorMessage="1" sqref="F14" xr:uid="{00000000-0002-0000-2400-000003000000}">
      <formula1>$AO$1:$BP$1</formula1>
    </dataValidation>
    <dataValidation type="list" allowBlank="1" showInputMessage="1" showErrorMessage="1" sqref="E14 Z14:AB14 L14:N14 U14:V14 X14 G14:J14 P14:S14" xr:uid="{00000000-0002-0000-24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2400-000005000000}"/>
    <dataValidation type="whole" operator="greaterThanOrEqual" allowBlank="1" showInputMessage="1" showErrorMessage="1" errorTitle="נתון שגוי." error="ניתן להזין רק מספר שלם גדול או שווה ל-0." sqref="H15:J44 L15:N44" xr:uid="{00000000-0002-0000-24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400-000007000000}">
      <formula1>$AN$4:$AO$4</formula1>
    </dataValidation>
    <dataValidation type="decimal" operator="greaterThanOrEqual" allowBlank="1" showInputMessage="1" showErrorMessage="1" errorTitle="נתון שגוי." error="ניתן להזין רק מספר חיובי." sqref="P15:P44" xr:uid="{00000000-0002-0000-24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24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D3200DFC-89E6-4F1F-89E6-F6F1BF47B646}">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5CA863D5-DEDB-4C29-BC72-FE39D1CFC3D2}">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4E5C2310-446D-4186-87AB-DA6362653DF7}">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99D9E993-97D4-463B-B7B1-B66FFB09DD30}">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61733BBE-C0D3-42F0-8FC6-129EE53D10B1}">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9DA0E18F-33A0-47CD-8AB6-75B89632C3E7}">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4F730646-05C2-4EFB-A6B3-CAFFE38CE203}">
            <xm:f>NOT(ISERROR(SEARCH($AJ$1,Y15)))</xm:f>
            <xm:f>$AJ$1</xm:f>
            <x14:dxf>
              <fill>
                <patternFill>
                  <bgColor rgb="FFFF0000"/>
                </patternFill>
              </fill>
            </x14:dxf>
          </x14:cfRule>
          <xm:sqref>AD15:AG44 Y16:Y44</xm:sqref>
        </x14:conditionalFormatting>
      </x14:conditionalFormatting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גיליון27">
    <tabColor theme="8" tint="0.59999389629810485"/>
    <pageSetUpPr fitToPage="1"/>
  </sheetPr>
  <dimension ref="A1:CZ45"/>
  <sheetViews>
    <sheetView rightToLeft="1" topLeftCell="B5" zoomScale="85" zoomScaleNormal="85" workbookViewId="0">
      <selection activeCell="Q16" sqref="Q16:S20"/>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עתון 77 (אגודת סופרים ואמנים)</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12</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0.86746987951807231</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6</v>
      </c>
      <c r="O2" s="401" cm="1">
        <f t="array" aca="1" ref="O2" ca="1">SUMPRODUCT(--($H$15:$H$44&lt;פרמטרים!$B$12)*($H$15:$H$44&gt;=פרמטרים!$B$8),$T$15:$T$44)-SUM($L$2:N2)</f>
        <v>0</v>
      </c>
      <c r="P2" s="401" cm="1">
        <f t="array" aca="1" ref="P2" ca="1">SUMPRODUCT(--($H$15:$H$44&gt;=פרמטרים!$B$12),$T$15:$T$44)</f>
        <v>0</v>
      </c>
      <c r="Q2" s="401"/>
      <c r="R2" s="515" cm="1">
        <f t="array" aca="1" ref="R2" ca="1">SUMPRODUCT(L2:P2,TRANSPOSE('היקף החוברות'!D4:D8))</f>
        <v>18</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6</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6</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6</v>
      </c>
      <c r="R9" s="401">
        <f>COUNTIF(R$15:$R$44,"=1")</f>
        <v>6</v>
      </c>
      <c r="S9" s="401">
        <f>COUNTIF($S$15:$S$44,"=1")</f>
        <v>6</v>
      </c>
      <c r="T9" s="401">
        <f ca="1">COUNTIF($T$15:$T$44,"=1")</f>
        <v>6</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44835</v>
      </c>
      <c r="F15" s="385" t="s">
        <v>371</v>
      </c>
      <c r="G15" s="382"/>
      <c r="H15" s="383">
        <v>66</v>
      </c>
      <c r="I15" s="383">
        <v>49</v>
      </c>
      <c r="J15" s="383">
        <v>48</v>
      </c>
      <c r="K15" s="398">
        <f>IFERROR(J15/I15,"")</f>
        <v>0.97959183673469385</v>
      </c>
      <c r="L15" s="383">
        <v>215</v>
      </c>
      <c r="M15" s="383">
        <v>5</v>
      </c>
      <c r="N15" s="383">
        <v>112</v>
      </c>
      <c r="O15" s="379">
        <f>IF(E15="","",L15+M15+N15)</f>
        <v>332</v>
      </c>
      <c r="P15" s="383">
        <v>50</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44927</v>
      </c>
      <c r="F16" s="385" t="s">
        <v>371</v>
      </c>
      <c r="G16" s="382"/>
      <c r="H16" s="383">
        <v>71</v>
      </c>
      <c r="I16" s="383">
        <v>62</v>
      </c>
      <c r="J16" s="383">
        <v>55</v>
      </c>
      <c r="K16" s="398">
        <f t="shared" ref="K16:K44" si="8">IFERROR(J16/I16,"")</f>
        <v>0.88709677419354838</v>
      </c>
      <c r="L16" s="383">
        <v>200</v>
      </c>
      <c r="M16" s="383">
        <v>6</v>
      </c>
      <c r="N16" s="383">
        <v>110</v>
      </c>
      <c r="O16" s="379">
        <f t="shared" ref="O16:O44" si="9">IF(E16="","",L16+M16+N16)</f>
        <v>316</v>
      </c>
      <c r="P16" s="383">
        <v>50</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f t="shared" si="7"/>
        <v>3</v>
      </c>
      <c r="C17" s="380"/>
      <c r="D17" s="380"/>
      <c r="E17" s="381">
        <v>44958</v>
      </c>
      <c r="F17" s="385" t="s">
        <v>371</v>
      </c>
      <c r="G17" s="382"/>
      <c r="H17" s="383">
        <v>71</v>
      </c>
      <c r="I17" s="383">
        <v>50</v>
      </c>
      <c r="J17" s="383">
        <v>45</v>
      </c>
      <c r="K17" s="398">
        <f t="shared" si="8"/>
        <v>0.9</v>
      </c>
      <c r="L17" s="383">
        <v>200</v>
      </c>
      <c r="M17" s="383">
        <v>6</v>
      </c>
      <c r="N17" s="383">
        <v>110</v>
      </c>
      <c r="O17" s="379">
        <f t="shared" si="9"/>
        <v>316</v>
      </c>
      <c r="P17" s="383">
        <v>50</v>
      </c>
      <c r="Q17" s="382">
        <v>1</v>
      </c>
      <c r="R17" s="382">
        <v>1</v>
      </c>
      <c r="S17" s="382">
        <v>1</v>
      </c>
      <c r="T17" s="379">
        <f ca="1">IF(E17="","",IF(AI17&lt;&gt;1,$AJ$1,IF(AND(S17=1,R17=1,OR(H17&gt;=פרמטרים!$B$8,INDEX('תנאי סף'!$AF$11:$AF$50,MATCH($T$1,'תנאי סף'!$A$11:$A$50,0))),OR(O17&gt;=$H$8,INDEX('תנאי סף'!$AC$11:$AC$50,MATCH($T$1,'תנאי סף'!$A$11:$A$50,0))),INDEX('תנאי סף'!$AI$11:$AI$50,MATCH($T$1,'תנאי סף'!$A$11:$A$50,0)),COUNTA($E$15:$E$44)&gt;=$H$6),1,0)))</f>
        <v>1</v>
      </c>
      <c r="U17" s="382">
        <v>0</v>
      </c>
      <c r="V17" s="382">
        <v>0</v>
      </c>
      <c r="W17" s="379"/>
      <c r="X17" s="382"/>
      <c r="Y17" s="379"/>
      <c r="Z17" s="385"/>
      <c r="AA17" s="385"/>
      <c r="AB17" s="382"/>
      <c r="AC17" s="384"/>
      <c r="AD17" s="386"/>
      <c r="AE17" s="386"/>
      <c r="AF17" s="386"/>
      <c r="AG17" s="386"/>
      <c r="AI17" s="351">
        <f t="shared" si="10"/>
        <v>1</v>
      </c>
      <c r="AJ17" s="351">
        <f t="shared" si="11"/>
        <v>0</v>
      </c>
      <c r="AK17" s="351">
        <f t="shared" si="11"/>
        <v>1</v>
      </c>
      <c r="AL17" s="363">
        <f t="shared" si="12"/>
        <v>1</v>
      </c>
      <c r="AM17" s="363">
        <f t="shared" si="4"/>
        <v>1</v>
      </c>
      <c r="AN17" s="363">
        <f t="shared" si="4"/>
        <v>1</v>
      </c>
      <c r="AO17" s="363">
        <f t="shared" si="4"/>
        <v>1</v>
      </c>
      <c r="AP17" s="363">
        <f t="shared" si="4"/>
        <v>1</v>
      </c>
      <c r="AQ17" s="363">
        <f t="shared" si="4"/>
        <v>1</v>
      </c>
      <c r="AR17" s="363">
        <f t="shared" si="4"/>
        <v>1</v>
      </c>
      <c r="AS17" s="363">
        <f t="shared" si="4"/>
        <v>1</v>
      </c>
      <c r="AT17" s="363">
        <f t="shared" si="4"/>
        <v>1</v>
      </c>
      <c r="AU17" s="363">
        <f t="shared" si="4"/>
        <v>1</v>
      </c>
      <c r="AV17" s="363">
        <f t="shared" si="4"/>
        <v>1</v>
      </c>
      <c r="AW17" s="363">
        <f t="shared" si="4"/>
        <v>1</v>
      </c>
      <c r="AX17" s="363">
        <f t="shared" si="4"/>
        <v>1</v>
      </c>
      <c r="AY17" s="363">
        <f t="shared" si="4"/>
        <v>1</v>
      </c>
      <c r="AZ17" s="363">
        <f t="shared" si="4"/>
        <v>1</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נאותה</v>
      </c>
      <c r="BR17" s="351" t="str">
        <f t="shared" si="6"/>
        <v>לא נאותה</v>
      </c>
      <c r="BS17" s="351">
        <f t="shared" si="6"/>
        <v>0</v>
      </c>
      <c r="BT17" s="351">
        <f t="shared" si="6"/>
        <v>0</v>
      </c>
      <c r="BU17" s="351">
        <f t="shared" si="6"/>
        <v>0</v>
      </c>
    </row>
    <row r="18" spans="1:73" x14ac:dyDescent="0.25">
      <c r="A18" s="379"/>
      <c r="B18" s="379">
        <f t="shared" si="7"/>
        <v>4</v>
      </c>
      <c r="C18" s="380"/>
      <c r="D18" s="380"/>
      <c r="E18" s="381">
        <v>45017</v>
      </c>
      <c r="F18" s="385" t="s">
        <v>371</v>
      </c>
      <c r="G18" s="382"/>
      <c r="H18" s="383">
        <v>70</v>
      </c>
      <c r="I18" s="383">
        <v>55</v>
      </c>
      <c r="J18" s="383">
        <v>50</v>
      </c>
      <c r="K18" s="398">
        <f t="shared" si="8"/>
        <v>0.90909090909090906</v>
      </c>
      <c r="L18" s="383">
        <v>200</v>
      </c>
      <c r="M18" s="383">
        <v>5</v>
      </c>
      <c r="N18" s="383">
        <v>110</v>
      </c>
      <c r="O18" s="379">
        <f t="shared" si="9"/>
        <v>315</v>
      </c>
      <c r="P18" s="383">
        <v>50</v>
      </c>
      <c r="Q18" s="382">
        <v>1</v>
      </c>
      <c r="R18" s="382">
        <v>1</v>
      </c>
      <c r="S18" s="382">
        <v>1</v>
      </c>
      <c r="T18" s="379">
        <f ca="1">IF(E18="","",IF(AI18&lt;&gt;1,$AJ$1,IF(AND(S18=1,R18=1,OR(H18&gt;=פרמטרים!$B$8,INDEX('תנאי סף'!$AF$11:$AF$50,MATCH($T$1,'תנאי סף'!$A$11:$A$50,0))),OR(O18&gt;=$H$8,INDEX('תנאי סף'!$AC$11:$AC$50,MATCH($T$1,'תנאי סף'!$A$11:$A$50,0))),INDEX('תנאי סף'!$AI$11:$AI$50,MATCH($T$1,'תנאי סף'!$A$11:$A$50,0)),COUNTA($E$15:$E$44)&gt;=$H$6),1,0)))</f>
        <v>1</v>
      </c>
      <c r="U18" s="382">
        <v>0</v>
      </c>
      <c r="V18" s="382">
        <v>0</v>
      </c>
      <c r="W18" s="379"/>
      <c r="X18" s="382"/>
      <c r="Y18" s="379"/>
      <c r="Z18" s="385"/>
      <c r="AA18" s="385"/>
      <c r="AB18" s="382"/>
      <c r="AC18" s="384"/>
      <c r="AD18" s="386"/>
      <c r="AE18" s="386"/>
      <c r="AF18" s="386"/>
      <c r="AG18" s="386"/>
      <c r="AI18" s="351">
        <f t="shared" si="10"/>
        <v>1</v>
      </c>
      <c r="AJ18" s="351">
        <f t="shared" si="11"/>
        <v>0</v>
      </c>
      <c r="AK18" s="351">
        <f t="shared" si="11"/>
        <v>1</v>
      </c>
      <c r="AL18" s="363">
        <f t="shared" si="12"/>
        <v>1</v>
      </c>
      <c r="AM18" s="363">
        <f t="shared" si="4"/>
        <v>1</v>
      </c>
      <c r="AN18" s="363">
        <f t="shared" si="4"/>
        <v>1</v>
      </c>
      <c r="AO18" s="363">
        <f t="shared" si="4"/>
        <v>1</v>
      </c>
      <c r="AP18" s="363">
        <f t="shared" si="4"/>
        <v>1</v>
      </c>
      <c r="AQ18" s="363">
        <f t="shared" si="4"/>
        <v>1</v>
      </c>
      <c r="AR18" s="363">
        <f t="shared" si="4"/>
        <v>1</v>
      </c>
      <c r="AS18" s="363">
        <f t="shared" si="4"/>
        <v>1</v>
      </c>
      <c r="AT18" s="363">
        <f t="shared" si="4"/>
        <v>1</v>
      </c>
      <c r="AU18" s="363">
        <f t="shared" si="4"/>
        <v>1</v>
      </c>
      <c r="AV18" s="363">
        <f t="shared" si="4"/>
        <v>1</v>
      </c>
      <c r="AW18" s="363">
        <f t="shared" si="4"/>
        <v>1</v>
      </c>
      <c r="AX18" s="363">
        <f t="shared" si="4"/>
        <v>1</v>
      </c>
      <c r="AY18" s="363">
        <f t="shared" si="4"/>
        <v>1</v>
      </c>
      <c r="AZ18" s="363">
        <f t="shared" si="4"/>
        <v>1</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נאותה</v>
      </c>
      <c r="BR18" s="351" t="str">
        <f t="shared" si="6"/>
        <v>לא נאותה</v>
      </c>
      <c r="BS18" s="351">
        <f t="shared" si="6"/>
        <v>0</v>
      </c>
      <c r="BT18" s="351">
        <f t="shared" si="6"/>
        <v>0</v>
      </c>
      <c r="BU18" s="351">
        <f t="shared" si="6"/>
        <v>0</v>
      </c>
    </row>
    <row r="19" spans="1:73" x14ac:dyDescent="0.25">
      <c r="A19" s="379"/>
      <c r="B19" s="379">
        <f t="shared" si="7"/>
        <v>5</v>
      </c>
      <c r="C19" s="380"/>
      <c r="D19" s="380"/>
      <c r="E19" s="381">
        <v>45078</v>
      </c>
      <c r="F19" s="385" t="s">
        <v>371</v>
      </c>
      <c r="G19" s="382"/>
      <c r="H19" s="383">
        <v>71</v>
      </c>
      <c r="I19" s="383">
        <v>66</v>
      </c>
      <c r="J19" s="383">
        <v>45</v>
      </c>
      <c r="K19" s="398">
        <f t="shared" si="8"/>
        <v>0.68181818181818177</v>
      </c>
      <c r="L19" s="383">
        <v>200</v>
      </c>
      <c r="M19" s="383">
        <v>20</v>
      </c>
      <c r="N19" s="383">
        <v>115</v>
      </c>
      <c r="O19" s="379">
        <f t="shared" si="9"/>
        <v>335</v>
      </c>
      <c r="P19" s="383">
        <v>50</v>
      </c>
      <c r="Q19" s="382">
        <v>1</v>
      </c>
      <c r="R19" s="382">
        <v>1</v>
      </c>
      <c r="S19" s="382">
        <v>1</v>
      </c>
      <c r="T19" s="379">
        <f ca="1">IF(E19="","",IF(AI19&lt;&gt;1,$AJ$1,IF(AND(S19=1,R19=1,OR(H19&gt;=פרמטרים!$B$8,INDEX('תנאי סף'!$AF$11:$AF$50,MATCH($T$1,'תנאי סף'!$A$11:$A$50,0))),OR(O19&gt;=$H$8,INDEX('תנאי סף'!$AC$11:$AC$50,MATCH($T$1,'תנאי סף'!$A$11:$A$50,0))),INDEX('תנאי סף'!$AI$11:$AI$50,MATCH($T$1,'תנאי סף'!$A$11:$A$50,0)),COUNTA($E$15:$E$44)&gt;=$H$6),1,0)))</f>
        <v>1</v>
      </c>
      <c r="U19" s="382">
        <v>0</v>
      </c>
      <c r="V19" s="382">
        <v>0</v>
      </c>
      <c r="W19" s="379"/>
      <c r="X19" s="382"/>
      <c r="Y19" s="379"/>
      <c r="Z19" s="385"/>
      <c r="AA19" s="385"/>
      <c r="AB19" s="382"/>
      <c r="AC19" s="384"/>
      <c r="AD19" s="386"/>
      <c r="AE19" s="386"/>
      <c r="AF19" s="386"/>
      <c r="AG19" s="386"/>
      <c r="AI19" s="351">
        <f t="shared" si="10"/>
        <v>1</v>
      </c>
      <c r="AJ19" s="351">
        <f t="shared" si="11"/>
        <v>0</v>
      </c>
      <c r="AK19" s="351">
        <f t="shared" si="11"/>
        <v>1</v>
      </c>
      <c r="AL19" s="363">
        <f t="shared" si="12"/>
        <v>1</v>
      </c>
      <c r="AM19" s="363">
        <f t="shared" si="4"/>
        <v>1</v>
      </c>
      <c r="AN19" s="363">
        <f t="shared" si="4"/>
        <v>1</v>
      </c>
      <c r="AO19" s="363">
        <f t="shared" si="4"/>
        <v>1</v>
      </c>
      <c r="AP19" s="363">
        <f t="shared" si="4"/>
        <v>1</v>
      </c>
      <c r="AQ19" s="363">
        <f t="shared" si="4"/>
        <v>1</v>
      </c>
      <c r="AR19" s="363">
        <f t="shared" si="4"/>
        <v>1</v>
      </c>
      <c r="AS19" s="363">
        <f t="shared" si="4"/>
        <v>1</v>
      </c>
      <c r="AT19" s="363">
        <f t="shared" si="4"/>
        <v>1</v>
      </c>
      <c r="AU19" s="363">
        <f t="shared" si="4"/>
        <v>1</v>
      </c>
      <c r="AV19" s="363">
        <f t="shared" si="4"/>
        <v>1</v>
      </c>
      <c r="AW19" s="363">
        <f t="shared" si="4"/>
        <v>1</v>
      </c>
      <c r="AX19" s="363">
        <f t="shared" si="4"/>
        <v>1</v>
      </c>
      <c r="AY19" s="363">
        <f t="shared" si="4"/>
        <v>1</v>
      </c>
      <c r="AZ19" s="363">
        <f t="shared" si="4"/>
        <v>1</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נאותה</v>
      </c>
      <c r="BR19" s="351" t="str">
        <f t="shared" si="6"/>
        <v>לא נאותה</v>
      </c>
      <c r="BS19" s="351">
        <f t="shared" si="6"/>
        <v>0</v>
      </c>
      <c r="BT19" s="351">
        <f t="shared" si="6"/>
        <v>0</v>
      </c>
      <c r="BU19" s="351">
        <f t="shared" si="6"/>
        <v>0</v>
      </c>
    </row>
    <row r="20" spans="1:73" x14ac:dyDescent="0.25">
      <c r="A20" s="379"/>
      <c r="B20" s="379">
        <f t="shared" si="7"/>
        <v>6</v>
      </c>
      <c r="C20" s="380"/>
      <c r="D20" s="380"/>
      <c r="E20" s="381">
        <v>45139</v>
      </c>
      <c r="F20" s="385" t="s">
        <v>371</v>
      </c>
      <c r="G20" s="382"/>
      <c r="H20" s="383">
        <v>71</v>
      </c>
      <c r="I20" s="383">
        <v>50</v>
      </c>
      <c r="J20" s="383">
        <v>45</v>
      </c>
      <c r="K20" s="398">
        <f t="shared" si="8"/>
        <v>0.9</v>
      </c>
      <c r="L20" s="383">
        <v>200</v>
      </c>
      <c r="M20" s="383">
        <v>6</v>
      </c>
      <c r="N20" s="383">
        <v>110</v>
      </c>
      <c r="O20" s="379">
        <f t="shared" si="9"/>
        <v>316</v>
      </c>
      <c r="P20" s="383">
        <v>50</v>
      </c>
      <c r="Q20" s="382">
        <v>1</v>
      </c>
      <c r="R20" s="382">
        <v>1</v>
      </c>
      <c r="S20" s="382">
        <v>1</v>
      </c>
      <c r="T20" s="379">
        <f ca="1">IF(E20="","",IF(AI20&lt;&gt;1,$AJ$1,IF(AND(S20=1,R20=1,OR(H20&gt;=פרמטרים!$B$8,INDEX('תנאי סף'!$AF$11:$AF$50,MATCH($T$1,'תנאי סף'!$A$11:$A$50,0))),OR(O20&gt;=$H$8,INDEX('תנאי סף'!$AC$11:$AC$50,MATCH($T$1,'תנאי סף'!$A$11:$A$50,0))),INDEX('תנאי סף'!$AI$11:$AI$50,MATCH($T$1,'תנאי סף'!$A$11:$A$50,0)),COUNTA($E$15:$E$44)&gt;=$H$6),1,0)))</f>
        <v>1</v>
      </c>
      <c r="U20" s="382">
        <v>0</v>
      </c>
      <c r="V20" s="382">
        <v>0</v>
      </c>
      <c r="W20" s="379"/>
      <c r="X20" s="382"/>
      <c r="Y20" s="379"/>
      <c r="Z20" s="385"/>
      <c r="AA20" s="385"/>
      <c r="AB20" s="382"/>
      <c r="AC20" s="384"/>
      <c r="AD20" s="386"/>
      <c r="AE20" s="386"/>
      <c r="AF20" s="386"/>
      <c r="AG20" s="386"/>
      <c r="AI20" s="351">
        <f t="shared" si="10"/>
        <v>1</v>
      </c>
      <c r="AJ20" s="351">
        <f t="shared" si="11"/>
        <v>0</v>
      </c>
      <c r="AK20" s="351">
        <f t="shared" si="11"/>
        <v>1</v>
      </c>
      <c r="AL20" s="363">
        <f t="shared" si="12"/>
        <v>1</v>
      </c>
      <c r="AM20" s="363">
        <f t="shared" si="4"/>
        <v>1</v>
      </c>
      <c r="AN20" s="363">
        <f t="shared" si="4"/>
        <v>1</v>
      </c>
      <c r="AO20" s="363">
        <f t="shared" si="4"/>
        <v>1</v>
      </c>
      <c r="AP20" s="363">
        <f t="shared" si="4"/>
        <v>1</v>
      </c>
      <c r="AQ20" s="363">
        <f t="shared" si="4"/>
        <v>1</v>
      </c>
      <c r="AR20" s="363">
        <f t="shared" si="4"/>
        <v>1</v>
      </c>
      <c r="AS20" s="363">
        <f t="shared" si="4"/>
        <v>1</v>
      </c>
      <c r="AT20" s="363">
        <f t="shared" si="4"/>
        <v>1</v>
      </c>
      <c r="AU20" s="363">
        <f t="shared" si="4"/>
        <v>1</v>
      </c>
      <c r="AV20" s="363">
        <f t="shared" si="4"/>
        <v>1</v>
      </c>
      <c r="AW20" s="363">
        <f t="shared" si="4"/>
        <v>1</v>
      </c>
      <c r="AX20" s="363">
        <f t="shared" si="4"/>
        <v>1</v>
      </c>
      <c r="AY20" s="363">
        <f t="shared" si="4"/>
        <v>1</v>
      </c>
      <c r="AZ20" s="363">
        <f t="shared" si="4"/>
        <v>1</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נאותה</v>
      </c>
      <c r="BR20" s="351" t="str">
        <f t="shared" si="6"/>
        <v>לא נאותה</v>
      </c>
      <c r="BS20" s="351">
        <f t="shared" si="6"/>
        <v>0</v>
      </c>
      <c r="BT20" s="351">
        <f t="shared" si="6"/>
        <v>0</v>
      </c>
      <c r="BU20" s="351">
        <f t="shared" si="6"/>
        <v>0</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420</v>
      </c>
      <c r="I45" s="387">
        <f>SUM(I15:I44)</f>
        <v>332</v>
      </c>
      <c r="J45" s="387">
        <f>SUM(J15:J44)</f>
        <v>288</v>
      </c>
      <c r="K45" s="387">
        <f>SUM(K15:K44)</f>
        <v>5.2575977018373337</v>
      </c>
      <c r="L45" s="387">
        <f>SUM(L15:L44)</f>
        <v>1215</v>
      </c>
      <c r="M45" s="387"/>
      <c r="N45" s="387">
        <f>SUM(N15:N44)</f>
        <v>667</v>
      </c>
      <c r="O45" s="387">
        <f>SUM(O15:O44)</f>
        <v>1930</v>
      </c>
      <c r="P45" s="387">
        <f t="shared" ref="P45:T45" si="15">SUM(P15:P44)</f>
        <v>300</v>
      </c>
      <c r="Q45" s="387"/>
      <c r="R45" s="387">
        <f t="shared" si="15"/>
        <v>6</v>
      </c>
      <c r="S45" s="387">
        <f t="shared" si="15"/>
        <v>6</v>
      </c>
      <c r="T45" s="387">
        <f t="shared" ca="1" si="15"/>
        <v>6</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hQF7rWRJZpnHkqv7U9eSrRIkrlRA8ldhKeARVCefcSxmp7m+k8GokPK0jBW54pj04BnMvqhPKinskXJ6dmSvnQ==" saltValue="RcTg1bOU50tu0KiZigD9a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phoneticPr fontId="24" type="noConversion"/>
  <conditionalFormatting sqref="A15:E15 B16:B44">
    <cfRule type="expression" dxfId="685" priority="47" stopIfTrue="1">
      <formula>AND($E15="",A15&lt;&gt;"")</formula>
    </cfRule>
    <cfRule type="expression" dxfId="684" priority="48">
      <formula>$E15=""</formula>
    </cfRule>
    <cfRule type="expression" dxfId="683" priority="49">
      <formula>A$14&lt;&gt;""</formula>
    </cfRule>
  </conditionalFormatting>
  <conditionalFormatting sqref="A16:E44 G15:P44 T15:AG44">
    <cfRule type="expression" dxfId="682" priority="51" stopIfTrue="1">
      <formula>AND($E15="",A15&lt;&gt;"")</formula>
    </cfRule>
  </conditionalFormatting>
  <conditionalFormatting sqref="F15:F44">
    <cfRule type="expression" dxfId="681" priority="13" stopIfTrue="1">
      <formula>AND($E15="",F15&lt;&gt;"")</formula>
    </cfRule>
    <cfRule type="expression" dxfId="680" priority="14">
      <formula>$E15=""</formula>
    </cfRule>
    <cfRule type="expression" dxfId="679" priority="15">
      <formula>F$14&lt;&gt;""</formula>
    </cfRule>
  </conditionalFormatting>
  <conditionalFormatting sqref="G15:P44 T15:AG44 A16:E44">
    <cfRule type="expression" dxfId="678" priority="53">
      <formula>A$14&lt;&gt;""</formula>
    </cfRule>
  </conditionalFormatting>
  <conditionalFormatting sqref="O15:O44">
    <cfRule type="cellIs" dxfId="677" priority="27" operator="equal">
      <formula>0</formula>
    </cfRule>
  </conditionalFormatting>
  <conditionalFormatting sqref="O15:S44">
    <cfRule type="expression" dxfId="676" priority="10">
      <formula>$E15=""</formula>
    </cfRule>
  </conditionalFormatting>
  <conditionalFormatting sqref="Q15:Q44">
    <cfRule type="expression" dxfId="675" priority="5">
      <formula>$E15=""</formula>
    </cfRule>
    <cfRule type="expression" dxfId="674" priority="6">
      <formula>Q$14&lt;&gt;""</formula>
    </cfRule>
  </conditionalFormatting>
  <conditionalFormatting sqref="Q15:S44">
    <cfRule type="expression" dxfId="673" priority="4" stopIfTrue="1">
      <formula>AND($E15="",Q15&lt;&gt;"")</formula>
    </cfRule>
  </conditionalFormatting>
  <conditionalFormatting sqref="R15:S44">
    <cfRule type="expression" dxfId="672" priority="11">
      <formula>R$14&lt;&gt;""</formula>
    </cfRule>
  </conditionalFormatting>
  <conditionalFormatting sqref="Y15 G15:N44 P15:P44 T15:X44 AB15:AG44 A16:E44 Y16:AA44">
    <cfRule type="expression" dxfId="671" priority="52">
      <formula>$E15=""</formula>
    </cfRule>
  </conditionalFormatting>
  <conditionalFormatting sqref="Z15:AA15">
    <cfRule type="expression" dxfId="670"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25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5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25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2500-000003000000}"/>
    <dataValidation type="list" allowBlank="1" showInputMessage="1" showErrorMessage="1" sqref="E14 Z14:AB14 L14:N14 U14:V14 X14 G14:J14 P14:S14" xr:uid="{00000000-0002-0000-2500-000004000000}">
      <formula1>$AN$1:$BP$1</formula1>
    </dataValidation>
    <dataValidation type="list" allowBlank="1" showInputMessage="1" showErrorMessage="1" sqref="F14" xr:uid="{00000000-0002-0000-25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25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500-000007000000}">
      <formula1>$CA$2:$CA$10</formula1>
    </dataValidation>
    <dataValidation operator="greaterThanOrEqual" allowBlank="1" showInputMessage="1" showErrorMessage="1" errorTitle="נתון שגוי." error="ניתן להזין רק מספר שלם גדול או שווה ל-0." sqref="O15:O44" xr:uid="{00000000-0002-0000-2500-000008000000}"/>
    <dataValidation type="list" allowBlank="1" showInputMessage="1" showErrorMessage="1" errorTitle="נתון שגוי." error="ניתן להזין רק 0 או 1._x000a_0 = לא עומד בתנאי._x000a_1 = עומד בתנאי." sqref="Q15:S44" xr:uid="{00000000-0002-0000-25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D629E556-0185-4B83-AB3D-6527D4737EF9}">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8461A793-341D-4F32-B1DE-84850C26E023}">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C51160E8-F874-4126-8F40-DA53F410403E}">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C4C5CF8B-4464-454C-87F9-F6C74C2D4911}">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C6F8C5CA-E5DC-4543-B202-A2FDA124F8EE}">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2A593131-AA98-46A8-B262-A306E401AB83}">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AB83F4A7-9790-4E1B-A19E-D1CECF791EAD}">
            <xm:f>NOT(ISERROR(SEARCH($AJ$1,Y15)))</xm:f>
            <xm:f>$AJ$1</xm:f>
            <x14:dxf>
              <fill>
                <patternFill>
                  <bgColor rgb="FFFF0000"/>
                </patternFill>
              </fill>
            </x14:dxf>
          </x14:cfRule>
          <xm:sqref>AD15:AG44 Y16:Y44</xm:sqref>
        </x14:conditionalFormatting>
      </x14:conditionalFormatting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גיליון28">
    <tabColor theme="8" tint="0.59999389629810485"/>
    <pageSetUpPr fitToPage="1"/>
  </sheetPr>
  <dimension ref="A1:CZ45"/>
  <sheetViews>
    <sheetView rightToLeft="1" topLeftCell="B1" zoomScale="85" zoomScaleNormal="85" workbookViewId="0">
      <selection activeCell="R2" sqref="R2"/>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13</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yYuRG1ImHbYY5VGtyNBoM4bKBPfF96v6q37bKNAnYaB3gIhOy8EwMFaXjXZrQKTUopFCB2tkbUXJ+Hni+X0vEQ==" saltValue="k/mt29sCwqniyNzD67e1lA=="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662" priority="47" stopIfTrue="1">
      <formula>AND($E15="",A15&lt;&gt;"")</formula>
    </cfRule>
    <cfRule type="expression" dxfId="661" priority="48">
      <formula>$E15=""</formula>
    </cfRule>
    <cfRule type="expression" dxfId="660" priority="49">
      <formula>A$14&lt;&gt;""</formula>
    </cfRule>
  </conditionalFormatting>
  <conditionalFormatting sqref="A16:E44 G15:P44 T15:AG44">
    <cfRule type="expression" dxfId="659" priority="51" stopIfTrue="1">
      <formula>AND($E15="",A15&lt;&gt;"")</formula>
    </cfRule>
  </conditionalFormatting>
  <conditionalFormatting sqref="F15:F44">
    <cfRule type="expression" dxfId="658" priority="13" stopIfTrue="1">
      <formula>AND($E15="",F15&lt;&gt;"")</formula>
    </cfRule>
    <cfRule type="expression" dxfId="657" priority="14">
      <formula>$E15=""</formula>
    </cfRule>
    <cfRule type="expression" dxfId="656" priority="15">
      <formula>F$14&lt;&gt;""</formula>
    </cfRule>
  </conditionalFormatting>
  <conditionalFormatting sqref="G15:P44 T15:AG44 A16:E44">
    <cfRule type="expression" dxfId="655" priority="53">
      <formula>A$14&lt;&gt;""</formula>
    </cfRule>
  </conditionalFormatting>
  <conditionalFormatting sqref="O15:O44">
    <cfRule type="cellIs" dxfId="654" priority="27" operator="equal">
      <formula>0</formula>
    </cfRule>
  </conditionalFormatting>
  <conditionalFormatting sqref="O15:S44">
    <cfRule type="expression" dxfId="653" priority="10">
      <formula>$E15=""</formula>
    </cfRule>
  </conditionalFormatting>
  <conditionalFormatting sqref="Q15:Q44">
    <cfRule type="expression" dxfId="652" priority="5">
      <formula>$E15=""</formula>
    </cfRule>
    <cfRule type="expression" dxfId="651" priority="6">
      <formula>Q$14&lt;&gt;""</formula>
    </cfRule>
  </conditionalFormatting>
  <conditionalFormatting sqref="Q15:S44">
    <cfRule type="expression" dxfId="650" priority="4" stopIfTrue="1">
      <formula>AND($E15="",Q15&lt;&gt;"")</formula>
    </cfRule>
  </conditionalFormatting>
  <conditionalFormatting sqref="R15:S44">
    <cfRule type="expression" dxfId="649" priority="11">
      <formula>R$14&lt;&gt;""</formula>
    </cfRule>
  </conditionalFormatting>
  <conditionalFormatting sqref="Y15 G15:N44 P15:P44 T15:X44 AB15:AG44 A16:E44 Y16:AA44">
    <cfRule type="expression" dxfId="648" priority="52">
      <formula>$E15=""</formula>
    </cfRule>
  </conditionalFormatting>
  <conditionalFormatting sqref="Z15:AA15">
    <cfRule type="expression" dxfId="647"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26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6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2600-000002000000}">
      <formula1>$AJ$15:$AK$15</formula1>
    </dataValidation>
    <dataValidation type="list" allowBlank="1" showInputMessage="1" showErrorMessage="1" sqref="F14" xr:uid="{00000000-0002-0000-2600-000003000000}">
      <formula1>$AO$1:$BP$1</formula1>
    </dataValidation>
    <dataValidation type="list" allowBlank="1" showInputMessage="1" showErrorMessage="1" sqref="E14 Z14:AB14 L14:N14 U14:V14 X14 G14:J14 P14:S14" xr:uid="{00000000-0002-0000-26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2600-000005000000}"/>
    <dataValidation type="whole" operator="greaterThanOrEqual" allowBlank="1" showInputMessage="1" showErrorMessage="1" errorTitle="נתון שגוי." error="ניתן להזין רק מספר שלם גדול או שווה ל-0." sqref="H15:J44 L15:N44" xr:uid="{00000000-0002-0000-26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600-000007000000}">
      <formula1>$AN$4:$AO$4</formula1>
    </dataValidation>
    <dataValidation type="decimal" operator="greaterThanOrEqual" allowBlank="1" showInputMessage="1" showErrorMessage="1" errorTitle="נתון שגוי." error="ניתן להזין רק מספר חיובי." sqref="P15:P44" xr:uid="{00000000-0002-0000-26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26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FB2B5E0F-43FF-46B4-81F6-16B6A2723AEA}">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C7DA0314-3348-4D7C-870C-5C14B6B4C171}">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93E20EDB-9291-4768-AAA6-972FD60BCE80}">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DC7F157C-56CE-4F9D-94A7-1366181374F3}">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C4E0A6AF-BE53-40C6-934F-25AD93F908DF}">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0BE7D7C2-1E25-4223-950A-A00FFB4265E7}">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89F4EB53-11EF-4404-ACD9-97594F141D84}">
            <xm:f>NOT(ISERROR(SEARCH($AJ$1,Y15)))</xm:f>
            <xm:f>$AJ$1</xm:f>
            <x14:dxf>
              <fill>
                <patternFill>
                  <bgColor rgb="FFFF0000"/>
                </patternFill>
              </fill>
            </x14:dxf>
          </x14:cfRule>
          <xm:sqref>AD15:AG44 Y16:Y44</xm:sqref>
        </x14:conditionalFormatting>
      </x14:conditionalFormatting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גיליון29">
    <tabColor theme="8" tint="0.59999389629810485"/>
    <pageSetUpPr fitToPage="1"/>
  </sheetPr>
  <dimension ref="A1:CZ45"/>
  <sheetViews>
    <sheetView rightToLeft="1" topLeftCell="B4" zoomScale="85" zoomScaleNormal="85" workbookViewId="0">
      <selection activeCell="Q16" sqref="Q16:S16"/>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פסיפס</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14</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1</v>
      </c>
      <c r="K2" s="369" t="s">
        <v>326</v>
      </c>
      <c r="L2" s="401" cm="1">
        <f t="array" aca="1" ref="L2" ca="1">SUMPRODUCT(--($H$15:$H$44&lt;פרמטרים!$B$9)*($H$15:$H$44&gt;=פרמטרים!$B$8),$T$15:$T$44)</f>
        <v>0</v>
      </c>
      <c r="M2" s="401" cm="1">
        <f t="array" aca="1" ref="M2" ca="1">SUMPRODUCT(--($H$15:$H$44&lt;פרמטרים!$B$10)*($H$15:$H$44&gt;=פרמטרים!$B$8),$T$15:$T$44)-SUM($L$2:L2)</f>
        <v>2</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0</v>
      </c>
      <c r="Q2" s="401"/>
      <c r="R2" s="515" cm="1">
        <f t="array" aca="1" ref="R2" ca="1">SUMPRODUCT(L2:P2,TRANSPOSE('היקף החוברות'!D4:D8))</f>
        <v>4</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2</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2</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45017</v>
      </c>
      <c r="F15" s="385" t="s">
        <v>627</v>
      </c>
      <c r="G15" s="382"/>
      <c r="H15" s="383">
        <v>56</v>
      </c>
      <c r="I15" s="383">
        <v>47</v>
      </c>
      <c r="J15" s="383">
        <v>47</v>
      </c>
      <c r="K15" s="398">
        <f>IFERROR(J15/I15,"")</f>
        <v>1</v>
      </c>
      <c r="L15" s="383">
        <v>200</v>
      </c>
      <c r="M15" s="383">
        <v>50</v>
      </c>
      <c r="N15" s="383">
        <v>80</v>
      </c>
      <c r="O15" s="379">
        <f>IF(E15="","",L15+M15+N15)</f>
        <v>330</v>
      </c>
      <c r="P15" s="383">
        <v>35</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45170</v>
      </c>
      <c r="F16" s="385" t="s">
        <v>627</v>
      </c>
      <c r="G16" s="382"/>
      <c r="H16" s="383">
        <v>56</v>
      </c>
      <c r="I16" s="383">
        <v>47</v>
      </c>
      <c r="J16" s="383">
        <v>47</v>
      </c>
      <c r="K16" s="398">
        <f t="shared" ref="K16:K44" si="8">IFERROR(J16/I16,"")</f>
        <v>1</v>
      </c>
      <c r="L16" s="383">
        <v>200</v>
      </c>
      <c r="M16" s="383">
        <v>50</v>
      </c>
      <c r="N16" s="383">
        <v>80</v>
      </c>
      <c r="O16" s="379">
        <f t="shared" ref="O16:O44" si="9">IF(E16="","",L16+M16+N16)</f>
        <v>330</v>
      </c>
      <c r="P16" s="383">
        <v>35</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112</v>
      </c>
      <c r="I45" s="387">
        <f>SUM(I15:I44)</f>
        <v>94</v>
      </c>
      <c r="J45" s="387">
        <f>SUM(J15:J44)</f>
        <v>94</v>
      </c>
      <c r="K45" s="387">
        <f>SUM(K15:K44)</f>
        <v>2</v>
      </c>
      <c r="L45" s="387">
        <f>SUM(L15:L44)</f>
        <v>400</v>
      </c>
      <c r="M45" s="387"/>
      <c r="N45" s="387">
        <f>SUM(N15:N44)</f>
        <v>160</v>
      </c>
      <c r="O45" s="387">
        <f>SUM(O15:O44)</f>
        <v>660</v>
      </c>
      <c r="P45" s="387">
        <f t="shared" ref="P45:T45" si="15">SUM(P15:P44)</f>
        <v>70</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RS03j5U+FR7Irr9T1/KQ+vFK5dFoG9GPlfwXhbS9lhMU5/xuIGv8kxsClB43y+275q07B0wA0UrrK/4EYuP9mQ==" saltValue="oMvhQnRGVXNxwRqgBs0nPQ=="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639" priority="47" stopIfTrue="1">
      <formula>AND($E15="",A15&lt;&gt;"")</formula>
    </cfRule>
    <cfRule type="expression" dxfId="638" priority="48">
      <formula>$E15=""</formula>
    </cfRule>
    <cfRule type="expression" dxfId="637" priority="49">
      <formula>A$14&lt;&gt;""</formula>
    </cfRule>
  </conditionalFormatting>
  <conditionalFormatting sqref="A16:E44 G15:P44 T15:AG44">
    <cfRule type="expression" dxfId="636" priority="51" stopIfTrue="1">
      <formula>AND($E15="",A15&lt;&gt;"")</formula>
    </cfRule>
  </conditionalFormatting>
  <conditionalFormatting sqref="F15:F44">
    <cfRule type="expression" dxfId="635" priority="13" stopIfTrue="1">
      <formula>AND($E15="",F15&lt;&gt;"")</formula>
    </cfRule>
    <cfRule type="expression" dxfId="634" priority="14">
      <formula>$E15=""</formula>
    </cfRule>
    <cfRule type="expression" dxfId="633" priority="15">
      <formula>F$14&lt;&gt;""</formula>
    </cfRule>
  </conditionalFormatting>
  <conditionalFormatting sqref="G15:P44 T15:AG44 A16:E44">
    <cfRule type="expression" dxfId="632" priority="53">
      <formula>A$14&lt;&gt;""</formula>
    </cfRule>
  </conditionalFormatting>
  <conditionalFormatting sqref="O15:O44">
    <cfRule type="cellIs" dxfId="631" priority="27" operator="equal">
      <formula>0</formula>
    </cfRule>
  </conditionalFormatting>
  <conditionalFormatting sqref="O15:S44">
    <cfRule type="expression" dxfId="630" priority="10">
      <formula>$E15=""</formula>
    </cfRule>
  </conditionalFormatting>
  <conditionalFormatting sqref="Q15:Q44">
    <cfRule type="expression" dxfId="629" priority="5">
      <formula>$E15=""</formula>
    </cfRule>
    <cfRule type="expression" dxfId="628" priority="6">
      <formula>Q$14&lt;&gt;""</formula>
    </cfRule>
  </conditionalFormatting>
  <conditionalFormatting sqref="Q15:S44">
    <cfRule type="expression" dxfId="627" priority="4" stopIfTrue="1">
      <formula>AND($E15="",Q15&lt;&gt;"")</formula>
    </cfRule>
  </conditionalFormatting>
  <conditionalFormatting sqref="R15:S44">
    <cfRule type="expression" dxfId="626" priority="11">
      <formula>R$14&lt;&gt;""</formula>
    </cfRule>
  </conditionalFormatting>
  <conditionalFormatting sqref="Y15 G15:N44 P15:P44 T15:X44 AB15:AG44 A16:E44 Y16:AA44">
    <cfRule type="expression" dxfId="625" priority="52">
      <formula>$E15=""</formula>
    </cfRule>
  </conditionalFormatting>
  <conditionalFormatting sqref="Z15:AA15">
    <cfRule type="expression" dxfId="624"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27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7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27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2700-000003000000}"/>
    <dataValidation type="list" allowBlank="1" showInputMessage="1" showErrorMessage="1" sqref="E14 Z14:AB14 L14:N14 U14:V14 X14 G14:J14 P14:S14" xr:uid="{00000000-0002-0000-2700-000004000000}">
      <formula1>$AN$1:$BP$1</formula1>
    </dataValidation>
    <dataValidation type="list" allowBlank="1" showInputMessage="1" showErrorMessage="1" sqref="F14" xr:uid="{00000000-0002-0000-27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27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700-000007000000}">
      <formula1>$CA$2:$CA$10</formula1>
    </dataValidation>
    <dataValidation operator="greaterThanOrEqual" allowBlank="1" showInputMessage="1" showErrorMessage="1" errorTitle="נתון שגוי." error="ניתן להזין רק מספר שלם גדול או שווה ל-0." sqref="O15:O44" xr:uid="{00000000-0002-0000-2700-000008000000}"/>
    <dataValidation type="list" allowBlank="1" showInputMessage="1" showErrorMessage="1" errorTitle="נתון שגוי." error="ניתן להזין רק 0 או 1._x000a_0 = לא עומד בתנאי._x000a_1 = עומד בתנאי." sqref="Q15:S44" xr:uid="{00000000-0002-0000-27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3D424ECE-A27A-4351-8A66-7C66138C4F52}">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5E1E5D92-42C8-4A1D-93D9-F45F3472BA25}">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CD9822F3-6228-45EB-B760-988ACD3E363C}">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F7B00435-CA66-4E46-AEF0-72C598DE0454}">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03074903-E865-427A-B3B1-53AB9EAF10CA}">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15AEF318-1E3B-4637-B841-CAA3B6ADB4A7}">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708FC2F1-6379-4FE9-B7E5-083D65E4A520}">
            <xm:f>NOT(ISERROR(SEARCH($AJ$1,Y15)))</xm:f>
            <xm:f>$AJ$1</xm:f>
            <x14:dxf>
              <fill>
                <patternFill>
                  <bgColor rgb="FFFF0000"/>
                </patternFill>
              </fill>
            </x14:dxf>
          </x14:cfRule>
          <xm:sqref>AD15:AG44 Y16:Y44</xm:sqref>
        </x14:conditionalFormatting>
      </x14:conditionalFormattings>
    </ext>
  </extLs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גיליון30">
    <tabColor theme="8" tint="0.59999389629810485"/>
    <pageSetUpPr fitToPage="1"/>
  </sheetPr>
  <dimension ref="A1:CZ45"/>
  <sheetViews>
    <sheetView rightToLeft="1" topLeftCell="B4" zoomScale="85" zoomScaleNormal="85" workbookViewId="0">
      <selection activeCell="P16" sqref="P16:S16"/>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קתרזיס ( עמותת מצרף)</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15</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0.70588235294117652</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2</v>
      </c>
      <c r="Q2" s="401"/>
      <c r="R2" s="515" cm="1">
        <f t="array" aca="1" ref="R2" ca="1">SUMPRODUCT(L2:P2,TRANSPOSE('היקף החוברות'!D4:D8))</f>
        <v>10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2</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45108</v>
      </c>
      <c r="F15" s="385" t="s">
        <v>628</v>
      </c>
      <c r="G15" s="382"/>
      <c r="H15" s="383">
        <v>144</v>
      </c>
      <c r="I15" s="383">
        <v>7</v>
      </c>
      <c r="J15" s="383">
        <v>6</v>
      </c>
      <c r="K15" s="398">
        <f>IFERROR(J15/I15,"")</f>
        <v>0.8571428571428571</v>
      </c>
      <c r="L15" s="383">
        <v>0</v>
      </c>
      <c r="M15" s="383">
        <v>130</v>
      </c>
      <c r="N15" s="383">
        <v>72</v>
      </c>
      <c r="O15" s="379">
        <f>IF(E15="","",L15+M15+N15)</f>
        <v>202</v>
      </c>
      <c r="P15" s="383">
        <v>74</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45261</v>
      </c>
      <c r="F16" s="385" t="s">
        <v>628</v>
      </c>
      <c r="G16" s="382"/>
      <c r="H16" s="383">
        <v>100</v>
      </c>
      <c r="I16" s="383">
        <v>10</v>
      </c>
      <c r="J16" s="383">
        <v>6</v>
      </c>
      <c r="K16" s="398">
        <f t="shared" ref="K16:K44" si="8">IFERROR(J16/I16,"")</f>
        <v>0.6</v>
      </c>
      <c r="L16" s="383">
        <v>0</v>
      </c>
      <c r="M16" s="383">
        <v>130</v>
      </c>
      <c r="N16" s="383">
        <v>72</v>
      </c>
      <c r="O16" s="379">
        <f t="shared" ref="O16:O44" si="9">IF(E16="","",L16+M16+N16)</f>
        <v>202</v>
      </c>
      <c r="P16" s="383">
        <v>74</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244</v>
      </c>
      <c r="I45" s="387">
        <f>SUM(I15:I44)</f>
        <v>17</v>
      </c>
      <c r="J45" s="387">
        <f>SUM(J15:J44)</f>
        <v>12</v>
      </c>
      <c r="K45" s="387">
        <f>SUM(K15:K44)</f>
        <v>1.4571428571428571</v>
      </c>
      <c r="L45" s="387">
        <f>SUM(L15:L44)</f>
        <v>0</v>
      </c>
      <c r="M45" s="387"/>
      <c r="N45" s="387">
        <f>SUM(N15:N44)</f>
        <v>144</v>
      </c>
      <c r="O45" s="387">
        <f>SUM(O15:O44)</f>
        <v>404</v>
      </c>
      <c r="P45" s="387">
        <f t="shared" ref="P45:T45" si="15">SUM(P15:P44)</f>
        <v>148</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p172rXJ3+wNnjjJ7aIdgsBMvOo3irCUz5S584hcTO2w378JR6AmqqFIIfNvWCtNv7XDfOLmMLrp2KJCBaG4B1w==" saltValue="iA2hgJzx7twMSY+usnVq/Q=="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616" priority="47" stopIfTrue="1">
      <formula>AND($E15="",A15&lt;&gt;"")</formula>
    </cfRule>
    <cfRule type="expression" dxfId="615" priority="48">
      <formula>$E15=""</formula>
    </cfRule>
    <cfRule type="expression" dxfId="614" priority="49">
      <formula>A$14&lt;&gt;""</formula>
    </cfRule>
  </conditionalFormatting>
  <conditionalFormatting sqref="A16:E44 G15:P44 T15:AG44">
    <cfRule type="expression" dxfId="613" priority="51" stopIfTrue="1">
      <formula>AND($E15="",A15&lt;&gt;"")</formula>
    </cfRule>
  </conditionalFormatting>
  <conditionalFormatting sqref="F15:F44">
    <cfRule type="expression" dxfId="612" priority="13" stopIfTrue="1">
      <formula>AND($E15="",F15&lt;&gt;"")</formula>
    </cfRule>
    <cfRule type="expression" dxfId="611" priority="14">
      <formula>$E15=""</formula>
    </cfRule>
    <cfRule type="expression" dxfId="610" priority="15">
      <formula>F$14&lt;&gt;""</formula>
    </cfRule>
  </conditionalFormatting>
  <conditionalFormatting sqref="G15:P44 T15:AG44 A16:E44">
    <cfRule type="expression" dxfId="609" priority="53">
      <formula>A$14&lt;&gt;""</formula>
    </cfRule>
  </conditionalFormatting>
  <conditionalFormatting sqref="O15:O44">
    <cfRule type="cellIs" dxfId="608" priority="27" operator="equal">
      <formula>0</formula>
    </cfRule>
  </conditionalFormatting>
  <conditionalFormatting sqref="O15:S44">
    <cfRule type="expression" dxfId="607" priority="10">
      <formula>$E15=""</formula>
    </cfRule>
  </conditionalFormatting>
  <conditionalFormatting sqref="Q15:Q44">
    <cfRule type="expression" dxfId="606" priority="5">
      <formula>$E15=""</formula>
    </cfRule>
    <cfRule type="expression" dxfId="605" priority="6">
      <formula>Q$14&lt;&gt;""</formula>
    </cfRule>
  </conditionalFormatting>
  <conditionalFormatting sqref="Q15:S44">
    <cfRule type="expression" dxfId="604" priority="4" stopIfTrue="1">
      <formula>AND($E15="",Q15&lt;&gt;"")</formula>
    </cfRule>
  </conditionalFormatting>
  <conditionalFormatting sqref="R15:S44">
    <cfRule type="expression" dxfId="603" priority="11">
      <formula>R$14&lt;&gt;""</formula>
    </cfRule>
  </conditionalFormatting>
  <conditionalFormatting sqref="Y15 G15:N44 P15:P44 T15:X44 AB15:AG44 A16:E44 Y16:AA44">
    <cfRule type="expression" dxfId="602" priority="52">
      <formula>$E15=""</formula>
    </cfRule>
  </conditionalFormatting>
  <conditionalFormatting sqref="Z15:AA15">
    <cfRule type="expression" dxfId="601"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28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8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28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2800-000003000000}"/>
    <dataValidation type="list" allowBlank="1" showInputMessage="1" showErrorMessage="1" sqref="E14 Z14:AB14 L14:N14 U14:V14 X14 G14:J14 P14:S14" xr:uid="{00000000-0002-0000-2800-000004000000}">
      <formula1>$AN$1:$BP$1</formula1>
    </dataValidation>
    <dataValidation type="list" allowBlank="1" showInputMessage="1" showErrorMessage="1" sqref="F14" xr:uid="{00000000-0002-0000-28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28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800-000007000000}">
      <formula1>$CA$2:$CA$10</formula1>
    </dataValidation>
    <dataValidation operator="greaterThanOrEqual" allowBlank="1" showInputMessage="1" showErrorMessage="1" errorTitle="נתון שגוי." error="ניתן להזין רק מספר שלם גדול או שווה ל-0." sqref="O15:O44" xr:uid="{00000000-0002-0000-2800-000008000000}"/>
    <dataValidation type="list" allowBlank="1" showInputMessage="1" showErrorMessage="1" errorTitle="נתון שגוי." error="ניתן להזין רק 0 או 1._x000a_0 = לא עומד בתנאי._x000a_1 = עומד בתנאי." sqref="Q15:S44" xr:uid="{00000000-0002-0000-28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382B809D-C700-4EAC-A886-3866885A447E}">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6B74C91F-DF23-48A6-A0A8-F16B7BC80778}">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7D89BC28-369D-4A89-9A7E-59461254C3A1}">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3948326A-17DA-4A89-8C1B-2D56B7F5BFE9}">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D5DD0F39-7033-451F-A7A3-0CEC70D4B9A5}">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0B19E34E-136D-461F-8B63-86065A698645}">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7BA43248-8250-48BB-87A6-55C9D83B226C}">
            <xm:f>NOT(ISERROR(SEARCH($AJ$1,Y15)))</xm:f>
            <xm:f>$AJ$1</xm:f>
            <x14:dxf>
              <fill>
                <patternFill>
                  <bgColor rgb="FFFF0000"/>
                </patternFill>
              </fill>
            </x14:dxf>
          </x14:cfRule>
          <xm:sqref>AD15:AG44 Y16:Y44</xm:sqref>
        </x14:conditionalFormatting>
      </x14:conditionalFormattings>
    </ext>
  </extLs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גיליון31">
    <tabColor theme="8" tint="0.59999389629810485"/>
    <pageSetUpPr fitToPage="1"/>
  </sheetPr>
  <dimension ref="A1:CZ45"/>
  <sheetViews>
    <sheetView rightToLeft="1" topLeftCell="B1" zoomScale="85" zoomScaleNormal="85" workbookViewId="0">
      <selection activeCell="R2" sqref="R2"/>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16</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F3dBu5N85ddskrT9OgPeRn9N3HUHQ2nKSlIlcdth9eHpn0VbiillHaMqlj+V9aFhY5ZC4qVtGli7g7eY+7HGgA==" saltValue="qIc3frgegAT36RwlOdXb+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593" priority="47" stopIfTrue="1">
      <formula>AND($E15="",A15&lt;&gt;"")</formula>
    </cfRule>
    <cfRule type="expression" dxfId="592" priority="48">
      <formula>$E15=""</formula>
    </cfRule>
    <cfRule type="expression" dxfId="591" priority="49">
      <formula>A$14&lt;&gt;""</formula>
    </cfRule>
  </conditionalFormatting>
  <conditionalFormatting sqref="A16:E44 G15:P44 T15:AG44">
    <cfRule type="expression" dxfId="590" priority="51" stopIfTrue="1">
      <formula>AND($E15="",A15&lt;&gt;"")</formula>
    </cfRule>
  </conditionalFormatting>
  <conditionalFormatting sqref="F15:F44">
    <cfRule type="expression" dxfId="589" priority="13" stopIfTrue="1">
      <formula>AND($E15="",F15&lt;&gt;"")</formula>
    </cfRule>
    <cfRule type="expression" dxfId="588" priority="14">
      <formula>$E15=""</formula>
    </cfRule>
    <cfRule type="expression" dxfId="587" priority="15">
      <formula>F$14&lt;&gt;""</formula>
    </cfRule>
  </conditionalFormatting>
  <conditionalFormatting sqref="G15:P44 T15:AG44 A16:E44">
    <cfRule type="expression" dxfId="586" priority="53">
      <formula>A$14&lt;&gt;""</formula>
    </cfRule>
  </conditionalFormatting>
  <conditionalFormatting sqref="O15:O44">
    <cfRule type="cellIs" dxfId="585" priority="27" operator="equal">
      <formula>0</formula>
    </cfRule>
  </conditionalFormatting>
  <conditionalFormatting sqref="O15:S44">
    <cfRule type="expression" dxfId="584" priority="10">
      <formula>$E15=""</formula>
    </cfRule>
  </conditionalFormatting>
  <conditionalFormatting sqref="Q15:Q44">
    <cfRule type="expression" dxfId="583" priority="5">
      <formula>$E15=""</formula>
    </cfRule>
    <cfRule type="expression" dxfId="582" priority="6">
      <formula>Q$14&lt;&gt;""</formula>
    </cfRule>
  </conditionalFormatting>
  <conditionalFormatting sqref="Q15:S44">
    <cfRule type="expression" dxfId="581" priority="4" stopIfTrue="1">
      <formula>AND($E15="",Q15&lt;&gt;"")</formula>
    </cfRule>
  </conditionalFormatting>
  <conditionalFormatting sqref="R15:S44">
    <cfRule type="expression" dxfId="580" priority="11">
      <formula>R$14&lt;&gt;""</formula>
    </cfRule>
  </conditionalFormatting>
  <conditionalFormatting sqref="Y15 G15:N44 P15:P44 T15:X44 AB15:AG44 A16:E44 Y16:AA44">
    <cfRule type="expression" dxfId="579" priority="52">
      <formula>$E15=""</formula>
    </cfRule>
  </conditionalFormatting>
  <conditionalFormatting sqref="Z15:AA15">
    <cfRule type="expression" dxfId="578"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29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9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2900-000002000000}">
      <formula1>$AJ$15:$AK$15</formula1>
    </dataValidation>
    <dataValidation type="list" allowBlank="1" showInputMessage="1" showErrorMessage="1" sqref="F14" xr:uid="{00000000-0002-0000-2900-000003000000}">
      <formula1>$AO$1:$BP$1</formula1>
    </dataValidation>
    <dataValidation type="list" allowBlank="1" showInputMessage="1" showErrorMessage="1" sqref="E14 Z14:AB14 L14:N14 U14:V14 X14 G14:J14 P14:S14" xr:uid="{00000000-0002-0000-29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2900-000005000000}"/>
    <dataValidation type="whole" operator="greaterThanOrEqual" allowBlank="1" showInputMessage="1" showErrorMessage="1" errorTitle="נתון שגוי." error="ניתן להזין רק מספר שלם גדול או שווה ל-0." sqref="H15:J44 L15:N44" xr:uid="{00000000-0002-0000-29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900-000007000000}">
      <formula1>$AN$4:$AO$4</formula1>
    </dataValidation>
    <dataValidation type="decimal" operator="greaterThanOrEqual" allowBlank="1" showInputMessage="1" showErrorMessage="1" errorTitle="נתון שגוי." error="ניתן להזין רק מספר חיובי." sqref="P15:P44" xr:uid="{00000000-0002-0000-29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29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F2F9B3E9-A92A-43A7-8CF7-0252581739EA}">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FBA79349-A05A-4BC7-81FC-D39B7E63D4B8}">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73944C1B-90A3-40D2-9BE6-BD12D04D8012}">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6FAF822C-A8BB-42AD-A78C-C59CAEA84AA7}">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5D13D615-85AD-4F25-A693-DCE2878142D1}">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C6AD1681-FD22-4EFF-831D-C0C2F18E0558}">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6C2C2E32-4026-4C51-A194-B778DBE455FB}">
            <xm:f>NOT(ISERROR(SEARCH($AJ$1,Y15)))</xm:f>
            <xm:f>$AJ$1</xm:f>
            <x14:dxf>
              <fill>
                <patternFill>
                  <bgColor rgb="FFFF0000"/>
                </patternFill>
              </fill>
            </x14:dxf>
          </x14:cfRule>
          <xm:sqref>AD15:AG44 Y16:Y44</xm:sqref>
        </x14:conditionalFormatting>
      </x14:conditionalFormatting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גיליון32">
    <tabColor theme="8" tint="0.59999389629810485"/>
    <pageSetUpPr fitToPage="1"/>
  </sheetPr>
  <dimension ref="A1:CZ45"/>
  <sheetViews>
    <sheetView rightToLeft="1" topLeftCell="E11" zoomScale="85" zoomScaleNormal="85" workbookViewId="0">
      <selection activeCell="B17" sqref="B17"/>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61.1406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הכיוון מזרח (עמותת אחותי)</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17</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0.7279411764705882</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2</v>
      </c>
      <c r="Q2" s="401"/>
      <c r="R2" s="515" cm="1">
        <f t="array" aca="1" ref="R2" ca="1">SUMPRODUCT(L2:P2,TRANSPOSE('היקף החוברות'!D4:D8))</f>
        <v>10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60"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45170</v>
      </c>
      <c r="F15" s="385" t="s">
        <v>629</v>
      </c>
      <c r="G15" s="382"/>
      <c r="H15" s="383">
        <v>203</v>
      </c>
      <c r="I15" s="383">
        <v>67</v>
      </c>
      <c r="J15" s="383">
        <v>48</v>
      </c>
      <c r="K15" s="398">
        <f>IFERROR(J15/I15,"")</f>
        <v>0.71641791044776115</v>
      </c>
      <c r="L15" s="383">
        <v>8</v>
      </c>
      <c r="M15" s="383">
        <v>12</v>
      </c>
      <c r="N15" s="383">
        <v>184</v>
      </c>
      <c r="O15" s="379">
        <f>IF(E15="","",L15+M15+N15)</f>
        <v>204</v>
      </c>
      <c r="P15" s="383">
        <v>88</v>
      </c>
      <c r="Q15" s="382">
        <v>0</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45261</v>
      </c>
      <c r="F16" s="385" t="s">
        <v>629</v>
      </c>
      <c r="G16" s="382"/>
      <c r="H16" s="383">
        <v>155</v>
      </c>
      <c r="I16" s="383">
        <v>69</v>
      </c>
      <c r="J16" s="383">
        <v>51</v>
      </c>
      <c r="K16" s="398">
        <f t="shared" ref="K16:K44" si="8">IFERROR(J16/I16,"")</f>
        <v>0.73913043478260865</v>
      </c>
      <c r="L16" s="383">
        <v>8</v>
      </c>
      <c r="M16" s="383">
        <v>0</v>
      </c>
      <c r="N16" s="383">
        <v>192</v>
      </c>
      <c r="O16" s="379">
        <f t="shared" ref="O16:O44" si="9">IF(E16="","",L16+M16+N16)</f>
        <v>200</v>
      </c>
      <c r="P16" s="383">
        <v>88</v>
      </c>
      <c r="Q16" s="382">
        <v>0</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358</v>
      </c>
      <c r="I45" s="387">
        <f>SUM(I15:I44)</f>
        <v>136</v>
      </c>
      <c r="J45" s="387">
        <f>SUM(J15:J44)</f>
        <v>99</v>
      </c>
      <c r="K45" s="387">
        <f>SUM(K15:K44)</f>
        <v>1.4555483452303699</v>
      </c>
      <c r="L45" s="387">
        <f>SUM(L15:L44)</f>
        <v>16</v>
      </c>
      <c r="M45" s="387"/>
      <c r="N45" s="387">
        <f>SUM(N15:N44)</f>
        <v>376</v>
      </c>
      <c r="O45" s="387">
        <f>SUM(O15:O44)</f>
        <v>404</v>
      </c>
      <c r="P45" s="387">
        <f t="shared" ref="P45:T45" si="15">SUM(P15:P44)</f>
        <v>176</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FFfjGK1iqsRRLjC/FR0CbOgwYo91n5Kip1/HQde7QLJBALn9CnaywBuHtkbcwIPWoo2WOSIFsxYga8u0IIsFGA==" saltValue="A5+EP43gWDmU2WoGQDZzK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570" priority="50" stopIfTrue="1">
      <formula>AND($E15="",A15&lt;&gt;"")</formula>
    </cfRule>
    <cfRule type="expression" dxfId="569" priority="51">
      <formula>$E15=""</formula>
    </cfRule>
    <cfRule type="expression" dxfId="568" priority="52">
      <formula>A$14&lt;&gt;""</formula>
    </cfRule>
  </conditionalFormatting>
  <conditionalFormatting sqref="A16:E44 G15:P44 T15:AG44">
    <cfRule type="expression" dxfId="567" priority="54" stopIfTrue="1">
      <formula>AND($E15="",A15&lt;&gt;"")</formula>
    </cfRule>
  </conditionalFormatting>
  <conditionalFormatting sqref="E16">
    <cfRule type="expression" dxfId="566" priority="1" stopIfTrue="1">
      <formula>AND($E16="",E16&lt;&gt;"")</formula>
    </cfRule>
    <cfRule type="expression" dxfId="565" priority="2">
      <formula>$E16=""</formula>
    </cfRule>
    <cfRule type="expression" dxfId="564" priority="3">
      <formula>E$14&lt;&gt;""</formula>
    </cfRule>
  </conditionalFormatting>
  <conditionalFormatting sqref="F15:F44">
    <cfRule type="expression" dxfId="563" priority="16" stopIfTrue="1">
      <formula>AND($E15="",F15&lt;&gt;"")</formula>
    </cfRule>
    <cfRule type="expression" dxfId="562" priority="17">
      <formula>$E15=""</formula>
    </cfRule>
    <cfRule type="expression" dxfId="561" priority="18">
      <formula>F$14&lt;&gt;""</formula>
    </cfRule>
  </conditionalFormatting>
  <conditionalFormatting sqref="G15:P44 T15:AG44 A16:E44">
    <cfRule type="expression" dxfId="560" priority="56">
      <formula>A$14&lt;&gt;""</formula>
    </cfRule>
  </conditionalFormatting>
  <conditionalFormatting sqref="O15:O44">
    <cfRule type="cellIs" dxfId="559" priority="30" operator="equal">
      <formula>0</formula>
    </cfRule>
  </conditionalFormatting>
  <conditionalFormatting sqref="O15:S44">
    <cfRule type="expression" dxfId="558" priority="13">
      <formula>$E15=""</formula>
    </cfRule>
  </conditionalFormatting>
  <conditionalFormatting sqref="Q15:Q44">
    <cfRule type="expression" dxfId="557" priority="8">
      <formula>$E15=""</formula>
    </cfRule>
    <cfRule type="expression" dxfId="556" priority="9">
      <formula>Q$14&lt;&gt;""</formula>
    </cfRule>
  </conditionalFormatting>
  <conditionalFormatting sqref="Q15:S44">
    <cfRule type="expression" dxfId="555" priority="7" stopIfTrue="1">
      <formula>AND($E15="",Q15&lt;&gt;"")</formula>
    </cfRule>
  </conditionalFormatting>
  <conditionalFormatting sqref="R15:S44">
    <cfRule type="expression" dxfId="554" priority="14">
      <formula>R$14&lt;&gt;""</formula>
    </cfRule>
  </conditionalFormatting>
  <conditionalFormatting sqref="Y15 G15:N44 P15:P44 T15:X44 AB15:AG44 A16:E44 Y16:AA44">
    <cfRule type="expression" dxfId="553" priority="55">
      <formula>$E15=""</formula>
    </cfRule>
  </conditionalFormatting>
  <conditionalFormatting sqref="Z15:AA15">
    <cfRule type="expression" dxfId="552" priority="24">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2A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A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2A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2A00-000003000000}"/>
    <dataValidation type="list" allowBlank="1" showInputMessage="1" showErrorMessage="1" sqref="E14 Z14:AB14 L14:N14 U14:V14 X14 G14:J14 P14:S14" xr:uid="{00000000-0002-0000-2A00-000004000000}">
      <formula1>$AN$1:$BP$1</formula1>
    </dataValidation>
    <dataValidation type="list" allowBlank="1" showInputMessage="1" showErrorMessage="1" sqref="F14" xr:uid="{00000000-0002-0000-2A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2A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A00-000007000000}">
      <formula1>$CA$2:$CA$10</formula1>
    </dataValidation>
    <dataValidation operator="greaterThanOrEqual" allowBlank="1" showInputMessage="1" showErrorMessage="1" errorTitle="נתון שגוי." error="ניתן להזין רק מספר שלם גדול או שווה ל-0." sqref="O15:O44" xr:uid="{00000000-0002-0000-2A00-000008000000}"/>
    <dataValidation type="list" allowBlank="1" showInputMessage="1" showErrorMessage="1" errorTitle="נתון שגוי." error="ניתן להזין רק 0 או 1._x000a_0 = לא עומד בתנאי._x000a_1 = עומד בתנאי." sqref="Q15:S44" xr:uid="{00000000-0002-0000-2A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3" operator="containsText" id="{B0BE7DB5-1344-4215-AE72-D59761184C59}">
            <xm:f>NOT(ISERROR(SEARCH($AJ$1,A15)))</xm:f>
            <xm:f>$AJ$1</xm:f>
            <x14:dxf>
              <fill>
                <patternFill>
                  <bgColor rgb="FFFF0000"/>
                </patternFill>
              </fill>
            </x14:dxf>
          </x14:cfRule>
          <xm:sqref>A15:E44</xm:sqref>
        </x14:conditionalFormatting>
        <x14:conditionalFormatting xmlns:xm="http://schemas.microsoft.com/office/excel/2006/main">
          <x14:cfRule type="containsText" priority="15" operator="containsText" id="{3C51A346-8BFE-4BDB-98F4-0302A43E0820}">
            <xm:f>NOT(ISERROR(SEARCH($AJ$1,F15)))</xm:f>
            <xm:f>$AJ$1</xm:f>
            <x14:dxf>
              <fill>
                <patternFill>
                  <bgColor rgb="FFFF0000"/>
                </patternFill>
              </fill>
            </x14:dxf>
          </x14:cfRule>
          <xm:sqref>F15:P44</xm:sqref>
        </x14:conditionalFormatting>
        <x14:conditionalFormatting xmlns:xm="http://schemas.microsoft.com/office/excel/2006/main">
          <x14:cfRule type="containsText" priority="4" operator="containsText" id="{76016D8D-A7E7-4138-8169-61365058A5C8}">
            <xm:f>NOT(ISERROR(SEARCH($AJ$1,P15)))</xm:f>
            <xm:f>$AJ$1</xm:f>
            <x14:dxf>
              <fill>
                <patternFill>
                  <bgColor rgb="FFFF0000"/>
                </patternFill>
              </fill>
            </x14:dxf>
          </x14:cfRule>
          <xm:sqref>P15:S44</xm:sqref>
        </x14:conditionalFormatting>
        <x14:conditionalFormatting xmlns:xm="http://schemas.microsoft.com/office/excel/2006/main">
          <x14:cfRule type="containsText" priority="26" operator="containsText" id="{13CBAD07-4338-4096-9E91-AD719AA34DB2}">
            <xm:f>NOT(ISERROR(SEARCH($AJ$1,T15)))</xm:f>
            <xm:f>$AJ$1</xm:f>
            <x14:dxf>
              <fill>
                <patternFill>
                  <bgColor rgb="FFFF0000"/>
                </patternFill>
              </fill>
            </x14:dxf>
          </x14:cfRule>
          <xm:sqref>T15:AC44</xm:sqref>
        </x14:conditionalFormatting>
        <x14:conditionalFormatting xmlns:xm="http://schemas.microsoft.com/office/excel/2006/main">
          <x14:cfRule type="containsText" priority="25" operator="containsText" id="{C61639E8-2220-4A91-8EED-DB4ABF859014}">
            <xm:f>NOT(ISERROR(SEARCH($AJ$1,AA15)))</xm:f>
            <xm:f>$AJ$1</xm:f>
            <x14:dxf>
              <fill>
                <patternFill>
                  <bgColor rgb="FFFF0000"/>
                </patternFill>
              </fill>
            </x14:dxf>
          </x14:cfRule>
          <xm:sqref>AA15</xm:sqref>
        </x14:conditionalFormatting>
        <x14:conditionalFormatting xmlns:xm="http://schemas.microsoft.com/office/excel/2006/main">
          <x14:cfRule type="containsText" priority="23" operator="containsText" id="{DB8C9E12-0D9F-44F9-ADF4-A79471334F00}">
            <xm:f>NOT(ISERROR(SEARCH($AJ$1,AA16)))</xm:f>
            <xm:f>$AJ$1</xm:f>
            <x14:dxf>
              <fill>
                <patternFill>
                  <bgColor rgb="FFFF0000"/>
                </patternFill>
              </fill>
            </x14:dxf>
          </x14:cfRule>
          <xm:sqref>AA16:AA44</xm:sqref>
        </x14:conditionalFormatting>
        <x14:conditionalFormatting xmlns:xm="http://schemas.microsoft.com/office/excel/2006/main">
          <x14:cfRule type="containsText" priority="57" operator="containsText" id="{BA930849-062E-4916-901D-A22CF0887A12}">
            <xm:f>NOT(ISERROR(SEARCH($AJ$1,Y15)))</xm:f>
            <xm:f>$AJ$1</xm:f>
            <x14:dxf>
              <fill>
                <patternFill>
                  <bgColor rgb="FFFF0000"/>
                </patternFill>
              </fill>
            </x14:dxf>
          </x14:cfRule>
          <xm:sqref>AD15:AG44 Y16:Y44</xm:sqref>
        </x14:conditionalFormatting>
      </x14:conditionalFormattings>
    </ext>
  </extLs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גיליון33">
    <tabColor theme="8" tint="0.59999389629810485"/>
    <pageSetUpPr fitToPage="1"/>
  </sheetPr>
  <dimension ref="A1:CZ45"/>
  <sheetViews>
    <sheetView rightToLeft="1" topLeftCell="B8" zoomScale="85" zoomScaleNormal="85" workbookViewId="0">
      <selection activeCell="R2" sqref="R2"/>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18</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euPIHBrm8lIjjXgBRckqNXo64/mTP8QvL+mcqGsVq5pGMpoYEZN85QOf7FHDlpFmBRzyUR6+nufMfAsg03z3ug==" saltValue="U4YMFwuIk2D4zRdLRVf7oQ=="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544" priority="47" stopIfTrue="1">
      <formula>AND($E15="",A15&lt;&gt;"")</formula>
    </cfRule>
    <cfRule type="expression" dxfId="543" priority="48">
      <formula>$E15=""</formula>
    </cfRule>
    <cfRule type="expression" dxfId="542" priority="49">
      <formula>A$14&lt;&gt;""</formula>
    </cfRule>
  </conditionalFormatting>
  <conditionalFormatting sqref="A16:E44 G15:P44 T15:AG44">
    <cfRule type="expression" dxfId="541" priority="51" stopIfTrue="1">
      <formula>AND($E15="",A15&lt;&gt;"")</formula>
    </cfRule>
  </conditionalFormatting>
  <conditionalFormatting sqref="F15:F44">
    <cfRule type="expression" dxfId="540" priority="13" stopIfTrue="1">
      <formula>AND($E15="",F15&lt;&gt;"")</formula>
    </cfRule>
    <cfRule type="expression" dxfId="539" priority="14">
      <formula>$E15=""</formula>
    </cfRule>
    <cfRule type="expression" dxfId="538" priority="15">
      <formula>F$14&lt;&gt;""</formula>
    </cfRule>
  </conditionalFormatting>
  <conditionalFormatting sqref="G15:P44 T15:AG44 A16:E44">
    <cfRule type="expression" dxfId="537" priority="53">
      <formula>A$14&lt;&gt;""</formula>
    </cfRule>
  </conditionalFormatting>
  <conditionalFormatting sqref="O15:O44">
    <cfRule type="cellIs" dxfId="536" priority="27" operator="equal">
      <formula>0</formula>
    </cfRule>
  </conditionalFormatting>
  <conditionalFormatting sqref="O15:S44">
    <cfRule type="expression" dxfId="535" priority="10">
      <formula>$E15=""</formula>
    </cfRule>
  </conditionalFormatting>
  <conditionalFormatting sqref="Q15:Q44">
    <cfRule type="expression" dxfId="534" priority="5">
      <formula>$E15=""</formula>
    </cfRule>
    <cfRule type="expression" dxfId="533" priority="6">
      <formula>Q$14&lt;&gt;""</formula>
    </cfRule>
  </conditionalFormatting>
  <conditionalFormatting sqref="Q15:S44">
    <cfRule type="expression" dxfId="532" priority="4" stopIfTrue="1">
      <formula>AND($E15="",Q15&lt;&gt;"")</formula>
    </cfRule>
  </conditionalFormatting>
  <conditionalFormatting sqref="R15:S44">
    <cfRule type="expression" dxfId="531" priority="11">
      <formula>R$14&lt;&gt;""</formula>
    </cfRule>
  </conditionalFormatting>
  <conditionalFormatting sqref="Y15 G15:N44 P15:P44 T15:X44 AB15:AG44 A16:E44 Y16:AA44">
    <cfRule type="expression" dxfId="530" priority="52">
      <formula>$E15=""</formula>
    </cfRule>
  </conditionalFormatting>
  <conditionalFormatting sqref="Z15:AA15">
    <cfRule type="expression" dxfId="529"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2B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B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2B00-000002000000}">
      <formula1>$AJ$15:$AK$15</formula1>
    </dataValidation>
    <dataValidation type="list" allowBlank="1" showInputMessage="1" showErrorMessage="1" sqref="F14" xr:uid="{00000000-0002-0000-2B00-000003000000}">
      <formula1>$AO$1:$BP$1</formula1>
    </dataValidation>
    <dataValidation type="list" allowBlank="1" showInputMessage="1" showErrorMessage="1" sqref="E14 Z14:AB14 L14:N14 U14:V14 X14 G14:J14 P14:S14" xr:uid="{00000000-0002-0000-2B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2B00-000005000000}"/>
    <dataValidation type="whole" operator="greaterThanOrEqual" allowBlank="1" showInputMessage="1" showErrorMessage="1" errorTitle="נתון שגוי." error="ניתן להזין רק מספר שלם גדול או שווה ל-0." sqref="H15:J44 L15:N44" xr:uid="{00000000-0002-0000-2B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B00-000007000000}">
      <formula1>$AN$4:$AO$4</formula1>
    </dataValidation>
    <dataValidation type="decimal" operator="greaterThanOrEqual" allowBlank="1" showInputMessage="1" showErrorMessage="1" errorTitle="נתון שגוי." error="ניתן להזין רק מספר חיובי." sqref="P15:P44" xr:uid="{00000000-0002-0000-2B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2B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BF74DE50-F363-4F52-8614-5755557DBF85}">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F5AD8498-CB68-4688-BD6F-EF79AA36C41C}">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3F4F2662-771E-4171-8A96-23A3B113F90F}">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EAC25E29-3D16-4D63-8499-3C9CFA922CA6}">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D62CF11F-8ED2-4759-A306-0EAF06CEDA0B}">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D3188E63-A0BE-4023-AB04-2099A2C030E6}">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F5EADACF-130B-42DC-8FED-D5A70D3F1887}">
            <xm:f>NOT(ISERROR(SEARCH($AJ$1,Y15)))</xm:f>
            <xm:f>$AJ$1</xm:f>
            <x14:dxf>
              <fill>
                <patternFill>
                  <bgColor rgb="FFFF0000"/>
                </patternFill>
              </fill>
            </x14:dxf>
          </x14:cfRule>
          <xm:sqref>AD15:AG44 Y16:Y44</xm:sqref>
        </x14:conditionalFormatting>
      </x14:conditionalFormatting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גיליון34">
    <tabColor theme="8" tint="0.59999389629810485"/>
    <pageSetUpPr fitToPage="1"/>
  </sheetPr>
  <dimension ref="A1:CZ45"/>
  <sheetViews>
    <sheetView rightToLeft="1" topLeftCell="B6" zoomScale="85" zoomScaleNormal="85" workbookViewId="0">
      <selection activeCell="E17" sqref="E17"/>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הו</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19</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1</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2</v>
      </c>
      <c r="Q2" s="401"/>
      <c r="R2" s="515" cm="1">
        <f t="array" aca="1" ref="R2" ca="1">SUMPRODUCT(L2:P2,TRANSPOSE('היקף החוברות'!D4:D8))</f>
        <v>10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2</v>
      </c>
      <c r="Q3" s="401" cm="1">
        <f t="array" aca="1" ref="Q3" ca="1">SUMPRODUCT(--($Q$15:$Q$44=1),$T$15:$T$44)</f>
        <v>2</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44896</v>
      </c>
      <c r="F15" s="385" t="s">
        <v>372</v>
      </c>
      <c r="G15" s="382"/>
      <c r="H15" s="383">
        <v>258</v>
      </c>
      <c r="I15" s="383">
        <v>74</v>
      </c>
      <c r="J15" s="383">
        <v>74</v>
      </c>
      <c r="K15" s="398">
        <f>IFERROR(J15/I15,"")</f>
        <v>1</v>
      </c>
      <c r="L15" s="383">
        <v>0</v>
      </c>
      <c r="M15" s="383">
        <v>440</v>
      </c>
      <c r="N15" s="383">
        <v>60</v>
      </c>
      <c r="O15" s="379">
        <f>IF(E15="","",L15+M15+N15)</f>
        <v>500</v>
      </c>
      <c r="P15" s="383">
        <v>68</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45139</v>
      </c>
      <c r="F16" s="385" t="s">
        <v>630</v>
      </c>
      <c r="G16" s="382"/>
      <c r="H16" s="383">
        <v>433</v>
      </c>
      <c r="I16" s="383">
        <v>109</v>
      </c>
      <c r="J16" s="383">
        <v>109</v>
      </c>
      <c r="K16" s="398">
        <f t="shared" ref="K16:K44" si="8">IFERROR(J16/I16,"")</f>
        <v>1</v>
      </c>
      <c r="L16" s="383">
        <v>0</v>
      </c>
      <c r="M16" s="383">
        <v>400</v>
      </c>
      <c r="N16" s="383">
        <v>100</v>
      </c>
      <c r="O16" s="379">
        <f t="shared" ref="O16:O44" si="9">IF(E16="","",L16+M16+N16)</f>
        <v>500</v>
      </c>
      <c r="P16" s="383">
        <v>68</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691</v>
      </c>
      <c r="I45" s="387">
        <f>SUM(I15:I44)</f>
        <v>183</v>
      </c>
      <c r="J45" s="387">
        <f>SUM(J15:J44)</f>
        <v>183</v>
      </c>
      <c r="K45" s="387">
        <f>SUM(K15:K44)</f>
        <v>2</v>
      </c>
      <c r="L45" s="387">
        <f>SUM(L15:L44)</f>
        <v>0</v>
      </c>
      <c r="M45" s="387"/>
      <c r="N45" s="387">
        <f>SUM(N15:N44)</f>
        <v>160</v>
      </c>
      <c r="O45" s="387">
        <f>SUM(O15:O44)</f>
        <v>1000</v>
      </c>
      <c r="P45" s="387">
        <f t="shared" ref="P45:T45" si="15">SUM(P15:P44)</f>
        <v>136</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LBBk6CvgvQRmHag24PB+mUQUeyEYXeGyzKmpWurZGwLrebb1X/rSGoI+GXuQ9BKobkkFMcdmLN1ZaQZsvj6QqQ==" saltValue="PrHupvOJDglSG7+KEC/jMA=="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521" priority="47" stopIfTrue="1">
      <formula>AND($E15="",A15&lt;&gt;"")</formula>
    </cfRule>
    <cfRule type="expression" dxfId="520" priority="48">
      <formula>$E15=""</formula>
    </cfRule>
    <cfRule type="expression" dxfId="519" priority="49">
      <formula>A$14&lt;&gt;""</formula>
    </cfRule>
  </conditionalFormatting>
  <conditionalFormatting sqref="A16:E44 G15:P44 T15:AG44">
    <cfRule type="expression" dxfId="518" priority="51" stopIfTrue="1">
      <formula>AND($E15="",A15&lt;&gt;"")</formula>
    </cfRule>
  </conditionalFormatting>
  <conditionalFormatting sqref="F15:F44">
    <cfRule type="expression" dxfId="517" priority="13" stopIfTrue="1">
      <formula>AND($E15="",F15&lt;&gt;"")</formula>
    </cfRule>
    <cfRule type="expression" dxfId="516" priority="14">
      <formula>$E15=""</formula>
    </cfRule>
    <cfRule type="expression" dxfId="515" priority="15">
      <formula>F$14&lt;&gt;""</formula>
    </cfRule>
  </conditionalFormatting>
  <conditionalFormatting sqref="G15:P44 T15:AG44 A16:E44">
    <cfRule type="expression" dxfId="514" priority="53">
      <formula>A$14&lt;&gt;""</formula>
    </cfRule>
  </conditionalFormatting>
  <conditionalFormatting sqref="O15:O44">
    <cfRule type="cellIs" dxfId="513" priority="27" operator="equal">
      <formula>0</formula>
    </cfRule>
  </conditionalFormatting>
  <conditionalFormatting sqref="O15:S44">
    <cfRule type="expression" dxfId="512" priority="10">
      <formula>$E15=""</formula>
    </cfRule>
  </conditionalFormatting>
  <conditionalFormatting sqref="Q15:Q44">
    <cfRule type="expression" dxfId="511" priority="5">
      <formula>$E15=""</formula>
    </cfRule>
    <cfRule type="expression" dxfId="510" priority="6">
      <formula>Q$14&lt;&gt;""</formula>
    </cfRule>
  </conditionalFormatting>
  <conditionalFormatting sqref="Q15:S44">
    <cfRule type="expression" dxfId="509" priority="4" stopIfTrue="1">
      <formula>AND($E15="",Q15&lt;&gt;"")</formula>
    </cfRule>
  </conditionalFormatting>
  <conditionalFormatting sqref="R15:S44">
    <cfRule type="expression" dxfId="508" priority="11">
      <formula>R$14&lt;&gt;""</formula>
    </cfRule>
  </conditionalFormatting>
  <conditionalFormatting sqref="Y15 G15:N44 P15:P44 T15:X44 AB15:AG44 A16:E44 Y16:AA44">
    <cfRule type="expression" dxfId="507" priority="52">
      <formula>$E15=""</formula>
    </cfRule>
  </conditionalFormatting>
  <conditionalFormatting sqref="Z15:AA15">
    <cfRule type="expression" dxfId="506"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2C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C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2C00-000002000000}">
      <formula1>$AJ$15:$AK$15</formula1>
    </dataValidation>
    <dataValidation type="list" allowBlank="1" showInputMessage="1" showErrorMessage="1" sqref="F14" xr:uid="{00000000-0002-0000-2C00-000003000000}">
      <formula1>$AO$1:$BP$1</formula1>
    </dataValidation>
    <dataValidation type="list" allowBlank="1" showInputMessage="1" showErrorMessage="1" sqref="E14 Z14:AB14 L14:N14 U14:V14 X14 G14:J14 P14:S14" xr:uid="{00000000-0002-0000-2C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2C00-000005000000}"/>
    <dataValidation type="whole" operator="greaterThanOrEqual" allowBlank="1" showInputMessage="1" showErrorMessage="1" errorTitle="נתון שגוי." error="ניתן להזין רק מספר שלם גדול או שווה ל-0." sqref="H15:J44 L15:N44" xr:uid="{00000000-0002-0000-2C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C00-000007000000}">
      <formula1>$AN$4:$AO$4</formula1>
    </dataValidation>
    <dataValidation type="decimal" operator="greaterThanOrEqual" allowBlank="1" showInputMessage="1" showErrorMessage="1" errorTitle="נתון שגוי." error="ניתן להזין רק מספר חיובי." sqref="P15:P44" xr:uid="{00000000-0002-0000-2C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2C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42CE661E-A1CF-4482-8B1B-F423A2CC6392}">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AB035B4F-1990-4024-A42D-C51D24F0D06E}">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86B92D7B-6680-4492-83DB-66BFDD10555E}">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5ECABD92-AC0B-48AF-A37C-A95B50C84587}">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F2307DFF-E47B-4E90-9F3F-C94E08B478E6}">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91A830BE-AB96-4E46-8953-28B6F7D729FC}">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6129E405-F86B-4067-9A7B-0A6408BD512D}">
            <xm:f>NOT(ISERROR(SEARCH($AJ$1,Y15)))</xm:f>
            <xm:f>$AJ$1</xm:f>
            <x14:dxf>
              <fill>
                <patternFill>
                  <bgColor rgb="FFFF0000"/>
                </patternFill>
              </fill>
            </x14:dxf>
          </x14:cfRule>
          <xm:sqref>AD15:AG44 Y16:Y44</xm:sqref>
        </x14:conditionalFormatting>
      </x14:conditionalFormatting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גיליון35">
    <tabColor theme="8" tint="0.59999389629810485"/>
    <pageSetUpPr fitToPage="1"/>
  </sheetPr>
  <dimension ref="A1:CZ45"/>
  <sheetViews>
    <sheetView rightToLeft="1" topLeftCell="B7" zoomScale="85" zoomScaleNormal="85" workbookViewId="0">
      <selection activeCell="B17" sqref="B17"/>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הבא להבא (עמותת מקום לשירה)</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20</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0.98734177215189878</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1</v>
      </c>
      <c r="P2" s="401" cm="1">
        <f t="array" aca="1" ref="P2" ca="1">SUMPRODUCT(--($H$15:$H$44&gt;=פרמטרים!$B$12),$T$15:$T$44)</f>
        <v>2</v>
      </c>
      <c r="Q2" s="401"/>
      <c r="R2" s="515" cm="1">
        <f t="array" aca="1" ref="R2" ca="1">SUMPRODUCT(L2:P2,TRANSPOSE('היקף החוברות'!D4:D8))</f>
        <v>14</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3</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3</v>
      </c>
      <c r="R9" s="401">
        <f>COUNTIF(R$15:$R$44,"=1")</f>
        <v>3</v>
      </c>
      <c r="S9" s="401">
        <f>COUNTIF($S$15:$S$44,"=1")</f>
        <v>3</v>
      </c>
      <c r="T9" s="401">
        <f ca="1">COUNTIF($T$15:$T$44,"=1")</f>
        <v>3</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44896</v>
      </c>
      <c r="F15" s="385" t="s">
        <v>373</v>
      </c>
      <c r="G15" s="382"/>
      <c r="H15" s="383">
        <v>90</v>
      </c>
      <c r="I15" s="383">
        <v>47</v>
      </c>
      <c r="J15" s="383">
        <v>47</v>
      </c>
      <c r="K15" s="398">
        <f>IFERROR(J15/I15,"")</f>
        <v>1</v>
      </c>
      <c r="L15" s="383">
        <v>340</v>
      </c>
      <c r="M15" s="383">
        <v>0</v>
      </c>
      <c r="N15" s="383">
        <v>1002</v>
      </c>
      <c r="O15" s="379">
        <f>IF(E15="","",L15+M15+N15)</f>
        <v>1342</v>
      </c>
      <c r="P15" s="383">
        <v>0</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45108</v>
      </c>
      <c r="F16" s="385" t="s">
        <v>373</v>
      </c>
      <c r="G16" s="382"/>
      <c r="H16" s="383">
        <v>131</v>
      </c>
      <c r="I16" s="383">
        <v>68</v>
      </c>
      <c r="J16" s="383">
        <v>66</v>
      </c>
      <c r="K16" s="398">
        <f t="shared" ref="K16:K44" si="8">IFERROR(J16/I16,"")</f>
        <v>0.97058823529411764</v>
      </c>
      <c r="L16" s="383">
        <v>150</v>
      </c>
      <c r="M16" s="383">
        <v>0</v>
      </c>
      <c r="N16" s="383">
        <v>1400</v>
      </c>
      <c r="O16" s="379">
        <f t="shared" ref="O16:O44" si="9">IF(E16="","",L16+M16+N16)</f>
        <v>1550</v>
      </c>
      <c r="P16" s="383">
        <v>0</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f t="shared" si="7"/>
        <v>3</v>
      </c>
      <c r="C17" s="380"/>
      <c r="D17" s="380"/>
      <c r="E17" s="381">
        <v>45170</v>
      </c>
      <c r="F17" s="385" t="s">
        <v>373</v>
      </c>
      <c r="G17" s="382"/>
      <c r="H17" s="383">
        <v>97</v>
      </c>
      <c r="I17" s="383">
        <v>43</v>
      </c>
      <c r="J17" s="383">
        <v>43</v>
      </c>
      <c r="K17" s="398">
        <f t="shared" si="8"/>
        <v>1</v>
      </c>
      <c r="L17" s="383">
        <v>150</v>
      </c>
      <c r="M17" s="383">
        <v>0</v>
      </c>
      <c r="N17" s="383">
        <v>1600</v>
      </c>
      <c r="O17" s="379">
        <f t="shared" si="9"/>
        <v>1750</v>
      </c>
      <c r="P17" s="383">
        <v>0</v>
      </c>
      <c r="Q17" s="382">
        <v>1</v>
      </c>
      <c r="R17" s="382">
        <v>1</v>
      </c>
      <c r="S17" s="382">
        <v>1</v>
      </c>
      <c r="T17" s="379">
        <f ca="1">IF(E17="","",IF(AI17&lt;&gt;1,$AJ$1,IF(AND(S17=1,R17=1,OR(H17&gt;=פרמטרים!$B$8,INDEX('תנאי סף'!$AF$11:$AF$50,MATCH($T$1,'תנאי סף'!$A$11:$A$50,0))),OR(O17&gt;=$H$8,INDEX('תנאי סף'!$AC$11:$AC$50,MATCH($T$1,'תנאי סף'!$A$11:$A$50,0))),INDEX('תנאי סף'!$AI$11:$AI$50,MATCH($T$1,'תנאי סף'!$A$11:$A$50,0)),COUNTA($E$15:$E$44)&gt;=$H$6),1,0)))</f>
        <v>1</v>
      </c>
      <c r="U17" s="382">
        <v>0</v>
      </c>
      <c r="V17" s="382">
        <v>0</v>
      </c>
      <c r="W17" s="379"/>
      <c r="X17" s="382"/>
      <c r="Y17" s="379"/>
      <c r="Z17" s="385"/>
      <c r="AA17" s="385"/>
      <c r="AB17" s="382"/>
      <c r="AC17" s="384"/>
      <c r="AD17" s="386"/>
      <c r="AE17" s="386"/>
      <c r="AF17" s="386"/>
      <c r="AG17" s="386"/>
      <c r="AI17" s="351">
        <f t="shared" si="10"/>
        <v>1</v>
      </c>
      <c r="AJ17" s="351">
        <f t="shared" si="11"/>
        <v>0</v>
      </c>
      <c r="AK17" s="351">
        <f t="shared" si="11"/>
        <v>1</v>
      </c>
      <c r="AL17" s="363">
        <f t="shared" si="12"/>
        <v>1</v>
      </c>
      <c r="AM17" s="363">
        <f t="shared" si="4"/>
        <v>1</v>
      </c>
      <c r="AN17" s="363">
        <f t="shared" si="4"/>
        <v>1</v>
      </c>
      <c r="AO17" s="363">
        <f t="shared" si="4"/>
        <v>1</v>
      </c>
      <c r="AP17" s="363">
        <f t="shared" si="4"/>
        <v>1</v>
      </c>
      <c r="AQ17" s="363">
        <f t="shared" si="4"/>
        <v>1</v>
      </c>
      <c r="AR17" s="363">
        <f t="shared" si="4"/>
        <v>1</v>
      </c>
      <c r="AS17" s="363">
        <f t="shared" si="4"/>
        <v>1</v>
      </c>
      <c r="AT17" s="363">
        <f t="shared" si="4"/>
        <v>1</v>
      </c>
      <c r="AU17" s="363">
        <f t="shared" si="4"/>
        <v>1</v>
      </c>
      <c r="AV17" s="363">
        <f t="shared" si="4"/>
        <v>1</v>
      </c>
      <c r="AW17" s="363">
        <f t="shared" si="4"/>
        <v>1</v>
      </c>
      <c r="AX17" s="363">
        <f t="shared" si="4"/>
        <v>1</v>
      </c>
      <c r="AY17" s="363">
        <f t="shared" si="4"/>
        <v>1</v>
      </c>
      <c r="AZ17" s="363">
        <f t="shared" si="4"/>
        <v>1</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נאותה</v>
      </c>
      <c r="BR17" s="351" t="str">
        <f t="shared" si="6"/>
        <v>לא נאותה</v>
      </c>
      <c r="BS17" s="351">
        <f t="shared" si="6"/>
        <v>0</v>
      </c>
      <c r="BT17" s="351">
        <f t="shared" si="6"/>
        <v>0</v>
      </c>
      <c r="BU17" s="351">
        <f t="shared" si="6"/>
        <v>0</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318</v>
      </c>
      <c r="I45" s="387">
        <f>SUM(I15:I44)</f>
        <v>158</v>
      </c>
      <c r="J45" s="387">
        <f>SUM(J15:J44)</f>
        <v>156</v>
      </c>
      <c r="K45" s="387">
        <f>SUM(K15:K44)</f>
        <v>2.9705882352941178</v>
      </c>
      <c r="L45" s="387">
        <f>SUM(L15:L44)</f>
        <v>640</v>
      </c>
      <c r="M45" s="387"/>
      <c r="N45" s="387">
        <f>SUM(N15:N44)</f>
        <v>4002</v>
      </c>
      <c r="O45" s="387">
        <f>SUM(O15:O44)</f>
        <v>4642</v>
      </c>
      <c r="P45" s="387">
        <f t="shared" ref="P45:T45" si="15">SUM(P15:P44)</f>
        <v>0</v>
      </c>
      <c r="Q45" s="387"/>
      <c r="R45" s="387">
        <f t="shared" si="15"/>
        <v>3</v>
      </c>
      <c r="S45" s="387">
        <f t="shared" si="15"/>
        <v>3</v>
      </c>
      <c r="T45" s="387">
        <f t="shared" ca="1" si="15"/>
        <v>3</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9fbsKQeQLyIQFPtvtkhjJZLJmW/Rd/8YRYugbV5YrU1dO/khyzkDfmC07bNPXNLC5zuZL/+k3ZNaogi+iBUzXg==" saltValue="9WqerWyX93UASGW2kxvDM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498" priority="47" stopIfTrue="1">
      <formula>AND($E15="",A15&lt;&gt;"")</formula>
    </cfRule>
    <cfRule type="expression" dxfId="497" priority="48">
      <formula>$E15=""</formula>
    </cfRule>
    <cfRule type="expression" dxfId="496" priority="49">
      <formula>A$14&lt;&gt;""</formula>
    </cfRule>
  </conditionalFormatting>
  <conditionalFormatting sqref="A16:E44 G15:P44 T15:AG44">
    <cfRule type="expression" dxfId="495" priority="51" stopIfTrue="1">
      <formula>AND($E15="",A15&lt;&gt;"")</formula>
    </cfRule>
  </conditionalFormatting>
  <conditionalFormatting sqref="F15:F44">
    <cfRule type="expression" dxfId="494" priority="13" stopIfTrue="1">
      <formula>AND($E15="",F15&lt;&gt;"")</formula>
    </cfRule>
    <cfRule type="expression" dxfId="493" priority="14">
      <formula>$E15=""</formula>
    </cfRule>
    <cfRule type="expression" dxfId="492" priority="15">
      <formula>F$14&lt;&gt;""</formula>
    </cfRule>
  </conditionalFormatting>
  <conditionalFormatting sqref="G15:P44 T15:AG44 A16:E44">
    <cfRule type="expression" dxfId="491" priority="53">
      <formula>A$14&lt;&gt;""</formula>
    </cfRule>
  </conditionalFormatting>
  <conditionalFormatting sqref="O15:O44">
    <cfRule type="cellIs" dxfId="490" priority="27" operator="equal">
      <formula>0</formula>
    </cfRule>
  </conditionalFormatting>
  <conditionalFormatting sqref="O15:S44">
    <cfRule type="expression" dxfId="489" priority="10">
      <formula>$E15=""</formula>
    </cfRule>
  </conditionalFormatting>
  <conditionalFormatting sqref="Q15:Q44">
    <cfRule type="expression" dxfId="488" priority="5">
      <formula>$E15=""</formula>
    </cfRule>
    <cfRule type="expression" dxfId="487" priority="6">
      <formula>Q$14&lt;&gt;""</formula>
    </cfRule>
  </conditionalFormatting>
  <conditionalFormatting sqref="Q15:S44">
    <cfRule type="expression" dxfId="486" priority="4" stopIfTrue="1">
      <formula>AND($E15="",Q15&lt;&gt;"")</formula>
    </cfRule>
  </conditionalFormatting>
  <conditionalFormatting sqref="R15:S44">
    <cfRule type="expression" dxfId="485" priority="11">
      <formula>R$14&lt;&gt;""</formula>
    </cfRule>
  </conditionalFormatting>
  <conditionalFormatting sqref="Y15 G15:N44 P15:P44 T15:X44 AB15:AG44 A16:E44 Y16:AA44">
    <cfRule type="expression" dxfId="484" priority="52">
      <formula>$E15=""</formula>
    </cfRule>
  </conditionalFormatting>
  <conditionalFormatting sqref="Z15:AA15">
    <cfRule type="expression" dxfId="483"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2D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D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2D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2D00-000003000000}"/>
    <dataValidation type="list" allowBlank="1" showInputMessage="1" showErrorMessage="1" sqref="E14 Z14:AB14 L14:N14 U14:V14 X14 G14:J14 P14:S14" xr:uid="{00000000-0002-0000-2D00-000004000000}">
      <formula1>$AN$1:$BP$1</formula1>
    </dataValidation>
    <dataValidation type="list" allowBlank="1" showInputMessage="1" showErrorMessage="1" sqref="F14" xr:uid="{00000000-0002-0000-2D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2D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D00-000007000000}">
      <formula1>$CA$2:$CA$10</formula1>
    </dataValidation>
    <dataValidation operator="greaterThanOrEqual" allowBlank="1" showInputMessage="1" showErrorMessage="1" errorTitle="נתון שגוי." error="ניתן להזין רק מספר שלם גדול או שווה ל-0." sqref="O15:O44" xr:uid="{00000000-0002-0000-2D00-000008000000}"/>
    <dataValidation type="list" allowBlank="1" showInputMessage="1" showErrorMessage="1" errorTitle="נתון שגוי." error="ניתן להזין רק 0 או 1._x000a_0 = לא עומד בתנאי._x000a_1 = עומד בתנאי." sqref="Q15:S44" xr:uid="{00000000-0002-0000-2D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67C2C6C2-5341-474A-B3B7-C39C049C528B}">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49CFB32E-80AA-4E14-9F6F-9D085A74AD0A}">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8F11E89B-6465-4697-97A9-6668722678E9}">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ADDF075E-0270-4EA2-B77C-450AEBEED382}">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5E391A35-DAC2-432E-9E80-023E1FB84B1F}">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AEBC386A-CC55-4210-AC4F-B5C0A1DB0703}">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1692BB83-E0BF-486B-AE84-DBC2E18DB04F}">
            <xm:f>NOT(ISERROR(SEARCH($AJ$1,Y15)))</xm:f>
            <xm:f>$AJ$1</xm:f>
            <x14:dxf>
              <fill>
                <patternFill>
                  <bgColor rgb="FFFF0000"/>
                </patternFill>
              </fill>
            </x14:dxf>
          </x14:cfRule>
          <xm:sqref>AD15:AG44 Y16:Y44</xm:sqref>
        </x14:conditionalFormatting>
      </x14:conditionalFormatting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גיליון36">
    <tabColor theme="8" tint="0.59999389629810485"/>
    <pageSetUpPr fitToPage="1"/>
  </sheetPr>
  <dimension ref="A1:CZ45"/>
  <sheetViews>
    <sheetView rightToLeft="1" topLeftCell="B8" zoomScale="85" zoomScaleNormal="85" workbookViewId="0">
      <selection activeCell="F21" sqref="F21"/>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5" style="351" bestFit="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היסטוריה (החברה ההיסטורית הישרא</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21</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1</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2</v>
      </c>
      <c r="Q2" s="401"/>
      <c r="R2" s="515" cm="1">
        <f t="array" aca="1" ref="R2" ca="1">SUMPRODUCT(L2:P2,TRANSPOSE('היקף החוברות'!D4:D8))</f>
        <v>10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2</v>
      </c>
      <c r="Q3" s="401" cm="1">
        <f t="array" aca="1" ref="Q3" ca="1">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44986</v>
      </c>
      <c r="F15" s="385" t="s">
        <v>631</v>
      </c>
      <c r="G15" s="382"/>
      <c r="H15" s="383">
        <v>134</v>
      </c>
      <c r="I15" s="383">
        <v>8</v>
      </c>
      <c r="J15" s="383">
        <v>8</v>
      </c>
      <c r="K15" s="398">
        <f>IFERROR(J15/I15,"")</f>
        <v>1</v>
      </c>
      <c r="L15" s="383">
        <v>193</v>
      </c>
      <c r="M15" s="383">
        <v>35</v>
      </c>
      <c r="N15" s="383">
        <v>0</v>
      </c>
      <c r="O15" s="379">
        <f>IF(E15="","",L15+M15+N15)</f>
        <v>228</v>
      </c>
      <c r="P15" s="383">
        <v>70</v>
      </c>
      <c r="Q15" s="382">
        <v>0</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45139</v>
      </c>
      <c r="F16" s="385" t="s">
        <v>631</v>
      </c>
      <c r="G16" s="382"/>
      <c r="H16" s="383">
        <v>134</v>
      </c>
      <c r="I16" s="383">
        <v>7</v>
      </c>
      <c r="J16" s="383">
        <v>7</v>
      </c>
      <c r="K16" s="398">
        <f t="shared" ref="K16:K44" si="8">IFERROR(J16/I16,"")</f>
        <v>1</v>
      </c>
      <c r="L16" s="383">
        <v>193</v>
      </c>
      <c r="M16" s="383">
        <v>36</v>
      </c>
      <c r="N16" s="383">
        <v>0</v>
      </c>
      <c r="O16" s="379">
        <f t="shared" ref="O16:O44" si="9">IF(E16="","",L16+M16+N16)</f>
        <v>229</v>
      </c>
      <c r="P16" s="383">
        <v>70</v>
      </c>
      <c r="Q16" s="382">
        <v>0</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268</v>
      </c>
      <c r="I45" s="387">
        <f>SUM(I15:I44)</f>
        <v>15</v>
      </c>
      <c r="J45" s="387">
        <f>SUM(J15:J44)</f>
        <v>15</v>
      </c>
      <c r="K45" s="387">
        <f>SUM(K15:K44)</f>
        <v>2</v>
      </c>
      <c r="L45" s="387">
        <f>SUM(L15:L44)</f>
        <v>386</v>
      </c>
      <c r="M45" s="387"/>
      <c r="N45" s="387">
        <f>SUM(N15:N44)</f>
        <v>0</v>
      </c>
      <c r="O45" s="387">
        <f>SUM(O15:O44)</f>
        <v>457</v>
      </c>
      <c r="P45" s="387">
        <f t="shared" ref="P45:T45" si="15">SUM(P15:P44)</f>
        <v>140</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coYsqL3keGK3bTkWn/etlrZvnmt37X7R1Utol1nszOljDaQqX11EFjPyzo9b3jNq1/TBm3FZ8diLXFB7NCUeMg==" saltValue="Z7rmc+1PitdI0zfdsuvjyg=="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D15 B16:B44">
    <cfRule type="expression" dxfId="475" priority="47" stopIfTrue="1">
      <formula>AND($E15="",A15&lt;&gt;"")</formula>
    </cfRule>
    <cfRule type="expression" dxfId="474" priority="48">
      <formula>$E15=""</formula>
    </cfRule>
    <cfRule type="expression" dxfId="473" priority="49">
      <formula>A$14&lt;&gt;""</formula>
    </cfRule>
  </conditionalFormatting>
  <conditionalFormatting sqref="E15:E16 A16:D16 A17:E44 G15:P44 T15:AG44">
    <cfRule type="expression" dxfId="472" priority="51" stopIfTrue="1">
      <formula>AND($E15="",A15&lt;&gt;"")</formula>
    </cfRule>
  </conditionalFormatting>
  <conditionalFormatting sqref="E15:E16 G15:P44 T15:AG44 A16:D16 A17:E44">
    <cfRule type="expression" dxfId="471" priority="53">
      <formula>A$14&lt;&gt;""</formula>
    </cfRule>
  </conditionalFormatting>
  <conditionalFormatting sqref="F15:F44">
    <cfRule type="expression" dxfId="470" priority="13" stopIfTrue="1">
      <formula>AND($E15="",F15&lt;&gt;"")</formula>
    </cfRule>
    <cfRule type="expression" dxfId="469" priority="14">
      <formula>$E15=""</formula>
    </cfRule>
    <cfRule type="expression" dxfId="468" priority="15">
      <formula>F$14&lt;&gt;""</formula>
    </cfRule>
  </conditionalFormatting>
  <conditionalFormatting sqref="O15:O44">
    <cfRule type="cellIs" dxfId="467" priority="27" operator="equal">
      <formula>0</formula>
    </cfRule>
  </conditionalFormatting>
  <conditionalFormatting sqref="O15:S44">
    <cfRule type="expression" dxfId="466" priority="10">
      <formula>$E15=""</formula>
    </cfRule>
  </conditionalFormatting>
  <conditionalFormatting sqref="Q15:Q44">
    <cfRule type="expression" dxfId="465" priority="5">
      <formula>$E15=""</formula>
    </cfRule>
    <cfRule type="expression" dxfId="464" priority="6">
      <formula>Q$14&lt;&gt;""</formula>
    </cfRule>
  </conditionalFormatting>
  <conditionalFormatting sqref="Q15:S44">
    <cfRule type="expression" dxfId="463" priority="4" stopIfTrue="1">
      <formula>AND($E15="",Q15&lt;&gt;"")</formula>
    </cfRule>
  </conditionalFormatting>
  <conditionalFormatting sqref="R15:S44">
    <cfRule type="expression" dxfId="462" priority="11">
      <formula>R$14&lt;&gt;""</formula>
    </cfRule>
  </conditionalFormatting>
  <conditionalFormatting sqref="Y15 E15:E16 G15:N44 P15:P44 T15:X44 AB15:AG44 A16:D16 Y16:AA44 A17:E44">
    <cfRule type="expression" dxfId="461" priority="52">
      <formula>$E15=""</formula>
    </cfRule>
  </conditionalFormatting>
  <conditionalFormatting sqref="Z15:AA15">
    <cfRule type="expression" dxfId="460"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2E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E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2E00-000002000000}">
      <formula1>$AJ$15:$AK$15</formula1>
    </dataValidation>
    <dataValidation type="list" allowBlank="1" showInputMessage="1" showErrorMessage="1" sqref="F14" xr:uid="{00000000-0002-0000-2E00-000003000000}">
      <formula1>$AO$1:$BP$1</formula1>
    </dataValidation>
    <dataValidation type="list" allowBlank="1" showInputMessage="1" showErrorMessage="1" sqref="E14 Z14:AB14 L14:N14 U14:V14 X14 G14:J14 P14:S14" xr:uid="{00000000-0002-0000-2E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2E00-000005000000}"/>
    <dataValidation type="whole" operator="greaterThanOrEqual" allowBlank="1" showInputMessage="1" showErrorMessage="1" errorTitle="נתון שגוי." error="ניתן להזין רק מספר שלם גדול או שווה ל-0." sqref="H15:J44 L15:N44" xr:uid="{00000000-0002-0000-2E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E00-000007000000}">
      <formula1>$AN$4:$AO$4</formula1>
    </dataValidation>
    <dataValidation type="decimal" operator="greaterThanOrEqual" allowBlank="1" showInputMessage="1" showErrorMessage="1" errorTitle="נתון שגוי." error="ניתן להזין רק מספר חיובי." sqref="P15:P44" xr:uid="{00000000-0002-0000-2E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2E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CEAA2C9D-57F1-4E0A-970F-05C2F08693A2}">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A219BCAF-369D-4E80-B0F1-F2B73B54BEA0}">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90594B44-4BF1-4B5E-98FB-8797EBDA2FDB}">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0E45662C-F0DF-4B52-8826-4CF2672D17D9}">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07D9354A-5A22-4C29-B665-0B2317C6DDC8}">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4338C981-CA3F-4417-BB4E-4BE757D96775}">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42DA126A-DAF4-4750-839C-3D54EFD7213E}">
            <xm:f>NOT(ISERROR(SEARCH($AJ$1,Y15)))</xm:f>
            <xm:f>$AJ$1</xm:f>
            <x14:dxf>
              <fill>
                <patternFill>
                  <bgColor rgb="FFFF0000"/>
                </patternFill>
              </fill>
            </x14:dxf>
          </x14:cfRule>
          <xm:sqref>AD15:AG44 Y16:Y44</xm:sqref>
        </x14:conditionalFormatting>
      </x14:conditionalFormatting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גיליון37">
    <tabColor theme="8" tint="0.59999389629810485"/>
    <pageSetUpPr fitToPage="1"/>
  </sheetPr>
  <dimension ref="A1:CZ45"/>
  <sheetViews>
    <sheetView rightToLeft="1" topLeftCell="B13" zoomScale="85" zoomScaleNormal="85" workbookViewId="0">
      <selection activeCell="J16" sqref="J16"/>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מחול עכשיו (תמונע)</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22</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1</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2</v>
      </c>
      <c r="O2" s="401" cm="1">
        <f t="array" aca="1" ref="O2" ca="1">SUMPRODUCT(--($H$15:$H$44&lt;פרמטרים!$B$12)*($H$15:$H$44&gt;=פרמטרים!$B$8),$T$15:$T$44)-SUM($L$2:N2)</f>
        <v>0</v>
      </c>
      <c r="P2" s="401" cm="1">
        <f t="array" aca="1" ref="P2" ca="1">SUMPRODUCT(--($H$15:$H$44&gt;=פרמטרים!$B$12),$T$15:$T$44)</f>
        <v>0</v>
      </c>
      <c r="Q2" s="401"/>
      <c r="R2" s="515" cm="1">
        <f t="array" aca="1" ref="R2" ca="1">SUMPRODUCT(L2:P2,TRANSPOSE('היקף החוברות'!D4:D8))</f>
        <v>6</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2</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44958</v>
      </c>
      <c r="F15" s="385" t="s">
        <v>632</v>
      </c>
      <c r="G15" s="382"/>
      <c r="H15" s="383">
        <v>68</v>
      </c>
      <c r="I15" s="383">
        <v>17</v>
      </c>
      <c r="J15" s="383">
        <v>17</v>
      </c>
      <c r="K15" s="398">
        <f>IFERROR(J15/I15,"")</f>
        <v>1</v>
      </c>
      <c r="L15" s="383">
        <v>95</v>
      </c>
      <c r="M15" s="383">
        <v>21</v>
      </c>
      <c r="N15" s="383">
        <v>84</v>
      </c>
      <c r="O15" s="379">
        <f>IF(E15="","",L15+M15+N15)</f>
        <v>200</v>
      </c>
      <c r="P15" s="383">
        <v>45</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45170</v>
      </c>
      <c r="F16" s="385" t="s">
        <v>632</v>
      </c>
      <c r="G16" s="382"/>
      <c r="H16" s="383">
        <v>68</v>
      </c>
      <c r="I16" s="383">
        <v>16</v>
      </c>
      <c r="J16" s="383">
        <v>16</v>
      </c>
      <c r="K16" s="398">
        <f t="shared" ref="K16:K44" si="8">IFERROR(J16/I16,"")</f>
        <v>1</v>
      </c>
      <c r="L16" s="383">
        <v>102</v>
      </c>
      <c r="M16" s="383">
        <v>11</v>
      </c>
      <c r="N16" s="383">
        <v>87</v>
      </c>
      <c r="O16" s="379">
        <f t="shared" ref="O16:O44" si="9">IF(E16="","",L16+M16+N16)</f>
        <v>200</v>
      </c>
      <c r="P16" s="383">
        <v>45</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136</v>
      </c>
      <c r="I45" s="387">
        <f>SUM(I15:I44)</f>
        <v>33</v>
      </c>
      <c r="J45" s="387">
        <f>SUM(J15:J44)</f>
        <v>33</v>
      </c>
      <c r="K45" s="387">
        <f>SUM(K15:K44)</f>
        <v>2</v>
      </c>
      <c r="L45" s="387">
        <f>SUM(L15:L44)</f>
        <v>197</v>
      </c>
      <c r="M45" s="387"/>
      <c r="N45" s="387">
        <f>SUM(N15:N44)</f>
        <v>171</v>
      </c>
      <c r="O45" s="387">
        <f>SUM(O15:O44)</f>
        <v>400</v>
      </c>
      <c r="P45" s="387">
        <f t="shared" ref="P45:T45" si="15">SUM(P15:P44)</f>
        <v>90</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73+nXUG3sZtbF1omvWtgTYn+2zKSyMwdKkOuevozpwXwPi0ktdm6zZZY2o/V8faMTGyF6M6z4XhCEK2tWhtnbw==" saltValue="lQwZREC+fUIjN3e3hFic3Q=="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452" priority="47" stopIfTrue="1">
      <formula>AND($E15="",A15&lt;&gt;"")</formula>
    </cfRule>
    <cfRule type="expression" dxfId="451" priority="48">
      <formula>$E15=""</formula>
    </cfRule>
    <cfRule type="expression" dxfId="450" priority="49">
      <formula>A$14&lt;&gt;""</formula>
    </cfRule>
  </conditionalFormatting>
  <conditionalFormatting sqref="A16:E44 G15:P44 T15:AG44">
    <cfRule type="expression" dxfId="449" priority="51" stopIfTrue="1">
      <formula>AND($E15="",A15&lt;&gt;"")</formula>
    </cfRule>
  </conditionalFormatting>
  <conditionalFormatting sqref="F15:F44">
    <cfRule type="expression" dxfId="448" priority="13" stopIfTrue="1">
      <formula>AND($E15="",F15&lt;&gt;"")</formula>
    </cfRule>
    <cfRule type="expression" dxfId="447" priority="14">
      <formula>$E15=""</formula>
    </cfRule>
    <cfRule type="expression" dxfId="446" priority="15">
      <formula>F$14&lt;&gt;""</formula>
    </cfRule>
  </conditionalFormatting>
  <conditionalFormatting sqref="G15:P44 T15:AG44 A16:E44">
    <cfRule type="expression" dxfId="445" priority="53">
      <formula>A$14&lt;&gt;""</formula>
    </cfRule>
  </conditionalFormatting>
  <conditionalFormatting sqref="O15:O44">
    <cfRule type="cellIs" dxfId="444" priority="27" operator="equal">
      <formula>0</formula>
    </cfRule>
  </conditionalFormatting>
  <conditionalFormatting sqref="O15:S44">
    <cfRule type="expression" dxfId="443" priority="10">
      <formula>$E15=""</formula>
    </cfRule>
  </conditionalFormatting>
  <conditionalFormatting sqref="Q15:Q44">
    <cfRule type="expression" dxfId="442" priority="5">
      <formula>$E15=""</formula>
    </cfRule>
    <cfRule type="expression" dxfId="441" priority="6">
      <formula>Q$14&lt;&gt;""</formula>
    </cfRule>
  </conditionalFormatting>
  <conditionalFormatting sqref="Q15:S44">
    <cfRule type="expression" dxfId="440" priority="4" stopIfTrue="1">
      <formula>AND($E15="",Q15&lt;&gt;"")</formula>
    </cfRule>
  </conditionalFormatting>
  <conditionalFormatting sqref="R15:S44">
    <cfRule type="expression" dxfId="439" priority="11">
      <formula>R$14&lt;&gt;""</formula>
    </cfRule>
  </conditionalFormatting>
  <conditionalFormatting sqref="Y15 G15:N44 P15:P44 T15:X44 AB15:AG44 A16:E44 Y16:AA44">
    <cfRule type="expression" dxfId="438" priority="52">
      <formula>$E15=""</formula>
    </cfRule>
  </conditionalFormatting>
  <conditionalFormatting sqref="Z15:AA15">
    <cfRule type="expression" dxfId="437"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2F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2F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2F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2F00-000003000000}"/>
    <dataValidation type="list" allowBlank="1" showInputMessage="1" showErrorMessage="1" sqref="E14 Z14:AB14 L14:N14 U14:V14 X14 G14:J14 P14:S14" xr:uid="{00000000-0002-0000-2F00-000004000000}">
      <formula1>$AN$1:$BP$1</formula1>
    </dataValidation>
    <dataValidation type="list" allowBlank="1" showInputMessage="1" showErrorMessage="1" sqref="F14" xr:uid="{00000000-0002-0000-2F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2F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2F00-000007000000}">
      <formula1>$CA$2:$CA$10</formula1>
    </dataValidation>
    <dataValidation operator="greaterThanOrEqual" allowBlank="1" showInputMessage="1" showErrorMessage="1" errorTitle="נתון שגוי." error="ניתן להזין רק מספר שלם גדול או שווה ל-0." sqref="O15:O44" xr:uid="{00000000-0002-0000-2F00-000008000000}"/>
    <dataValidation type="list" allowBlank="1" showInputMessage="1" showErrorMessage="1" errorTitle="נתון שגוי." error="ניתן להזין רק 0 או 1._x000a_0 = לא עומד בתנאי._x000a_1 = עומד בתנאי." sqref="Q15:S44" xr:uid="{00000000-0002-0000-2F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4DB1B36F-5010-4101-8A6A-5A91C0A4322A}">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4C6200EE-33B8-42F9-B852-D5EF493D5CE0}">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A5BE6757-F884-4BD0-9D82-9921B034191A}">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22598EC0-FDD9-4608-8A15-2DF4A29A07CB}">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D5350012-3094-4828-8B3A-DF726590488B}">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B5397FF1-92D2-4CB1-A246-BB0B0E90E3A0}">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C497E964-F1FF-4FA0-A1E1-6880CDBFC73C}">
            <xm:f>NOT(ISERROR(SEARCH($AJ$1,Y15)))</xm:f>
            <xm:f>$AJ$1</xm:f>
            <x14:dxf>
              <fill>
                <patternFill>
                  <bgColor rgb="FFFF0000"/>
                </patternFill>
              </fill>
            </x14:dxf>
          </x14:cfRule>
          <xm:sqref>AD15:AG44 Y16:Y44</xm:sqref>
        </x14:conditionalFormatting>
      </x14:conditionalFormatting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גיליון38">
    <tabColor theme="8" tint="0.59999389629810485"/>
    <pageSetUpPr fitToPage="1"/>
  </sheetPr>
  <dimension ref="A1:CZ45"/>
  <sheetViews>
    <sheetView rightToLeft="1" topLeftCell="B6" zoomScale="85" zoomScaleNormal="85" workbookViewId="0">
      <selection activeCell="B16" sqref="B16"/>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קול אישה שירה (תואר)</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23</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0.94339622641509435</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1</v>
      </c>
      <c r="O2" s="401" cm="1">
        <f t="array" aca="1" ref="O2" ca="1">SUMPRODUCT(--($H$15:$H$44&lt;פרמטרים!$B$12)*($H$15:$H$44&gt;=פרמטרים!$B$8),$T$15:$T$44)-SUM($L$2:N2)</f>
        <v>1</v>
      </c>
      <c r="P2" s="401" cm="1">
        <f t="array" aca="1" ref="P2" ca="1">SUMPRODUCT(--($H$15:$H$44&gt;=פרמטרים!$B$12),$T$15:$T$44)</f>
        <v>0</v>
      </c>
      <c r="Q2" s="401"/>
      <c r="R2" s="515" cm="1">
        <f t="array" aca="1" ref="R2" ca="1">SUMPRODUCT(L2:P2,TRANSPOSE('היקף החוברות'!D4:D8))</f>
        <v>7</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2</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45231</v>
      </c>
      <c r="F15" s="385" t="s">
        <v>633</v>
      </c>
      <c r="G15" s="382"/>
      <c r="H15" s="383">
        <v>67</v>
      </c>
      <c r="I15" s="383">
        <v>25</v>
      </c>
      <c r="J15" s="383">
        <v>23</v>
      </c>
      <c r="K15" s="398">
        <f>IFERROR(J15/I15,"")</f>
        <v>0.92</v>
      </c>
      <c r="L15" s="383">
        <v>75</v>
      </c>
      <c r="M15" s="383">
        <v>100</v>
      </c>
      <c r="N15" s="383">
        <v>45</v>
      </c>
      <c r="O15" s="379">
        <f>IF(E15="","",L15+M15+N15)</f>
        <v>220</v>
      </c>
      <c r="P15" s="383">
        <v>30</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45231</v>
      </c>
      <c r="F16" s="385" t="s">
        <v>633</v>
      </c>
      <c r="G16" s="382"/>
      <c r="H16" s="383">
        <v>87</v>
      </c>
      <c r="I16" s="383">
        <v>28</v>
      </c>
      <c r="J16" s="383">
        <v>27</v>
      </c>
      <c r="K16" s="398">
        <f t="shared" ref="K16:K44" si="8">IFERROR(J16/I16,"")</f>
        <v>0.9642857142857143</v>
      </c>
      <c r="L16" s="383">
        <v>65</v>
      </c>
      <c r="M16" s="383">
        <v>85</v>
      </c>
      <c r="N16" s="383">
        <v>55</v>
      </c>
      <c r="O16" s="379">
        <f t="shared" ref="O16:O44" si="9">IF(E16="","",L16+M16+N16)</f>
        <v>205</v>
      </c>
      <c r="P16" s="383">
        <v>30</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154</v>
      </c>
      <c r="I45" s="387">
        <f>SUM(I15:I44)</f>
        <v>53</v>
      </c>
      <c r="J45" s="387">
        <f>SUM(J15:J44)</f>
        <v>50</v>
      </c>
      <c r="K45" s="387">
        <f>SUM(K15:K44)</f>
        <v>1.8842857142857143</v>
      </c>
      <c r="L45" s="387">
        <f>SUM(L15:L44)</f>
        <v>140</v>
      </c>
      <c r="M45" s="387"/>
      <c r="N45" s="387">
        <f>SUM(N15:N44)</f>
        <v>100</v>
      </c>
      <c r="O45" s="387">
        <f>SUM(O15:O44)</f>
        <v>425</v>
      </c>
      <c r="P45" s="387">
        <f t="shared" ref="P45:T45" si="15">SUM(P15:P44)</f>
        <v>60</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feXPzZzwpgahhjh4rapi+FADUM/JUtvRRSIxyCapCJq5dWwya5eA2TdRWu3NjlGdUmuVSEPpquTBYuU9pr2arg==" saltValue="h8X+4bXGPfN59gVgXF4CAQ=="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429" priority="47" stopIfTrue="1">
      <formula>AND($E15="",A15&lt;&gt;"")</formula>
    </cfRule>
    <cfRule type="expression" dxfId="428" priority="48">
      <formula>$E15=""</formula>
    </cfRule>
    <cfRule type="expression" dxfId="427" priority="49">
      <formula>A$14&lt;&gt;""</formula>
    </cfRule>
  </conditionalFormatting>
  <conditionalFormatting sqref="A16:E44 G15:P44 T15:AG44">
    <cfRule type="expression" dxfId="426" priority="51" stopIfTrue="1">
      <formula>AND($E15="",A15&lt;&gt;"")</formula>
    </cfRule>
  </conditionalFormatting>
  <conditionalFormatting sqref="F15:F44">
    <cfRule type="expression" dxfId="425" priority="13" stopIfTrue="1">
      <formula>AND($E15="",F15&lt;&gt;"")</formula>
    </cfRule>
    <cfRule type="expression" dxfId="424" priority="14">
      <formula>$E15=""</formula>
    </cfRule>
    <cfRule type="expression" dxfId="423" priority="15">
      <formula>F$14&lt;&gt;""</formula>
    </cfRule>
  </conditionalFormatting>
  <conditionalFormatting sqref="G15:P44 T15:AG44 A16:E44">
    <cfRule type="expression" dxfId="422" priority="53">
      <formula>A$14&lt;&gt;""</formula>
    </cfRule>
  </conditionalFormatting>
  <conditionalFormatting sqref="O15:O44">
    <cfRule type="cellIs" dxfId="421" priority="27" operator="equal">
      <formula>0</formula>
    </cfRule>
  </conditionalFormatting>
  <conditionalFormatting sqref="O15:S44">
    <cfRule type="expression" dxfId="420" priority="10">
      <formula>$E15=""</formula>
    </cfRule>
  </conditionalFormatting>
  <conditionalFormatting sqref="Q15:Q44">
    <cfRule type="expression" dxfId="419" priority="5">
      <formula>$E15=""</formula>
    </cfRule>
    <cfRule type="expression" dxfId="418" priority="6">
      <formula>Q$14&lt;&gt;""</formula>
    </cfRule>
  </conditionalFormatting>
  <conditionalFormatting sqref="Q15:S44">
    <cfRule type="expression" dxfId="417" priority="4" stopIfTrue="1">
      <formula>AND($E15="",Q15&lt;&gt;"")</formula>
    </cfRule>
  </conditionalFormatting>
  <conditionalFormatting sqref="R15:S44">
    <cfRule type="expression" dxfId="416" priority="11">
      <formula>R$14&lt;&gt;""</formula>
    </cfRule>
  </conditionalFormatting>
  <conditionalFormatting sqref="Y15 G15:N44 P15:P44 T15:X44 AB15:AG44 A16:E44 Y16:AA44">
    <cfRule type="expression" dxfId="415" priority="52">
      <formula>$E15=""</formula>
    </cfRule>
  </conditionalFormatting>
  <conditionalFormatting sqref="Z15:AA15">
    <cfRule type="expression" dxfId="414"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30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0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30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3000-000003000000}"/>
    <dataValidation type="list" allowBlank="1" showInputMessage="1" showErrorMessage="1" sqref="E14 Z14:AB14 L14:N14 U14:V14 X14 G14:J14 P14:S14" xr:uid="{00000000-0002-0000-3000-000004000000}">
      <formula1>$AN$1:$BP$1</formula1>
    </dataValidation>
    <dataValidation type="list" allowBlank="1" showInputMessage="1" showErrorMessage="1" sqref="F14" xr:uid="{00000000-0002-0000-30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30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000-000007000000}">
      <formula1>$CA$2:$CA$10</formula1>
    </dataValidation>
    <dataValidation operator="greaterThanOrEqual" allowBlank="1" showInputMessage="1" showErrorMessage="1" errorTitle="נתון שגוי." error="ניתן להזין רק מספר שלם גדול או שווה ל-0." sqref="O15:O44" xr:uid="{00000000-0002-0000-3000-000008000000}"/>
    <dataValidation type="list" allowBlank="1" showInputMessage="1" showErrorMessage="1" errorTitle="נתון שגוי." error="ניתן להזין רק 0 או 1._x000a_0 = לא עומד בתנאי._x000a_1 = עומד בתנאי." sqref="Q15:S44" xr:uid="{00000000-0002-0000-30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FE79673D-C8A8-4427-9EF5-D3F59A566D2C}">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83C0869A-3056-49B8-8853-7BD1BA547F77}">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EB883265-A33F-4F4F-8512-E388A2ED4E61}">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82F0638C-92EC-4D91-84CF-BEB71C0FFE20}">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871C34C0-4BC0-4B9E-BB32-13DE4BA59095}">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0A1F0EAA-AD71-449D-B658-5C730432C9FD}">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7BA7B5C4-81A6-4964-9195-AC3503CD2AFE}">
            <xm:f>NOT(ISERROR(SEARCH($AJ$1,Y15)))</xm:f>
            <xm:f>$AJ$1</xm:f>
            <x14:dxf>
              <fill>
                <patternFill>
                  <bgColor rgb="FFFF0000"/>
                </patternFill>
              </fill>
            </x14:dxf>
          </x14:cfRule>
          <xm:sqref>AD15:AG44 Y16:Y44</xm:sqref>
        </x14:conditionalFormatting>
      </x14:conditionalFormatting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גיליון39">
    <tabColor theme="8" tint="0.59999389629810485"/>
    <pageSetUpPr fitToPage="1"/>
  </sheetPr>
  <dimension ref="A1:CZ45"/>
  <sheetViews>
    <sheetView rightToLeft="1" topLeftCell="B6" zoomScale="85" zoomScaleNormal="85" workbookViewId="0">
      <selection activeCell="B16" sqref="B16"/>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האיגוד העולמי למדעי היהדות</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24</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1</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2</v>
      </c>
      <c r="Q2" s="401"/>
      <c r="R2" s="515" cm="1">
        <f t="array" aca="1" ref="R2" ca="1">SUMPRODUCT(L2:P2,TRANSPOSE('היקף החוברות'!D4:D8))</f>
        <v>10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2</v>
      </c>
      <c r="Q3" s="401" cm="1">
        <f t="array" aca="1" ref="Q3" ca="1">SUMPRODUCT(--($Q$15:$Q$44=1),$T$15:$T$44)</f>
        <v>2</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44896</v>
      </c>
      <c r="F15" s="385" t="s">
        <v>375</v>
      </c>
      <c r="G15" s="382"/>
      <c r="H15" s="383">
        <v>170</v>
      </c>
      <c r="I15" s="383">
        <v>4</v>
      </c>
      <c r="J15" s="383">
        <v>4</v>
      </c>
      <c r="K15" s="398">
        <f>IFERROR(J15/I15,"")</f>
        <v>1</v>
      </c>
      <c r="L15" s="383">
        <v>200</v>
      </c>
      <c r="M15" s="383">
        <v>60</v>
      </c>
      <c r="N15" s="383">
        <v>40</v>
      </c>
      <c r="O15" s="379">
        <f>IF(E15="","",L15+M15+N15)</f>
        <v>300</v>
      </c>
      <c r="P15" s="383">
        <v>65</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45078</v>
      </c>
      <c r="F16" s="385" t="s">
        <v>375</v>
      </c>
      <c r="G16" s="382"/>
      <c r="H16" s="383">
        <v>122</v>
      </c>
      <c r="I16" s="383">
        <v>4</v>
      </c>
      <c r="J16" s="383">
        <v>4</v>
      </c>
      <c r="K16" s="398">
        <f t="shared" ref="K16:K44" si="8">IFERROR(J16/I16,"")</f>
        <v>1</v>
      </c>
      <c r="L16" s="383">
        <v>245</v>
      </c>
      <c r="M16" s="383">
        <v>28</v>
      </c>
      <c r="N16" s="383">
        <v>46</v>
      </c>
      <c r="O16" s="379">
        <f t="shared" ref="O16:O44" si="9">IF(E16="","",L16+M16+N16)</f>
        <v>319</v>
      </c>
      <c r="P16" s="383">
        <v>65</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292</v>
      </c>
      <c r="I45" s="387">
        <f>SUM(I15:I44)</f>
        <v>8</v>
      </c>
      <c r="J45" s="387">
        <f>SUM(J15:J44)</f>
        <v>8</v>
      </c>
      <c r="K45" s="387">
        <f>SUM(K15:K44)</f>
        <v>2</v>
      </c>
      <c r="L45" s="387">
        <f>SUM(L15:L44)</f>
        <v>445</v>
      </c>
      <c r="M45" s="387"/>
      <c r="N45" s="387">
        <f>SUM(N15:N44)</f>
        <v>86</v>
      </c>
      <c r="O45" s="387">
        <f>SUM(O15:O44)</f>
        <v>619</v>
      </c>
      <c r="P45" s="387">
        <f t="shared" ref="P45:T45" si="15">SUM(P15:P44)</f>
        <v>130</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gppketvOOWmc5IJjB5asaIFweIgWuoJBeNgZz89hvDFdeY3EImSN5jB69z6T9GwkW75NnfTMi0ZqdjTUYBgC4g==" saltValue="garftrY622l5NaWci2doSA=="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406" priority="47" stopIfTrue="1">
      <formula>AND($E15="",A15&lt;&gt;"")</formula>
    </cfRule>
    <cfRule type="expression" dxfId="405" priority="48">
      <formula>$E15=""</formula>
    </cfRule>
    <cfRule type="expression" dxfId="404" priority="49">
      <formula>A$14&lt;&gt;""</formula>
    </cfRule>
  </conditionalFormatting>
  <conditionalFormatting sqref="A16:E44 G15:P44 T15:AG44">
    <cfRule type="expression" dxfId="403" priority="51" stopIfTrue="1">
      <formula>AND($E15="",A15&lt;&gt;"")</formula>
    </cfRule>
  </conditionalFormatting>
  <conditionalFormatting sqref="F15:F44">
    <cfRule type="expression" dxfId="402" priority="13" stopIfTrue="1">
      <formula>AND($E15="",F15&lt;&gt;"")</formula>
    </cfRule>
    <cfRule type="expression" dxfId="401" priority="14">
      <formula>$E15=""</formula>
    </cfRule>
    <cfRule type="expression" dxfId="400" priority="15">
      <formula>F$14&lt;&gt;""</formula>
    </cfRule>
  </conditionalFormatting>
  <conditionalFormatting sqref="G15:P44 T15:AG44 A16:E44">
    <cfRule type="expression" dxfId="399" priority="53">
      <formula>A$14&lt;&gt;""</formula>
    </cfRule>
  </conditionalFormatting>
  <conditionalFormatting sqref="O15:O44">
    <cfRule type="cellIs" dxfId="398" priority="27" operator="equal">
      <formula>0</formula>
    </cfRule>
  </conditionalFormatting>
  <conditionalFormatting sqref="O15:S44">
    <cfRule type="expression" dxfId="397" priority="10">
      <formula>$E15=""</formula>
    </cfRule>
  </conditionalFormatting>
  <conditionalFormatting sqref="Q15:Q44">
    <cfRule type="expression" dxfId="396" priority="5">
      <formula>$E15=""</formula>
    </cfRule>
    <cfRule type="expression" dxfId="395" priority="6">
      <formula>Q$14&lt;&gt;""</formula>
    </cfRule>
  </conditionalFormatting>
  <conditionalFormatting sqref="Q15:S44">
    <cfRule type="expression" dxfId="394" priority="4" stopIfTrue="1">
      <formula>AND($E15="",Q15&lt;&gt;"")</formula>
    </cfRule>
  </conditionalFormatting>
  <conditionalFormatting sqref="R15:S44">
    <cfRule type="expression" dxfId="393" priority="11">
      <formula>R$14&lt;&gt;""</formula>
    </cfRule>
  </conditionalFormatting>
  <conditionalFormatting sqref="Y15 G15:N44 P15:P44 T15:X44 AB15:AG44 A16:E44 Y16:AA44">
    <cfRule type="expression" dxfId="392" priority="52">
      <formula>$E15=""</formula>
    </cfRule>
  </conditionalFormatting>
  <conditionalFormatting sqref="Z15:AA15">
    <cfRule type="expression" dxfId="391"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31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1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3100-000002000000}">
      <formula1>$AJ$15:$AK$15</formula1>
    </dataValidation>
    <dataValidation type="list" allowBlank="1" showInputMessage="1" showErrorMessage="1" sqref="F14" xr:uid="{00000000-0002-0000-3100-000003000000}">
      <formula1>$AO$1:$BP$1</formula1>
    </dataValidation>
    <dataValidation type="list" allowBlank="1" showInputMessage="1" showErrorMessage="1" sqref="E14 Z14:AB14 L14:N14 U14:V14 X14 G14:J14 P14:S14" xr:uid="{00000000-0002-0000-31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3100-000005000000}"/>
    <dataValidation type="whole" operator="greaterThanOrEqual" allowBlank="1" showInputMessage="1" showErrorMessage="1" errorTitle="נתון שגוי." error="ניתן להזין רק מספר שלם גדול או שווה ל-0." sqref="H15:J44 L15:N44" xr:uid="{00000000-0002-0000-31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100-000007000000}">
      <formula1>$AN$4:$AO$4</formula1>
    </dataValidation>
    <dataValidation type="decimal" operator="greaterThanOrEqual" allowBlank="1" showInputMessage="1" showErrorMessage="1" errorTitle="נתון שגוי." error="ניתן להזין רק מספר חיובי." sqref="P15:P44" xr:uid="{00000000-0002-0000-31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31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93B4774C-2748-4B9B-80F4-0D2440CF7691}">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2CCB7FE4-7016-4D8D-89FC-A4539849E02D}">
            <xm:f>NOT(ISERROR(SEARCH($AJ$1,F15)))</xm:f>
            <xm:f>$AJ$1</xm:f>
            <x14:dxf>
              <fill>
                <patternFill>
                  <bgColor rgb="FFFF0000"/>
                </patternFill>
              </fill>
            </x14:dxf>
          </x14:cfRule>
          <xm:sqref>F15:P44</xm:sqref>
        </x14:conditionalFormatting>
        <x14:conditionalFormatting xmlns:xm="http://schemas.microsoft.com/office/excel/2006/main">
          <x14:cfRule type="containsText" priority="1" operator="containsText" id="{0AA0DFD5-7948-4700-952D-78498FD6677E}">
            <xm:f>NOT(ISERROR(SEARCH($AJ$1,P15)))</xm:f>
            <xm:f>$AJ$1</xm:f>
            <x14:dxf>
              <fill>
                <patternFill>
                  <bgColor rgb="FFFF0000"/>
                </patternFill>
              </fill>
            </x14:dxf>
          </x14:cfRule>
          <xm:sqref>P15:S44</xm:sqref>
        </x14:conditionalFormatting>
        <x14:conditionalFormatting xmlns:xm="http://schemas.microsoft.com/office/excel/2006/main">
          <x14:cfRule type="containsText" priority="23" operator="containsText" id="{89E1CF8D-43DF-4C85-9941-64A9842DF4B1}">
            <xm:f>NOT(ISERROR(SEARCH($AJ$1,T15)))</xm:f>
            <xm:f>$AJ$1</xm:f>
            <x14:dxf>
              <fill>
                <patternFill>
                  <bgColor rgb="FFFF0000"/>
                </patternFill>
              </fill>
            </x14:dxf>
          </x14:cfRule>
          <xm:sqref>T15:AC44</xm:sqref>
        </x14:conditionalFormatting>
        <x14:conditionalFormatting xmlns:xm="http://schemas.microsoft.com/office/excel/2006/main">
          <x14:cfRule type="containsText" priority="22" operator="containsText" id="{B92C1C9D-C52B-46BA-BD02-9CB411192D77}">
            <xm:f>NOT(ISERROR(SEARCH($AJ$1,AA15)))</xm:f>
            <xm:f>$AJ$1</xm:f>
            <x14:dxf>
              <fill>
                <patternFill>
                  <bgColor rgb="FFFF0000"/>
                </patternFill>
              </fill>
            </x14:dxf>
          </x14:cfRule>
          <xm:sqref>AA15</xm:sqref>
        </x14:conditionalFormatting>
        <x14:conditionalFormatting xmlns:xm="http://schemas.microsoft.com/office/excel/2006/main">
          <x14:cfRule type="containsText" priority="20" operator="containsText" id="{1A213C13-5884-4476-A18F-707F90898D5C}">
            <xm:f>NOT(ISERROR(SEARCH($AJ$1,AA16)))</xm:f>
            <xm:f>$AJ$1</xm:f>
            <x14:dxf>
              <fill>
                <patternFill>
                  <bgColor rgb="FFFF0000"/>
                </patternFill>
              </fill>
            </x14:dxf>
          </x14:cfRule>
          <xm:sqref>AA16:AA44</xm:sqref>
        </x14:conditionalFormatting>
        <x14:conditionalFormatting xmlns:xm="http://schemas.microsoft.com/office/excel/2006/main">
          <x14:cfRule type="containsText" priority="54" operator="containsText" id="{8A29C1F9-55F5-4726-B0BC-BD6EF9E6909E}">
            <xm:f>NOT(ISERROR(SEARCH($AJ$1,Y15)))</xm:f>
            <xm:f>$AJ$1</xm:f>
            <x14:dxf>
              <fill>
                <patternFill>
                  <bgColor rgb="FFFF0000"/>
                </patternFill>
              </fill>
            </x14:dxf>
          </x14:cfRule>
          <xm:sqref>AD15:AG44 Y16:Y44</xm:sqref>
        </x14:conditionalFormatting>
      </x14:conditionalFormattings>
    </ext>
  </extLs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גיליון40">
    <tabColor theme="8" tint="0.59999389629810485"/>
    <pageSetUpPr fitToPage="1"/>
  </sheetPr>
  <dimension ref="A1:CZ45"/>
  <sheetViews>
    <sheetView rightToLeft="1" topLeftCell="H10" zoomScale="85" zoomScaleNormal="85" workbookViewId="0">
      <selection activeCell="P15" sqref="P15:S16"/>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25</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qyNlog+O3ygD8YoGvrrF/Oq6uMD2lbLQJYZDii9ZD5ZALtFL8s5KiCUek7jWRYu/VmAkxBbfTviAJP14dTcj0A==" saltValue="BlYu4uxt+rl/wTVQGznpn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383" priority="47" stopIfTrue="1">
      <formula>AND($E15="",A15&lt;&gt;"")</formula>
    </cfRule>
    <cfRule type="expression" dxfId="382" priority="48">
      <formula>$E15=""</formula>
    </cfRule>
    <cfRule type="expression" dxfId="381" priority="49">
      <formula>A$14&lt;&gt;""</formula>
    </cfRule>
  </conditionalFormatting>
  <conditionalFormatting sqref="A16:E44 T15:AG44 G15:P44">
    <cfRule type="expression" dxfId="380" priority="51" stopIfTrue="1">
      <formula>AND($E15="",A15&lt;&gt;"")</formula>
    </cfRule>
  </conditionalFormatting>
  <conditionalFormatting sqref="F15:F44">
    <cfRule type="expression" dxfId="379" priority="13" stopIfTrue="1">
      <formula>AND($E15="",F15&lt;&gt;"")</formula>
    </cfRule>
    <cfRule type="expression" dxfId="378" priority="14">
      <formula>$E15=""</formula>
    </cfRule>
    <cfRule type="expression" dxfId="377" priority="15">
      <formula>F$14&lt;&gt;""</formula>
    </cfRule>
  </conditionalFormatting>
  <conditionalFormatting sqref="G15:P44 T15:AG44 A16:E44">
    <cfRule type="expression" dxfId="376" priority="53">
      <formula>A$14&lt;&gt;""</formula>
    </cfRule>
  </conditionalFormatting>
  <conditionalFormatting sqref="O15:O44">
    <cfRule type="expression" dxfId="375" priority="25">
      <formula>$E15=""</formula>
    </cfRule>
    <cfRule type="cellIs" dxfId="374" priority="27" operator="equal">
      <formula>0</formula>
    </cfRule>
  </conditionalFormatting>
  <conditionalFormatting sqref="Q15:S44">
    <cfRule type="expression" dxfId="373" priority="4" stopIfTrue="1">
      <formula>AND($E15="",Q15&lt;&gt;"")</formula>
    </cfRule>
    <cfRule type="expression" dxfId="372" priority="5">
      <formula>$E15=""</formula>
    </cfRule>
    <cfRule type="expression" dxfId="371" priority="6">
      <formula>Q$14&lt;&gt;""</formula>
    </cfRule>
  </conditionalFormatting>
  <conditionalFormatting sqref="Y15 G15:N44 P15:P44 T15:X44 AB15:AG44 A16:E44 Y16:AA44">
    <cfRule type="expression" dxfId="370" priority="52">
      <formula>$E15=""</formula>
    </cfRule>
  </conditionalFormatting>
  <conditionalFormatting sqref="Z15:AA15">
    <cfRule type="expression" dxfId="369"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32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2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3200-000002000000}">
      <formula1>$AJ$15:$AK$15</formula1>
    </dataValidation>
    <dataValidation type="list" allowBlank="1" showInputMessage="1" showErrorMessage="1" sqref="F14" xr:uid="{00000000-0002-0000-3200-000003000000}">
      <formula1>$AO$1:$BP$1</formula1>
    </dataValidation>
    <dataValidation type="list" allowBlank="1" showInputMessage="1" showErrorMessage="1" sqref="E14 Z14:AB14 L14:N14 U14:V14 X14 G14:J14 P14:S14" xr:uid="{00000000-0002-0000-32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3200-000005000000}"/>
    <dataValidation type="whole" operator="greaterThanOrEqual" allowBlank="1" showInputMessage="1" showErrorMessage="1" errorTitle="נתון שגוי." error="ניתן להזין רק מספר שלם גדול או שווה ל-0." sqref="H15:J44 L15:N44" xr:uid="{00000000-0002-0000-32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200-000007000000}">
      <formula1>$AN$4:$AO$4</formula1>
    </dataValidation>
    <dataValidation type="decimal" operator="greaterThanOrEqual" allowBlank="1" showInputMessage="1" showErrorMessage="1" errorTitle="נתון שגוי." error="ניתן להזין רק מספר חיובי." sqref="P15:P44" xr:uid="{00000000-0002-0000-32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32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FAE869CA-2408-448D-ABF8-272186261D6D}">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3E4A6627-C2E9-40CA-BCED-6DDBFE22E905}">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6835FC42-1942-4AB6-8584-8FC197CACF19}">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F4A8E552-01EC-42E6-9DBA-B5354505DAFC}">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DB24109F-9E68-4108-A54B-5E50195588C0}">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B0F56DE4-F346-40B3-8372-7F827D0266ED}">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A7CA5EF2-9F84-4955-8DF7-C7718945DDCF}">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3AFE9558-F96E-4D49-9486-EE1B7A375C16}">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E8BCB2A1-B685-42CE-A563-A0C628E4971F}">
            <xm:f>NOT(ISERROR(SEARCH($AJ$1,Y15)))</xm:f>
            <xm:f>$AJ$1</xm:f>
            <x14:dxf>
              <fill>
                <patternFill>
                  <bgColor rgb="FFFF0000"/>
                </patternFill>
              </fill>
            </x14:dxf>
          </x14:cfRule>
          <xm:sqref>AD15:AG44 Y16:Y44</xm:sqref>
        </x14:conditionalFormatting>
      </x14:conditionalFormatting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גיליון41">
    <tabColor theme="8" tint="0.59999389629810485"/>
    <pageSetUpPr fitToPage="1"/>
  </sheetPr>
  <dimension ref="A1:CZ45"/>
  <sheetViews>
    <sheetView rightToLeft="1" topLeftCell="B6" zoomScale="85" zoomScaleNormal="85" workbookViewId="0">
      <selection activeCell="R2" sqref="R2"/>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26</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MJW766eRUo9NLJsvUl/9k5wApOt62Ysy86lYsvZZTjT0LzuPL7hKo6TysG/UwRKLsyvRfMf9qoZ1G+gBY/lf2w==" saltValue="01f4RVnGvgj52ddevcYEKA=="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359" priority="47" stopIfTrue="1">
      <formula>AND($E15="",A15&lt;&gt;"")</formula>
    </cfRule>
    <cfRule type="expression" dxfId="358" priority="48">
      <formula>$E15=""</formula>
    </cfRule>
    <cfRule type="expression" dxfId="357" priority="49">
      <formula>A$14&lt;&gt;""</formula>
    </cfRule>
  </conditionalFormatting>
  <conditionalFormatting sqref="A16:E44 T15:AG44 G15:P44">
    <cfRule type="expression" dxfId="356" priority="51" stopIfTrue="1">
      <formula>AND($E15="",A15&lt;&gt;"")</formula>
    </cfRule>
  </conditionalFormatting>
  <conditionalFormatting sqref="F15:F44">
    <cfRule type="expression" dxfId="355" priority="13" stopIfTrue="1">
      <formula>AND($E15="",F15&lt;&gt;"")</formula>
    </cfRule>
    <cfRule type="expression" dxfId="354" priority="14">
      <formula>$E15=""</formula>
    </cfRule>
    <cfRule type="expression" dxfId="353" priority="15">
      <formula>F$14&lt;&gt;""</formula>
    </cfRule>
  </conditionalFormatting>
  <conditionalFormatting sqref="G15:P44 T15:AG44 A16:E44">
    <cfRule type="expression" dxfId="352" priority="53">
      <formula>A$14&lt;&gt;""</formula>
    </cfRule>
  </conditionalFormatting>
  <conditionalFormatting sqref="O15:O44">
    <cfRule type="expression" dxfId="351" priority="25">
      <formula>$E15=""</formula>
    </cfRule>
    <cfRule type="cellIs" dxfId="350" priority="27" operator="equal">
      <formula>0</formula>
    </cfRule>
  </conditionalFormatting>
  <conditionalFormatting sqref="Q15:S44">
    <cfRule type="expression" dxfId="349" priority="4" stopIfTrue="1">
      <formula>AND($E15="",Q15&lt;&gt;"")</formula>
    </cfRule>
    <cfRule type="expression" dxfId="348" priority="5">
      <formula>$E15=""</formula>
    </cfRule>
    <cfRule type="expression" dxfId="347" priority="6">
      <formula>Q$14&lt;&gt;""</formula>
    </cfRule>
  </conditionalFormatting>
  <conditionalFormatting sqref="Y15 G15:N44 P15:P44 T15:X44 AB15:AG44 A16:E44 Y16:AA44">
    <cfRule type="expression" dxfId="346" priority="52">
      <formula>$E15=""</formula>
    </cfRule>
  </conditionalFormatting>
  <conditionalFormatting sqref="Z15:AA15">
    <cfRule type="expression" dxfId="345"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33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3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33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3300-000003000000}"/>
    <dataValidation type="list" allowBlank="1" showInputMessage="1" showErrorMessage="1" sqref="E14 Z14:AB14 L14:N14 U14:V14 X14 G14:J14 P14:S14" xr:uid="{00000000-0002-0000-3300-000004000000}">
      <formula1>$AN$1:$BP$1</formula1>
    </dataValidation>
    <dataValidation type="list" allowBlank="1" showInputMessage="1" showErrorMessage="1" sqref="F14" xr:uid="{00000000-0002-0000-33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33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300-000007000000}">
      <formula1>$CA$2:$CA$10</formula1>
    </dataValidation>
    <dataValidation operator="greaterThanOrEqual" allowBlank="1" showInputMessage="1" showErrorMessage="1" errorTitle="נתון שגוי." error="ניתן להזין רק מספר שלם גדול או שווה ל-0." sqref="O15:O44" xr:uid="{00000000-0002-0000-3300-000008000000}"/>
    <dataValidation type="list" allowBlank="1" showInputMessage="1" showErrorMessage="1" errorTitle="נתון שגוי." error="ניתן להזין רק 0 או 1._x000a_0 = לא עומד בתנאי._x000a_1 = עומד בתנאי." sqref="Q15:S44" xr:uid="{00000000-0002-0000-33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D3D8D7E0-5087-446D-8ABC-CC33026BDD44}">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BF43554E-4CD0-42A7-BAC3-35D451EE1A13}">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A5FAB222-7FE1-426C-99DA-CF35F6AED0FC}">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81C443D4-13FD-4A78-BB28-C8715D1C65EA}">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2F793C53-1E45-4DD5-8B20-2201E403DFE6}">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14A8DBD2-4D61-4F09-8FD9-C4979B1304BB}">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627330A8-8CC4-4CE2-A1D2-7C37F88B3AEE}">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49E898CE-6146-4D0D-9685-FCD02C0ED90B}">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D8E27FBB-A77A-4092-935E-7098A460ACB5}">
            <xm:f>NOT(ISERROR(SEARCH($AJ$1,Y15)))</xm:f>
            <xm:f>$AJ$1</xm:f>
            <x14:dxf>
              <fill>
                <patternFill>
                  <bgColor rgb="FFFF0000"/>
                </patternFill>
              </fill>
            </x14:dxf>
          </x14:cfRule>
          <xm:sqref>AD15:AG44 Y16:Y44</xm:sqref>
        </x14:conditionalFormatting>
      </x14:conditionalFormatting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גיליון42">
    <tabColor theme="8" tint="0.59999389629810485"/>
    <pageSetUpPr fitToPage="1"/>
  </sheetPr>
  <dimension ref="A1:CZ45"/>
  <sheetViews>
    <sheetView rightToLeft="1" topLeftCell="H4" zoomScale="85" zoomScaleNormal="85" workbookViewId="0">
      <selection activeCell="P15" sqref="P15:S17"/>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27</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urNN/3g99qsLsGg6/Hrm1A3rAh4HZecmWUiYr97lWYBaM4XqtHG8e8VdlBAxnF0sp0LOt0l3Ij+tPpktYIzWdg==" saltValue="rQMIBtU4g9/07YqFwfxVug=="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335" priority="47" stopIfTrue="1">
      <formula>AND($E15="",A15&lt;&gt;"")</formula>
    </cfRule>
    <cfRule type="expression" dxfId="334" priority="48">
      <formula>$E15=""</formula>
    </cfRule>
    <cfRule type="expression" dxfId="333" priority="49">
      <formula>A$14&lt;&gt;""</formula>
    </cfRule>
  </conditionalFormatting>
  <conditionalFormatting sqref="A16:E44 T15:AG44 G15:P44">
    <cfRule type="expression" dxfId="332" priority="51" stopIfTrue="1">
      <formula>AND($E15="",A15&lt;&gt;"")</formula>
    </cfRule>
  </conditionalFormatting>
  <conditionalFormatting sqref="F15:F44">
    <cfRule type="expression" dxfId="331" priority="13" stopIfTrue="1">
      <formula>AND($E15="",F15&lt;&gt;"")</formula>
    </cfRule>
    <cfRule type="expression" dxfId="330" priority="14">
      <formula>$E15=""</formula>
    </cfRule>
    <cfRule type="expression" dxfId="329" priority="15">
      <formula>F$14&lt;&gt;""</formula>
    </cfRule>
  </conditionalFormatting>
  <conditionalFormatting sqref="G15:P44 T15:AG44 A16:E44">
    <cfRule type="expression" dxfId="328" priority="53">
      <formula>A$14&lt;&gt;""</formula>
    </cfRule>
  </conditionalFormatting>
  <conditionalFormatting sqref="O15:O44">
    <cfRule type="expression" dxfId="327" priority="25">
      <formula>$E15=""</formula>
    </cfRule>
    <cfRule type="cellIs" dxfId="326" priority="27" operator="equal">
      <formula>0</formula>
    </cfRule>
  </conditionalFormatting>
  <conditionalFormatting sqref="Q15:S44">
    <cfRule type="expression" dxfId="325" priority="4" stopIfTrue="1">
      <formula>AND($E15="",Q15&lt;&gt;"")</formula>
    </cfRule>
    <cfRule type="expression" dxfId="324" priority="5">
      <formula>$E15=""</formula>
    </cfRule>
    <cfRule type="expression" dxfId="323" priority="6">
      <formula>Q$14&lt;&gt;""</formula>
    </cfRule>
  </conditionalFormatting>
  <conditionalFormatting sqref="Y15 G15:N44 P15:P44 T15:X44 AB15:AG44 A16:E44 Y16:AA44">
    <cfRule type="expression" dxfId="322" priority="52">
      <formula>$E15=""</formula>
    </cfRule>
  </conditionalFormatting>
  <conditionalFormatting sqref="Z15:AA15">
    <cfRule type="expression" dxfId="321"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34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4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34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3400-000003000000}"/>
    <dataValidation type="list" allowBlank="1" showInputMessage="1" showErrorMessage="1" sqref="E14 Z14:AB14 L14:N14 U14:V14 X14 G14:J14 P14:S14" xr:uid="{00000000-0002-0000-3400-000004000000}">
      <formula1>$AN$1:$BP$1</formula1>
    </dataValidation>
    <dataValidation type="list" allowBlank="1" showInputMessage="1" showErrorMessage="1" sqref="F14" xr:uid="{00000000-0002-0000-34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34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400-000007000000}">
      <formula1>$CA$2:$CA$10</formula1>
    </dataValidation>
    <dataValidation operator="greaterThanOrEqual" allowBlank="1" showInputMessage="1" showErrorMessage="1" errorTitle="נתון שגוי." error="ניתן להזין רק מספר שלם גדול או שווה ל-0." sqref="O15:O44" xr:uid="{00000000-0002-0000-3400-000008000000}"/>
    <dataValidation type="list" allowBlank="1" showInputMessage="1" showErrorMessage="1" errorTitle="נתון שגוי." error="ניתן להזין רק 0 או 1._x000a_0 = לא עומד בתנאי._x000a_1 = עומד בתנאי." sqref="Q15:S44" xr:uid="{00000000-0002-0000-34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AD89D1F6-8EDF-4A6B-9F15-1A12E30B6053}">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1B2CEECD-4AF2-4691-8723-C611F4128704}">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35ACE424-EBE3-459F-829F-47C2E61BC919}">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95748C9B-B25B-4D5A-A4E1-FF6C3699417A}">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DA7BC88F-DFC8-49B3-BC62-952568D79D72}">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6632B265-BD48-4033-8F87-51AA088C08B3}">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A8456C29-C2DD-4551-882E-7909788E3EFA}">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EAC0F064-C0D5-4359-9196-5948589852AD}">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51C5A9E4-7C8C-484D-A91C-B9A3D89A5740}">
            <xm:f>NOT(ISERROR(SEARCH($AJ$1,Y15)))</xm:f>
            <xm:f>$AJ$1</xm:f>
            <x14:dxf>
              <fill>
                <patternFill>
                  <bgColor rgb="FFFF0000"/>
                </patternFill>
              </fill>
            </x14:dxf>
          </x14:cfRule>
          <xm:sqref>AD15:AG44 Y16:Y44</xm:sqref>
        </x14:conditionalFormatting>
      </x14:conditionalFormatting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גיליון43">
    <tabColor theme="8" tint="0.59999389629810485"/>
    <pageSetUpPr fitToPage="1"/>
  </sheetPr>
  <dimension ref="A1:CZ45"/>
  <sheetViews>
    <sheetView rightToLeft="1" topLeftCell="B6" zoomScale="85" zoomScaleNormal="85" workbookViewId="0">
      <selection activeCell="E19" sqref="E19"/>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28</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Phw3B6dhMhyTNavUyvOM/2sTOih9RR5XAxwXJ9ROSiezBOVJj45t5vBYQJr4K924IZfkNGhdp2/O/y4xgDTx2A==" saltValue="Ab8BTM3wIl/GjQCQEnqN+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311" priority="47" stopIfTrue="1">
      <formula>AND($E15="",A15&lt;&gt;"")</formula>
    </cfRule>
    <cfRule type="expression" dxfId="310" priority="48">
      <formula>$E15=""</formula>
    </cfRule>
    <cfRule type="expression" dxfId="309" priority="49">
      <formula>A$14&lt;&gt;""</formula>
    </cfRule>
  </conditionalFormatting>
  <conditionalFormatting sqref="A16:E44 T15:AG44 G15:P44">
    <cfRule type="expression" dxfId="308" priority="51" stopIfTrue="1">
      <formula>AND($E15="",A15&lt;&gt;"")</formula>
    </cfRule>
  </conditionalFormatting>
  <conditionalFormatting sqref="F15:F44">
    <cfRule type="expression" dxfId="307" priority="13" stopIfTrue="1">
      <formula>AND($E15="",F15&lt;&gt;"")</formula>
    </cfRule>
    <cfRule type="expression" dxfId="306" priority="14">
      <formula>$E15=""</formula>
    </cfRule>
    <cfRule type="expression" dxfId="305" priority="15">
      <formula>F$14&lt;&gt;""</formula>
    </cfRule>
  </conditionalFormatting>
  <conditionalFormatting sqref="G15:P44 T15:AG44 A16:E44">
    <cfRule type="expression" dxfId="304" priority="53">
      <formula>A$14&lt;&gt;""</formula>
    </cfRule>
  </conditionalFormatting>
  <conditionalFormatting sqref="O15:O44">
    <cfRule type="expression" dxfId="303" priority="25">
      <formula>$E15=""</formula>
    </cfRule>
    <cfRule type="cellIs" dxfId="302" priority="27" operator="equal">
      <formula>0</formula>
    </cfRule>
  </conditionalFormatting>
  <conditionalFormatting sqref="Q15:S44">
    <cfRule type="expression" dxfId="301" priority="4" stopIfTrue="1">
      <formula>AND($E15="",Q15&lt;&gt;"")</formula>
    </cfRule>
    <cfRule type="expression" dxfId="300" priority="5">
      <formula>$E15=""</formula>
    </cfRule>
    <cfRule type="expression" dxfId="299" priority="6">
      <formula>Q$14&lt;&gt;""</formula>
    </cfRule>
  </conditionalFormatting>
  <conditionalFormatting sqref="Y15 G15:N44 P15:P44 T15:X44 AB15:AG44 A16:E44 Y16:AA44">
    <cfRule type="expression" dxfId="298" priority="52">
      <formula>$E15=""</formula>
    </cfRule>
  </conditionalFormatting>
  <conditionalFormatting sqref="Z15:AA15">
    <cfRule type="expression" dxfId="297"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35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5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3500-000002000000}">
      <formula1>$AJ$15:$AK$15</formula1>
    </dataValidation>
    <dataValidation type="list" allowBlank="1" showInputMessage="1" showErrorMessage="1" sqref="F14" xr:uid="{00000000-0002-0000-3500-000003000000}">
      <formula1>$AO$1:$BP$1</formula1>
    </dataValidation>
    <dataValidation type="list" allowBlank="1" showInputMessage="1" showErrorMessage="1" sqref="E14 Z14:AB14 L14:N14 U14:V14 X14 G14:J14 P14:S14" xr:uid="{00000000-0002-0000-35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3500-000005000000}"/>
    <dataValidation type="whole" operator="greaterThanOrEqual" allowBlank="1" showInputMessage="1" showErrorMessage="1" errorTitle="נתון שגוי." error="ניתן להזין רק מספר שלם גדול או שווה ל-0." sqref="H15:J44 L15:N44" xr:uid="{00000000-0002-0000-35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500-000007000000}">
      <formula1>$AN$4:$AO$4</formula1>
    </dataValidation>
    <dataValidation type="decimal" operator="greaterThanOrEqual" allowBlank="1" showInputMessage="1" showErrorMessage="1" errorTitle="נתון שגוי." error="ניתן להזין רק מספר חיובי." sqref="P15:P44" xr:uid="{00000000-0002-0000-35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35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DDF8C0E8-D173-4AA7-97A3-6F8170A9D1A5}">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1894F2A7-E325-44B6-976A-A6674A8C3F99}">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BE203AA5-01D2-47B5-B2D0-131DB7C8B8D0}">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10C8815E-58EC-4F3A-8A4C-3C299ED668A5}">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365253B3-5207-4C4F-B208-5F6211EABCC2}">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FA2C47D2-C21A-4B53-9B99-BA26481AE9A7}">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A3035359-C94A-458C-A0AB-3271904F5CA6}">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3C10DD3A-CC75-4E99-9417-7AB7D8A92A6D}">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6AF8924D-6B98-4377-8C39-41F85C0B0F6D}">
            <xm:f>NOT(ISERROR(SEARCH($AJ$1,Y15)))</xm:f>
            <xm:f>$AJ$1</xm:f>
            <x14:dxf>
              <fill>
                <patternFill>
                  <bgColor rgb="FFFF0000"/>
                </patternFill>
              </fill>
            </x14:dxf>
          </x14:cfRule>
          <xm:sqref>AD15:AG44 Y16:Y44</xm:sqref>
        </x14:conditionalFormatting>
      </x14:conditionalFormattings>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גיליון44">
    <tabColor theme="8" tint="0.59999389629810485"/>
    <pageSetUpPr fitToPage="1"/>
  </sheetPr>
  <dimension ref="A1:CZ45"/>
  <sheetViews>
    <sheetView rightToLeft="1" topLeftCell="B6" zoomScale="85" zoomScaleNormal="85" workbookViewId="0">
      <selection activeCell="H20" sqref="H20"/>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גופא (נתיב האומן )</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29</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1</v>
      </c>
      <c r="K2" s="369" t="s">
        <v>326</v>
      </c>
      <c r="L2" s="401" cm="1">
        <f t="array" aca="1" ref="L2" ca="1">SUMPRODUCT(--($H$15:$H$44&lt;פרמטרים!$B$9)*($H$15:$H$44&gt;=פרמטרים!$B$8),$T$15:$T$44)</f>
        <v>2</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0</v>
      </c>
      <c r="Q2" s="401"/>
      <c r="R2" s="515" cm="1">
        <f t="array" aca="1" ref="R2" ca="1">SUMPRODUCT(L2:P2,TRANSPOSE('היקף החוברות'!D4:D8))</f>
        <v>2</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2</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44835</v>
      </c>
      <c r="F15" s="385" t="s">
        <v>376</v>
      </c>
      <c r="G15" s="382"/>
      <c r="H15" s="383">
        <v>44</v>
      </c>
      <c r="I15" s="383">
        <v>10</v>
      </c>
      <c r="J15" s="383">
        <v>10</v>
      </c>
      <c r="K15" s="398">
        <f>IFERROR(J15/I15,"")</f>
        <v>1</v>
      </c>
      <c r="L15" s="383">
        <v>0</v>
      </c>
      <c r="M15" s="383">
        <v>0</v>
      </c>
      <c r="N15" s="383">
        <v>1000</v>
      </c>
      <c r="O15" s="379">
        <f>IF(E15="","",L15+M15+N15)</f>
        <v>1000</v>
      </c>
      <c r="P15" s="383">
        <v>0</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44896</v>
      </c>
      <c r="F16" s="385" t="s">
        <v>376</v>
      </c>
      <c r="G16" s="382"/>
      <c r="H16" s="383">
        <v>44</v>
      </c>
      <c r="I16" s="383">
        <v>10</v>
      </c>
      <c r="J16" s="383">
        <v>10</v>
      </c>
      <c r="K16" s="398">
        <f t="shared" ref="K16:K44" si="8">IFERROR(J16/I16,"")</f>
        <v>1</v>
      </c>
      <c r="L16" s="383">
        <v>0</v>
      </c>
      <c r="M16" s="383">
        <v>0</v>
      </c>
      <c r="N16" s="383">
        <v>1000</v>
      </c>
      <c r="O16" s="379">
        <f t="shared" ref="O16:O44" si="9">IF(E16="","",L16+M16+N16)</f>
        <v>1000</v>
      </c>
      <c r="P16" s="383">
        <v>0</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88</v>
      </c>
      <c r="I45" s="387">
        <f>SUM(I15:I44)</f>
        <v>20</v>
      </c>
      <c r="J45" s="387">
        <f>SUM(J15:J44)</f>
        <v>20</v>
      </c>
      <c r="K45" s="387">
        <f>SUM(K15:K44)</f>
        <v>2</v>
      </c>
      <c r="L45" s="387">
        <f>SUM(L15:L44)</f>
        <v>0</v>
      </c>
      <c r="M45" s="387"/>
      <c r="N45" s="387">
        <f>SUM(N15:N44)</f>
        <v>2000</v>
      </c>
      <c r="O45" s="387">
        <f>SUM(O15:O44)</f>
        <v>2000</v>
      </c>
      <c r="P45" s="387">
        <f t="shared" ref="P45:T45" si="15">SUM(P15:P44)</f>
        <v>0</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i80SEl6p6usNrKj8weOP7YAds+cAuetrnUKJCz87U/yo/0/+RJG/l5RhEALg1MGbQpYZfVVmtnFKSP7k9cAoRA==" saltValue="xGcFh4vJFd/JoTLXxRC+s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287" priority="47" stopIfTrue="1">
      <formula>AND($E15="",A15&lt;&gt;"")</formula>
    </cfRule>
    <cfRule type="expression" dxfId="286" priority="48">
      <formula>$E15=""</formula>
    </cfRule>
    <cfRule type="expression" dxfId="285" priority="49">
      <formula>A$14&lt;&gt;""</formula>
    </cfRule>
  </conditionalFormatting>
  <conditionalFormatting sqref="A16:E44 T15:AG44 G15:P44">
    <cfRule type="expression" dxfId="284" priority="51" stopIfTrue="1">
      <formula>AND($E15="",A15&lt;&gt;"")</formula>
    </cfRule>
  </conditionalFormatting>
  <conditionalFormatting sqref="F15:F44">
    <cfRule type="expression" dxfId="283" priority="13" stopIfTrue="1">
      <formula>AND($E15="",F15&lt;&gt;"")</formula>
    </cfRule>
    <cfRule type="expression" dxfId="282" priority="14">
      <formula>$E15=""</formula>
    </cfRule>
    <cfRule type="expression" dxfId="281" priority="15">
      <formula>F$14&lt;&gt;""</formula>
    </cfRule>
  </conditionalFormatting>
  <conditionalFormatting sqref="G15:P44 T15:AG44 A16:E44">
    <cfRule type="expression" dxfId="280" priority="53">
      <formula>A$14&lt;&gt;""</formula>
    </cfRule>
  </conditionalFormatting>
  <conditionalFormatting sqref="O15:O44">
    <cfRule type="expression" dxfId="279" priority="25">
      <formula>$E15=""</formula>
    </cfRule>
    <cfRule type="cellIs" dxfId="278" priority="27" operator="equal">
      <formula>0</formula>
    </cfRule>
  </conditionalFormatting>
  <conditionalFormatting sqref="Q15:S44">
    <cfRule type="expression" dxfId="277" priority="4" stopIfTrue="1">
      <formula>AND($E15="",Q15&lt;&gt;"")</formula>
    </cfRule>
    <cfRule type="expression" dxfId="276" priority="5">
      <formula>$E15=""</formula>
    </cfRule>
    <cfRule type="expression" dxfId="275" priority="6">
      <formula>Q$14&lt;&gt;""</formula>
    </cfRule>
  </conditionalFormatting>
  <conditionalFormatting sqref="Y15 G15:N44 P15:P44 T15:X44 AB15:AG44 A16:E44 Y16:AA44">
    <cfRule type="expression" dxfId="274" priority="52">
      <formula>$E15=""</formula>
    </cfRule>
  </conditionalFormatting>
  <conditionalFormatting sqref="Z15:AA15">
    <cfRule type="expression" dxfId="273"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36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6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36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3600-000003000000}"/>
    <dataValidation type="list" allowBlank="1" showInputMessage="1" showErrorMessage="1" sqref="E14 Z14:AB14 L14:N14 U14:V14 X14 G14:J14 P14:S14" xr:uid="{00000000-0002-0000-3600-000004000000}">
      <formula1>$AN$1:$BP$1</formula1>
    </dataValidation>
    <dataValidation type="list" allowBlank="1" showInputMessage="1" showErrorMessage="1" sqref="F14" xr:uid="{00000000-0002-0000-36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36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600-000007000000}">
      <formula1>$CA$2:$CA$10</formula1>
    </dataValidation>
    <dataValidation operator="greaterThanOrEqual" allowBlank="1" showInputMessage="1" showErrorMessage="1" errorTitle="נתון שגוי." error="ניתן להזין רק מספר שלם גדול או שווה ל-0." sqref="O15:O44" xr:uid="{00000000-0002-0000-3600-000008000000}"/>
    <dataValidation type="list" allowBlank="1" showInputMessage="1" showErrorMessage="1" errorTitle="נתון שגוי." error="ניתן להזין רק 0 או 1._x000a_0 = לא עומד בתנאי._x000a_1 = עומד בתנאי." sqref="Q15:S44" xr:uid="{00000000-0002-0000-36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F9D4E9BF-8573-4165-84DC-90E059D2CE47}">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5029ACDC-97E6-4075-BA5A-A8F87BEB3727}">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0C85E855-95AD-482D-A84E-3DD8A2431D38}">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4E6F49E5-A7FE-4A4B-9CE8-C8C7E5FC1245}">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08A5A8C9-E46A-4B5B-98C7-83E9BA7C3906}">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9FE51261-7B78-42F9-A6D7-5C1386F307FF}">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D078A763-00DB-4F4F-9608-243E63DBA996}">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EA4E07AD-12DB-4488-9A7D-227B3B467DBC}">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8111108F-5D0A-4533-9191-BA4B40E8E62C}">
            <xm:f>NOT(ISERROR(SEARCH($AJ$1,Y15)))</xm:f>
            <xm:f>$AJ$1</xm:f>
            <x14:dxf>
              <fill>
                <patternFill>
                  <bgColor rgb="FFFF0000"/>
                </patternFill>
              </fill>
            </x14:dxf>
          </x14:cfRule>
          <xm:sqref>AD15:AG44 Y16:Y44</xm:sqref>
        </x14:conditionalFormatting>
      </x14:conditionalFormattings>
    </ext>
  </extLs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גיליון45">
    <tabColor theme="8" tint="0.59999389629810485"/>
    <pageSetUpPr fitToPage="1"/>
  </sheetPr>
  <dimension ref="A1:CZ45"/>
  <sheetViews>
    <sheetView rightToLeft="1" topLeftCell="B6" zoomScale="85" zoomScaleNormal="85" workbookViewId="0">
      <selection activeCell="R2" sqref="R2"/>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ערב רב (בר קיימא)</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30</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0.76923076923076927</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2</v>
      </c>
      <c r="P2" s="401" cm="1">
        <f t="array" aca="1" ref="P2" ca="1">SUMPRODUCT(--($H$15:$H$44&gt;=פרמטרים!$B$12),$T$15:$T$44)</f>
        <v>0</v>
      </c>
      <c r="Q2" s="401"/>
      <c r="R2" s="515" cm="1">
        <f t="array" aca="1" ref="R2" ca="1">SUMPRODUCT(L2:P2,TRANSPOSE('היקף החוברות'!D4:D8))</f>
        <v>8</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2</v>
      </c>
      <c r="P3" s="401" cm="1">
        <f t="array" aca="1" ref="P3" ca="1">SUMPRODUCT(--($H$15:$H$44&gt;=פרמטרים!$B$12)*($P$15:$P$44&gt;=פרמטרים!$B$13)*(($L$15:$L$44+$M$15:$M$44)&gt;=פרמטרים!$B$45),$T$15:$T$44)</f>
        <v>0</v>
      </c>
      <c r="Q3" s="401" cm="1">
        <f t="array" aca="1" ref="Q3" ca="1">SUMPRODUCT(--($Q$15:$Q$44=1),$T$15:$T$44)</f>
        <v>2</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44866</v>
      </c>
      <c r="F15" s="385" t="s">
        <v>377</v>
      </c>
      <c r="G15" s="382"/>
      <c r="H15" s="383">
        <v>93</v>
      </c>
      <c r="I15" s="383">
        <v>7</v>
      </c>
      <c r="J15" s="383">
        <v>6</v>
      </c>
      <c r="K15" s="398">
        <f>IFERROR(J15/I15,"")</f>
        <v>0.8571428571428571</v>
      </c>
      <c r="L15" s="383">
        <v>0</v>
      </c>
      <c r="M15" s="383">
        <v>220</v>
      </c>
      <c r="N15" s="383">
        <v>266</v>
      </c>
      <c r="O15" s="379">
        <f>IF(E15="","",L15+M15+N15)</f>
        <v>486</v>
      </c>
      <c r="P15" s="383">
        <v>30</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44896</v>
      </c>
      <c r="F16" s="385" t="s">
        <v>377</v>
      </c>
      <c r="G16" s="382"/>
      <c r="H16" s="383">
        <v>93</v>
      </c>
      <c r="I16" s="383">
        <v>6</v>
      </c>
      <c r="J16" s="383">
        <v>4</v>
      </c>
      <c r="K16" s="398">
        <f t="shared" ref="K16:K44" si="8">IFERROR(J16/I16,"")</f>
        <v>0.66666666666666663</v>
      </c>
      <c r="L16" s="383">
        <v>0</v>
      </c>
      <c r="M16" s="383">
        <v>218</v>
      </c>
      <c r="N16" s="383">
        <v>266</v>
      </c>
      <c r="O16" s="379">
        <f t="shared" ref="O16:O44" si="9">IF(E16="","",L16+M16+N16)</f>
        <v>484</v>
      </c>
      <c r="P16" s="383">
        <v>30</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186</v>
      </c>
      <c r="I45" s="387">
        <f>SUM(I15:I44)</f>
        <v>13</v>
      </c>
      <c r="J45" s="387">
        <f>SUM(J15:J44)</f>
        <v>10</v>
      </c>
      <c r="K45" s="387">
        <f>SUM(K15:K44)</f>
        <v>1.5238095238095237</v>
      </c>
      <c r="L45" s="387">
        <f>SUM(L15:L44)</f>
        <v>0</v>
      </c>
      <c r="M45" s="387"/>
      <c r="N45" s="387">
        <f>SUM(N15:N44)</f>
        <v>532</v>
      </c>
      <c r="O45" s="387">
        <f>SUM(O15:O44)</f>
        <v>970</v>
      </c>
      <c r="P45" s="387">
        <f t="shared" ref="P45:T45" si="15">SUM(P15:P44)</f>
        <v>60</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W3liuEMtC2UMWTo6ZeBPSM3XXPf1xtlXBrNMtD3xul8FzKa5W0GYeGp8HnayXjPE7utcFWsbta4/twUwEWreVQ==" saltValue="mVxAIJq4/GnF5j7fnK+vqg=="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263" priority="47" stopIfTrue="1">
      <formula>AND($E15="",A15&lt;&gt;"")</formula>
    </cfRule>
    <cfRule type="expression" dxfId="262" priority="48">
      <formula>$E15=""</formula>
    </cfRule>
    <cfRule type="expression" dxfId="261" priority="49">
      <formula>A$14&lt;&gt;""</formula>
    </cfRule>
  </conditionalFormatting>
  <conditionalFormatting sqref="A16:E44 T15:AG44 G15:P44">
    <cfRule type="expression" dxfId="260" priority="51" stopIfTrue="1">
      <formula>AND($E15="",A15&lt;&gt;"")</formula>
    </cfRule>
  </conditionalFormatting>
  <conditionalFormatting sqref="F15:F44">
    <cfRule type="expression" dxfId="259" priority="13" stopIfTrue="1">
      <formula>AND($E15="",F15&lt;&gt;"")</formula>
    </cfRule>
    <cfRule type="expression" dxfId="258" priority="14">
      <formula>$E15=""</formula>
    </cfRule>
    <cfRule type="expression" dxfId="257" priority="15">
      <formula>F$14&lt;&gt;""</formula>
    </cfRule>
  </conditionalFormatting>
  <conditionalFormatting sqref="G15:P44 T15:AG44 A16:E44">
    <cfRule type="expression" dxfId="256" priority="53">
      <formula>A$14&lt;&gt;""</formula>
    </cfRule>
  </conditionalFormatting>
  <conditionalFormatting sqref="O15:O44">
    <cfRule type="expression" dxfId="255" priority="25">
      <formula>$E15=""</formula>
    </cfRule>
    <cfRule type="cellIs" dxfId="254" priority="27" operator="equal">
      <formula>0</formula>
    </cfRule>
  </conditionalFormatting>
  <conditionalFormatting sqref="Q15:S44">
    <cfRule type="expression" dxfId="253" priority="4" stopIfTrue="1">
      <formula>AND($E15="",Q15&lt;&gt;"")</formula>
    </cfRule>
    <cfRule type="expression" dxfId="252" priority="5">
      <formula>$E15=""</formula>
    </cfRule>
    <cfRule type="expression" dxfId="251" priority="6">
      <formula>Q$14&lt;&gt;""</formula>
    </cfRule>
  </conditionalFormatting>
  <conditionalFormatting sqref="Y15 G15:N44 P15:P44 T15:X44 AB15:AG44 A16:E44 Y16:AA44">
    <cfRule type="expression" dxfId="250" priority="52">
      <formula>$E15=""</formula>
    </cfRule>
  </conditionalFormatting>
  <conditionalFormatting sqref="Z15:AA15">
    <cfRule type="expression" dxfId="249"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37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7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3700-000002000000}">
      <formula1>$AJ$15:$AK$15</formula1>
    </dataValidation>
    <dataValidation type="list" allowBlank="1" showInputMessage="1" showErrorMessage="1" sqref="F14" xr:uid="{00000000-0002-0000-3700-000003000000}">
      <formula1>$AO$1:$BP$1</formula1>
    </dataValidation>
    <dataValidation type="list" allowBlank="1" showInputMessage="1" showErrorMessage="1" sqref="E14 Z14:AB14 L14:N14 U14:V14 X14 G14:J14 P14:S14" xr:uid="{00000000-0002-0000-37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3700-000005000000}"/>
    <dataValidation type="whole" operator="greaterThanOrEqual" allowBlank="1" showInputMessage="1" showErrorMessage="1" errorTitle="נתון שגוי." error="ניתן להזין רק מספר שלם גדול או שווה ל-0." sqref="H15:J44 L15:N44" xr:uid="{00000000-0002-0000-37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700-000007000000}">
      <formula1>$AN$4:$AO$4</formula1>
    </dataValidation>
    <dataValidation type="decimal" operator="greaterThanOrEqual" allowBlank="1" showInputMessage="1" showErrorMessage="1" errorTitle="נתון שגוי." error="ניתן להזין רק מספר חיובי." sqref="P15:P44" xr:uid="{00000000-0002-0000-37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37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D3AC6F55-F736-437E-AC8F-13D295570BAA}">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FD31CC88-1C29-4B53-B88B-5552B075BE21}">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F4AF1C7A-6D27-4594-B033-B617E8E264B8}">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B57D209D-5992-4A56-BA13-24C484934482}">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F7D0A5F6-9470-4113-82B8-30CD96D169DA}">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1BBD70B2-86AE-4CE6-9938-C716E9381370}">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D81A8519-83B1-49CF-BBA5-4C37194B9464}">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BDB026D3-2E09-4F32-B1F3-103F6F068FB9}">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DDCF4EF6-9FD6-481B-8399-9C87A0F5605D}">
            <xm:f>NOT(ISERROR(SEARCH($AJ$1,Y15)))</xm:f>
            <xm:f>$AJ$1</xm:f>
            <x14:dxf>
              <fill>
                <patternFill>
                  <bgColor rgb="FFFF0000"/>
                </patternFill>
              </fill>
            </x14:dxf>
          </x14:cfRule>
          <xm:sqref>AD15:AG44 Y16:Y44</xm:sqref>
        </x14:conditionalFormatting>
      </x14:conditionalFormattings>
    </ext>
  </extLs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גיליון46">
    <tabColor theme="8" tint="0.59999389629810485"/>
    <pageSetUpPr fitToPage="1"/>
  </sheetPr>
  <dimension ref="A1:CZ45"/>
  <sheetViews>
    <sheetView rightToLeft="1" topLeftCell="B1" zoomScale="85" zoomScaleNormal="85" workbookViewId="0">
      <selection activeCell="R2" sqref="R2"/>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31</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GsyNJ1gOJRaFD9G2C2ZSMJMhYY+f2whjtwfQTm0NdVPmvoGylD3krdmoDtexS4J/aABvqNNbMQtNPCIjoj3+HQ==" saltValue="znHn10BSOcjTmzLIZfR5ng=="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239" priority="47" stopIfTrue="1">
      <formula>AND($E15="",A15&lt;&gt;"")</formula>
    </cfRule>
    <cfRule type="expression" dxfId="238" priority="48">
      <formula>$E15=""</formula>
    </cfRule>
    <cfRule type="expression" dxfId="237" priority="49">
      <formula>A$14&lt;&gt;""</formula>
    </cfRule>
  </conditionalFormatting>
  <conditionalFormatting sqref="A16:E44 T15:AG44 G15:P44">
    <cfRule type="expression" dxfId="236" priority="51" stopIfTrue="1">
      <formula>AND($E15="",A15&lt;&gt;"")</formula>
    </cfRule>
  </conditionalFormatting>
  <conditionalFormatting sqref="F15:F44">
    <cfRule type="expression" dxfId="235" priority="13" stopIfTrue="1">
      <formula>AND($E15="",F15&lt;&gt;"")</formula>
    </cfRule>
    <cfRule type="expression" dxfId="234" priority="14">
      <formula>$E15=""</formula>
    </cfRule>
    <cfRule type="expression" dxfId="233" priority="15">
      <formula>F$14&lt;&gt;""</formula>
    </cfRule>
  </conditionalFormatting>
  <conditionalFormatting sqref="G15:P44 T15:AG44 A16:E44">
    <cfRule type="expression" dxfId="232" priority="53">
      <formula>A$14&lt;&gt;""</formula>
    </cfRule>
  </conditionalFormatting>
  <conditionalFormatting sqref="O15:O44">
    <cfRule type="expression" dxfId="231" priority="25">
      <formula>$E15=""</formula>
    </cfRule>
    <cfRule type="cellIs" dxfId="230" priority="27" operator="equal">
      <formula>0</formula>
    </cfRule>
  </conditionalFormatting>
  <conditionalFormatting sqref="Q15:S44">
    <cfRule type="expression" dxfId="229" priority="4" stopIfTrue="1">
      <formula>AND($E15="",Q15&lt;&gt;"")</formula>
    </cfRule>
    <cfRule type="expression" dxfId="228" priority="5">
      <formula>$E15=""</formula>
    </cfRule>
    <cfRule type="expression" dxfId="227" priority="6">
      <formula>Q$14&lt;&gt;""</formula>
    </cfRule>
  </conditionalFormatting>
  <conditionalFormatting sqref="Y15 G15:N44 P15:P44 T15:X44 AB15:AG44 A16:E44 Y16:AA44">
    <cfRule type="expression" dxfId="226" priority="52">
      <formula>$E15=""</formula>
    </cfRule>
  </conditionalFormatting>
  <conditionalFormatting sqref="Z15:AA15">
    <cfRule type="expression" dxfId="225"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38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8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3800-000002000000}">
      <formula1>$AJ$15:$AK$15</formula1>
    </dataValidation>
    <dataValidation type="list" allowBlank="1" showInputMessage="1" showErrorMessage="1" sqref="F14" xr:uid="{00000000-0002-0000-3800-000003000000}">
      <formula1>$AO$1:$BP$1</formula1>
    </dataValidation>
    <dataValidation type="list" allowBlank="1" showInputMessage="1" showErrorMessage="1" sqref="E14 Z14:AB14 L14:N14 U14:V14 X14 G14:J14 P14:S14" xr:uid="{00000000-0002-0000-38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3800-000005000000}"/>
    <dataValidation type="whole" operator="greaterThanOrEqual" allowBlank="1" showInputMessage="1" showErrorMessage="1" errorTitle="נתון שגוי." error="ניתן להזין רק מספר שלם גדול או שווה ל-0." sqref="H15:J44 L15:N44" xr:uid="{00000000-0002-0000-38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800-000007000000}">
      <formula1>$AN$4:$AO$4</formula1>
    </dataValidation>
    <dataValidation type="decimal" operator="greaterThanOrEqual" allowBlank="1" showInputMessage="1" showErrorMessage="1" errorTitle="נתון שגוי." error="ניתן להזין רק מספר חיובי." sqref="P15:P44" xr:uid="{00000000-0002-0000-38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38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7A9D36CD-E5EC-406B-96C8-083BB6AA4073}">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3C7B190C-B886-4C8B-AD42-272D4EB1ACD9}">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8EF40E53-AE6A-4CBE-800C-E588E7221B39}">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DD3B933B-077C-4976-9F6B-621EE9D77C9B}">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6CF8C281-927D-41F7-AAE3-502EA3F930BB}">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CFA8BEA9-A88D-4EBB-A71F-F63F3CD3B08B}">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FA1F8725-579D-45C7-B9CB-6A7949F95195}">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FF5320D0-558E-4330-B2BC-1B1639BC40C2}">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B975B488-107C-42EC-A144-B926F722C9A4}">
            <xm:f>NOT(ISERROR(SEARCH($AJ$1,Y15)))</xm:f>
            <xm:f>$AJ$1</xm:f>
            <x14:dxf>
              <fill>
                <patternFill>
                  <bgColor rgb="FFFF0000"/>
                </patternFill>
              </fill>
            </x14:dxf>
          </x14:cfRule>
          <xm:sqref>AD15:AG44 Y16:Y44</xm:sqref>
        </x14:conditionalFormatting>
      </x14:conditionalFormattings>
    </ext>
  </extLs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גיליון47">
    <tabColor theme="8" tint="0.59999389629810485"/>
    <pageSetUpPr fitToPage="1"/>
  </sheetPr>
  <dimension ref="A1:CZ45"/>
  <sheetViews>
    <sheetView rightToLeft="1" topLeftCell="B6" zoomScale="85" zoomScaleNormal="85" workbookViewId="0">
      <selection activeCell="Q16" sqref="Q16:S18"/>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מעלה</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32</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1</v>
      </c>
      <c r="K2" s="369" t="s">
        <v>326</v>
      </c>
      <c r="L2" s="401" cm="1">
        <f t="array" aca="1" ref="L2" ca="1">SUMPRODUCT(--($H$15:$H$44&lt;פרמטרים!$B$9)*($H$15:$H$44&gt;=פרמטרים!$B$8),$T$15:$T$44)</f>
        <v>4</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0</v>
      </c>
      <c r="Q2" s="401"/>
      <c r="R2" s="515" cm="1">
        <f t="array" aca="1" ref="R2" ca="1">SUMPRODUCT(L2:P2,TRANSPOSE('היקף החוברות'!D4:D8))</f>
        <v>4</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4</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4</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4</v>
      </c>
      <c r="R9" s="401">
        <f>COUNTIF(R$15:$R$44,"=1")</f>
        <v>4</v>
      </c>
      <c r="S9" s="401">
        <f>COUNTIF($S$15:$S$44,"=1")</f>
        <v>4</v>
      </c>
      <c r="T9" s="401">
        <f ca="1">COUNTIF($T$15:$T$44,"=1")</f>
        <v>4</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44896</v>
      </c>
      <c r="F15" s="385" t="s">
        <v>378</v>
      </c>
      <c r="G15" s="382"/>
      <c r="H15" s="383">
        <v>32</v>
      </c>
      <c r="I15" s="383">
        <v>18</v>
      </c>
      <c r="J15" s="383">
        <v>18</v>
      </c>
      <c r="K15" s="398">
        <f>IFERROR(J15/I15,"")</f>
        <v>1</v>
      </c>
      <c r="L15" s="383">
        <v>25</v>
      </c>
      <c r="M15" s="383">
        <v>450</v>
      </c>
      <c r="N15" s="383">
        <v>52</v>
      </c>
      <c r="O15" s="379">
        <f>IF(E15="","",L15+M15+N15)</f>
        <v>527</v>
      </c>
      <c r="P15" s="383">
        <v>21</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44986</v>
      </c>
      <c r="F16" s="385" t="s">
        <v>378</v>
      </c>
      <c r="G16" s="382"/>
      <c r="H16" s="383">
        <v>32</v>
      </c>
      <c r="I16" s="383">
        <v>17</v>
      </c>
      <c r="J16" s="383">
        <v>17</v>
      </c>
      <c r="K16" s="398">
        <f t="shared" ref="K16:K44" si="8">IFERROR(J16/I16,"")</f>
        <v>1</v>
      </c>
      <c r="L16" s="383">
        <v>28</v>
      </c>
      <c r="M16" s="383">
        <v>450</v>
      </c>
      <c r="N16" s="383">
        <v>52</v>
      </c>
      <c r="O16" s="379">
        <f t="shared" ref="O16:O44" si="9">IF(E16="","",L16+M16+N16)</f>
        <v>530</v>
      </c>
      <c r="P16" s="383">
        <v>21</v>
      </c>
      <c r="Q16" s="382">
        <v>1</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f t="shared" si="7"/>
        <v>3</v>
      </c>
      <c r="C17" s="380"/>
      <c r="D17" s="380"/>
      <c r="E17" s="381">
        <v>45078</v>
      </c>
      <c r="F17" s="385" t="s">
        <v>378</v>
      </c>
      <c r="G17" s="382"/>
      <c r="H17" s="383">
        <v>36</v>
      </c>
      <c r="I17" s="383">
        <v>17</v>
      </c>
      <c r="J17" s="383">
        <v>17</v>
      </c>
      <c r="K17" s="398">
        <f t="shared" si="8"/>
        <v>1</v>
      </c>
      <c r="L17" s="383">
        <v>28</v>
      </c>
      <c r="M17" s="383">
        <v>450</v>
      </c>
      <c r="N17" s="383">
        <v>52</v>
      </c>
      <c r="O17" s="379">
        <f t="shared" si="9"/>
        <v>530</v>
      </c>
      <c r="P17" s="383">
        <v>21</v>
      </c>
      <c r="Q17" s="382">
        <v>1</v>
      </c>
      <c r="R17" s="382">
        <v>1</v>
      </c>
      <c r="S17" s="382">
        <v>1</v>
      </c>
      <c r="T17" s="379">
        <f ca="1">IF(E17="","",IF(AI17&lt;&gt;1,$AJ$1,IF(AND(S17=1,R17=1,OR(H17&gt;=פרמטרים!$B$8,INDEX('תנאי סף'!$AF$11:$AF$50,MATCH($T$1,'תנאי סף'!$A$11:$A$50,0))),OR(O17&gt;=$H$8,INDEX('תנאי סף'!$AC$11:$AC$50,MATCH($T$1,'תנאי סף'!$A$11:$A$50,0))),INDEX('תנאי סף'!$AI$11:$AI$50,MATCH($T$1,'תנאי סף'!$A$11:$A$50,0)),COUNTA($E$15:$E$44)&gt;=$H$6),1,0)))</f>
        <v>1</v>
      </c>
      <c r="U17" s="382">
        <v>0</v>
      </c>
      <c r="V17" s="382">
        <v>0</v>
      </c>
      <c r="W17" s="379"/>
      <c r="X17" s="382"/>
      <c r="Y17" s="379"/>
      <c r="Z17" s="385"/>
      <c r="AA17" s="385"/>
      <c r="AB17" s="382"/>
      <c r="AC17" s="384"/>
      <c r="AD17" s="386"/>
      <c r="AE17" s="386"/>
      <c r="AF17" s="386"/>
      <c r="AG17" s="386"/>
      <c r="AI17" s="351">
        <f t="shared" si="10"/>
        <v>1</v>
      </c>
      <c r="AJ17" s="351">
        <f t="shared" si="11"/>
        <v>0</v>
      </c>
      <c r="AK17" s="351">
        <f t="shared" si="11"/>
        <v>1</v>
      </c>
      <c r="AL17" s="363">
        <f t="shared" si="12"/>
        <v>1</v>
      </c>
      <c r="AM17" s="363">
        <f t="shared" si="4"/>
        <v>1</v>
      </c>
      <c r="AN17" s="363">
        <f t="shared" si="4"/>
        <v>1</v>
      </c>
      <c r="AO17" s="363">
        <f t="shared" si="4"/>
        <v>1</v>
      </c>
      <c r="AP17" s="363">
        <f t="shared" si="4"/>
        <v>1</v>
      </c>
      <c r="AQ17" s="363">
        <f t="shared" si="4"/>
        <v>1</v>
      </c>
      <c r="AR17" s="363">
        <f t="shared" si="4"/>
        <v>1</v>
      </c>
      <c r="AS17" s="363">
        <f t="shared" si="4"/>
        <v>1</v>
      </c>
      <c r="AT17" s="363">
        <f t="shared" si="4"/>
        <v>1</v>
      </c>
      <c r="AU17" s="363">
        <f t="shared" si="4"/>
        <v>1</v>
      </c>
      <c r="AV17" s="363">
        <f t="shared" si="4"/>
        <v>1</v>
      </c>
      <c r="AW17" s="363">
        <f t="shared" si="4"/>
        <v>1</v>
      </c>
      <c r="AX17" s="363">
        <f t="shared" si="4"/>
        <v>1</v>
      </c>
      <c r="AY17" s="363">
        <f t="shared" si="4"/>
        <v>1</v>
      </c>
      <c r="AZ17" s="363">
        <f t="shared" si="4"/>
        <v>1</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נאותה</v>
      </c>
      <c r="BR17" s="351" t="str">
        <f t="shared" si="6"/>
        <v>לא נאותה</v>
      </c>
      <c r="BS17" s="351">
        <f t="shared" si="6"/>
        <v>0</v>
      </c>
      <c r="BT17" s="351">
        <f t="shared" si="6"/>
        <v>0</v>
      </c>
      <c r="BU17" s="351">
        <f t="shared" si="6"/>
        <v>0</v>
      </c>
    </row>
    <row r="18" spans="1:73" x14ac:dyDescent="0.25">
      <c r="A18" s="379"/>
      <c r="B18" s="379">
        <f t="shared" si="7"/>
        <v>4</v>
      </c>
      <c r="C18" s="380"/>
      <c r="D18" s="380"/>
      <c r="E18" s="381">
        <v>45170</v>
      </c>
      <c r="F18" s="385" t="s">
        <v>378</v>
      </c>
      <c r="G18" s="382"/>
      <c r="H18" s="383">
        <v>32</v>
      </c>
      <c r="I18" s="383">
        <v>17</v>
      </c>
      <c r="J18" s="383">
        <v>17</v>
      </c>
      <c r="K18" s="398">
        <f t="shared" si="8"/>
        <v>1</v>
      </c>
      <c r="L18" s="383">
        <v>28</v>
      </c>
      <c r="M18" s="383">
        <v>450</v>
      </c>
      <c r="N18" s="383">
        <v>52</v>
      </c>
      <c r="O18" s="379">
        <f t="shared" si="9"/>
        <v>530</v>
      </c>
      <c r="P18" s="383">
        <v>21</v>
      </c>
      <c r="Q18" s="382">
        <v>1</v>
      </c>
      <c r="R18" s="382">
        <v>1</v>
      </c>
      <c r="S18" s="382">
        <v>1</v>
      </c>
      <c r="T18" s="379">
        <f ca="1">IF(E18="","",IF(AI18&lt;&gt;1,$AJ$1,IF(AND(S18=1,R18=1,OR(H18&gt;=פרמטרים!$B$8,INDEX('תנאי סף'!$AF$11:$AF$50,MATCH($T$1,'תנאי סף'!$A$11:$A$50,0))),OR(O18&gt;=$H$8,INDEX('תנאי סף'!$AC$11:$AC$50,MATCH($T$1,'תנאי סף'!$A$11:$A$50,0))),INDEX('תנאי סף'!$AI$11:$AI$50,MATCH($T$1,'תנאי סף'!$A$11:$A$50,0)),COUNTA($E$15:$E$44)&gt;=$H$6),1,0)))</f>
        <v>1</v>
      </c>
      <c r="U18" s="382">
        <v>0</v>
      </c>
      <c r="V18" s="382">
        <v>0</v>
      </c>
      <c r="W18" s="379"/>
      <c r="X18" s="382"/>
      <c r="Y18" s="379"/>
      <c r="Z18" s="385"/>
      <c r="AA18" s="385"/>
      <c r="AB18" s="382"/>
      <c r="AC18" s="384"/>
      <c r="AD18" s="386"/>
      <c r="AE18" s="386"/>
      <c r="AF18" s="386"/>
      <c r="AG18" s="386"/>
      <c r="AI18" s="351">
        <f t="shared" si="10"/>
        <v>1</v>
      </c>
      <c r="AJ18" s="351">
        <f t="shared" si="11"/>
        <v>0</v>
      </c>
      <c r="AK18" s="351">
        <f t="shared" si="11"/>
        <v>1</v>
      </c>
      <c r="AL18" s="363">
        <f t="shared" si="12"/>
        <v>1</v>
      </c>
      <c r="AM18" s="363">
        <f t="shared" si="4"/>
        <v>1</v>
      </c>
      <c r="AN18" s="363">
        <f t="shared" si="4"/>
        <v>1</v>
      </c>
      <c r="AO18" s="363">
        <f t="shared" si="4"/>
        <v>1</v>
      </c>
      <c r="AP18" s="363">
        <f t="shared" si="4"/>
        <v>1</v>
      </c>
      <c r="AQ18" s="363">
        <f t="shared" si="4"/>
        <v>1</v>
      </c>
      <c r="AR18" s="363">
        <f t="shared" si="4"/>
        <v>1</v>
      </c>
      <c r="AS18" s="363">
        <f t="shared" si="4"/>
        <v>1</v>
      </c>
      <c r="AT18" s="363">
        <f t="shared" si="4"/>
        <v>1</v>
      </c>
      <c r="AU18" s="363">
        <f t="shared" si="4"/>
        <v>1</v>
      </c>
      <c r="AV18" s="363">
        <f t="shared" si="4"/>
        <v>1</v>
      </c>
      <c r="AW18" s="363">
        <f t="shared" si="4"/>
        <v>1</v>
      </c>
      <c r="AX18" s="363">
        <f t="shared" si="4"/>
        <v>1</v>
      </c>
      <c r="AY18" s="363">
        <f t="shared" si="4"/>
        <v>1</v>
      </c>
      <c r="AZ18" s="363">
        <f t="shared" si="4"/>
        <v>1</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נאותה</v>
      </c>
      <c r="BR18" s="351" t="str">
        <f t="shared" si="6"/>
        <v>לא נאותה</v>
      </c>
      <c r="BS18" s="351">
        <f t="shared" si="6"/>
        <v>0</v>
      </c>
      <c r="BT18" s="351">
        <f t="shared" si="6"/>
        <v>0</v>
      </c>
      <c r="BU18" s="351">
        <f t="shared" si="6"/>
        <v>0</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132</v>
      </c>
      <c r="I45" s="387">
        <f>SUM(I15:I44)</f>
        <v>69</v>
      </c>
      <c r="J45" s="387">
        <f>SUM(J15:J44)</f>
        <v>69</v>
      </c>
      <c r="K45" s="387">
        <f>SUM(K15:K44)</f>
        <v>4</v>
      </c>
      <c r="L45" s="387">
        <f>SUM(L15:L44)</f>
        <v>109</v>
      </c>
      <c r="M45" s="387"/>
      <c r="N45" s="387">
        <f>SUM(N15:N44)</f>
        <v>208</v>
      </c>
      <c r="O45" s="387">
        <f>SUM(O15:O44)</f>
        <v>2117</v>
      </c>
      <c r="P45" s="387">
        <f t="shared" ref="P45:T45" si="15">SUM(P15:P44)</f>
        <v>84</v>
      </c>
      <c r="Q45" s="387"/>
      <c r="R45" s="387">
        <f t="shared" si="15"/>
        <v>4</v>
      </c>
      <c r="S45" s="387">
        <f t="shared" si="15"/>
        <v>4</v>
      </c>
      <c r="T45" s="387">
        <f t="shared" ca="1" si="15"/>
        <v>4</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vSZ4EczSt1hz1P8lwriuUnLqHtijF7Ccy0K6azVyluUupwVxR1fa9/uIJKbwJKqZHjnR/Mrrmnv3NCGIZzRRcA==" saltValue="B1W6Rin80IEjwF9wALWfs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215" priority="47" stopIfTrue="1">
      <formula>AND($E15="",A15&lt;&gt;"")</formula>
    </cfRule>
    <cfRule type="expression" dxfId="214" priority="48">
      <formula>$E15=""</formula>
    </cfRule>
    <cfRule type="expression" dxfId="213" priority="49">
      <formula>A$14&lt;&gt;""</formula>
    </cfRule>
  </conditionalFormatting>
  <conditionalFormatting sqref="A16:E44 T15:AG44 G15:P44">
    <cfRule type="expression" dxfId="212" priority="51" stopIfTrue="1">
      <formula>AND($E15="",A15&lt;&gt;"")</formula>
    </cfRule>
  </conditionalFormatting>
  <conditionalFormatting sqref="F15:F44">
    <cfRule type="expression" dxfId="211" priority="13" stopIfTrue="1">
      <formula>AND($E15="",F15&lt;&gt;"")</formula>
    </cfRule>
    <cfRule type="expression" dxfId="210" priority="14">
      <formula>$E15=""</formula>
    </cfRule>
    <cfRule type="expression" dxfId="209" priority="15">
      <formula>F$14&lt;&gt;""</formula>
    </cfRule>
  </conditionalFormatting>
  <conditionalFormatting sqref="G15:P44 T15:AG44 A16:E44">
    <cfRule type="expression" dxfId="208" priority="53">
      <formula>A$14&lt;&gt;""</formula>
    </cfRule>
  </conditionalFormatting>
  <conditionalFormatting sqref="O15:O44">
    <cfRule type="expression" dxfId="207" priority="25">
      <formula>$E15=""</formula>
    </cfRule>
    <cfRule type="cellIs" dxfId="206" priority="27" operator="equal">
      <formula>0</formula>
    </cfRule>
  </conditionalFormatting>
  <conditionalFormatting sqref="Q15:S44">
    <cfRule type="expression" dxfId="205" priority="4" stopIfTrue="1">
      <formula>AND($E15="",Q15&lt;&gt;"")</formula>
    </cfRule>
    <cfRule type="expression" dxfId="204" priority="5">
      <formula>$E15=""</formula>
    </cfRule>
    <cfRule type="expression" dxfId="203" priority="6">
      <formula>Q$14&lt;&gt;""</formula>
    </cfRule>
  </conditionalFormatting>
  <conditionalFormatting sqref="Y15 G15:N44 P15:P44 T15:X44 AB15:AG44 A16:E44 Y16:AA44">
    <cfRule type="expression" dxfId="202" priority="52">
      <formula>$E15=""</formula>
    </cfRule>
  </conditionalFormatting>
  <conditionalFormatting sqref="Z15:AA15">
    <cfRule type="expression" dxfId="201"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39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9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39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3900-000003000000}"/>
    <dataValidation type="list" allowBlank="1" showInputMessage="1" showErrorMessage="1" sqref="E14 Z14:AB14 L14:N14 U14:V14 X14 G14:J14 P14:S14" xr:uid="{00000000-0002-0000-3900-000004000000}">
      <formula1>$AN$1:$BP$1</formula1>
    </dataValidation>
    <dataValidation type="list" allowBlank="1" showInputMessage="1" showErrorMessage="1" sqref="F14" xr:uid="{00000000-0002-0000-39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39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900-000007000000}">
      <formula1>$CA$2:$CA$10</formula1>
    </dataValidation>
    <dataValidation operator="greaterThanOrEqual" allowBlank="1" showInputMessage="1" showErrorMessage="1" errorTitle="נתון שגוי." error="ניתן להזין רק מספר שלם גדול או שווה ל-0." sqref="O15:O44" xr:uid="{00000000-0002-0000-3900-000008000000}"/>
    <dataValidation type="list" allowBlank="1" showInputMessage="1" showErrorMessage="1" errorTitle="נתון שגוי." error="ניתן להזין רק 0 או 1._x000a_0 = לא עומד בתנאי._x000a_1 = עומד בתנאי." sqref="Q15:S44" xr:uid="{00000000-0002-0000-39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C0F55CC4-7B16-4AFD-A07F-02E5266E0A6F}">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02839656-65C8-422D-BE2D-BA9C00D316D7}">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E5F3C599-F2AA-4D27-B376-9FD2B76CB9DB}">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B7828086-E94D-4AE2-9009-1765199330DF}">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C3D44AAD-11B3-42A8-859F-7DCC7D19BBF4}">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C7797A85-88EE-4B9A-AEA5-624B3DB9B407}">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4D13D8ED-652F-43B2-97D4-0BE3C12A28CA}">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0E3E5A0C-1126-484B-AFD2-506127166FC4}">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89671187-F936-4590-9BF8-40E1B6E337F9}">
            <xm:f>NOT(ISERROR(SEARCH($AJ$1,Y15)))</xm:f>
            <xm:f>$AJ$1</xm:f>
            <x14:dxf>
              <fill>
                <patternFill>
                  <bgColor rgb="FFFF0000"/>
                </patternFill>
              </fill>
            </x14:dxf>
          </x14:cfRule>
          <xm:sqref>AD15:AG44 Y16:Y44</xm:sqref>
        </x14:conditionalFormatting>
      </x14:conditionalFormattings>
    </ext>
  </extLs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גיליון48">
    <tabColor theme="8" tint="0.59999389629810485"/>
    <pageSetUpPr fitToPage="1"/>
  </sheetPr>
  <dimension ref="A1:CZ45"/>
  <sheetViews>
    <sheetView rightToLeft="1" topLeftCell="B1" zoomScale="85" zoomScaleNormal="85" workbookViewId="0">
      <selection activeCell="R2" sqref="R2"/>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33</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PxzqYleMKfmlh856qWlAMXAXNO7tkNeVu4iffTsIstKBb2wWmZkmP86eCcSt/mt38HjEdCP3M7AnQZvLE2JIgA==" saltValue="f0LnKb3TyXI/1MH8TNeKzQ=="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191" priority="47" stopIfTrue="1">
      <formula>AND($E15="",A15&lt;&gt;"")</formula>
    </cfRule>
    <cfRule type="expression" dxfId="190" priority="48">
      <formula>$E15=""</formula>
    </cfRule>
    <cfRule type="expression" dxfId="189" priority="49">
      <formula>A$14&lt;&gt;""</formula>
    </cfRule>
  </conditionalFormatting>
  <conditionalFormatting sqref="A16:E44 T15:AG44 G15:P44">
    <cfRule type="expression" dxfId="188" priority="51" stopIfTrue="1">
      <formula>AND($E15="",A15&lt;&gt;"")</formula>
    </cfRule>
  </conditionalFormatting>
  <conditionalFormatting sqref="F15:F44">
    <cfRule type="expression" dxfId="187" priority="13" stopIfTrue="1">
      <formula>AND($E15="",F15&lt;&gt;"")</formula>
    </cfRule>
    <cfRule type="expression" dxfId="186" priority="14">
      <formula>$E15=""</formula>
    </cfRule>
    <cfRule type="expression" dxfId="185" priority="15">
      <formula>F$14&lt;&gt;""</formula>
    </cfRule>
  </conditionalFormatting>
  <conditionalFormatting sqref="G15:P44 T15:AG44 A16:E44">
    <cfRule type="expression" dxfId="184" priority="53">
      <formula>A$14&lt;&gt;""</formula>
    </cfRule>
  </conditionalFormatting>
  <conditionalFormatting sqref="O15:O44">
    <cfRule type="expression" dxfId="183" priority="25">
      <formula>$E15=""</formula>
    </cfRule>
    <cfRule type="cellIs" dxfId="182" priority="27" operator="equal">
      <formula>0</formula>
    </cfRule>
  </conditionalFormatting>
  <conditionalFormatting sqref="Q15:S44">
    <cfRule type="expression" dxfId="181" priority="4" stopIfTrue="1">
      <formula>AND($E15="",Q15&lt;&gt;"")</formula>
    </cfRule>
    <cfRule type="expression" dxfId="180" priority="5">
      <formula>$E15=""</formula>
    </cfRule>
    <cfRule type="expression" dxfId="179" priority="6">
      <formula>Q$14&lt;&gt;""</formula>
    </cfRule>
  </conditionalFormatting>
  <conditionalFormatting sqref="Y15 G15:N44 P15:P44 T15:X44 AB15:AG44 A16:E44 Y16:AA44">
    <cfRule type="expression" dxfId="178" priority="52">
      <formula>$E15=""</formula>
    </cfRule>
  </conditionalFormatting>
  <conditionalFormatting sqref="Z15:AA15">
    <cfRule type="expression" dxfId="177"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3A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A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3A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3A00-000003000000}"/>
    <dataValidation type="list" allowBlank="1" showInputMessage="1" showErrorMessage="1" sqref="E14 Z14:AB14 L14:N14 U14:V14 X14 G14:J14 P14:S14" xr:uid="{00000000-0002-0000-3A00-000004000000}">
      <formula1>$AN$1:$BP$1</formula1>
    </dataValidation>
    <dataValidation type="list" allowBlank="1" showInputMessage="1" showErrorMessage="1" sqref="F14" xr:uid="{00000000-0002-0000-3A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3A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A00-000007000000}">
      <formula1>$CA$2:$CA$10</formula1>
    </dataValidation>
    <dataValidation operator="greaterThanOrEqual" allowBlank="1" showInputMessage="1" showErrorMessage="1" errorTitle="נתון שגוי." error="ניתן להזין רק מספר שלם גדול או שווה ל-0." sqref="O15:O44" xr:uid="{00000000-0002-0000-3A00-000008000000}"/>
    <dataValidation type="list" allowBlank="1" showInputMessage="1" showErrorMessage="1" errorTitle="נתון שגוי." error="ניתן להזין רק 0 או 1._x000a_0 = לא עומד בתנאי._x000a_1 = עומד בתנאי." sqref="Q15:S44" xr:uid="{00000000-0002-0000-3A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73FDEA5F-71D5-46C8-9CB0-CAE5EBF1667E}">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9BB27684-3919-4CF8-927C-E59FA3B306F1}">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1B997469-2190-4E18-87D4-7D19925AA578}">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5E2C0666-80EB-4FD7-BE16-E8635984D039}">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B01F2BF0-050F-4DFE-BCE1-02F435FFA577}">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6F44970E-7E63-4DE8-A43F-BDBF03A4A91A}">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873EBA5B-25D3-49BE-868E-62E84016B78E}">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0C186AC0-2709-44D1-B677-FAE2F0D224C2}">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970E76F4-A41B-45E6-A8C2-667BE8DD1D97}">
            <xm:f>NOT(ISERROR(SEARCH($AJ$1,Y15)))</xm:f>
            <xm:f>$AJ$1</xm:f>
            <x14:dxf>
              <fill>
                <patternFill>
                  <bgColor rgb="FFFF0000"/>
                </patternFill>
              </fill>
            </x14:dxf>
          </x14:cfRule>
          <xm:sqref>AD15:AG44 Y16:Y44</xm:sqref>
        </x14:conditionalFormatting>
      </x14:conditionalFormattings>
    </ext>
  </extLs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גיליון49">
    <tabColor theme="8" tint="0.59999389629810485"/>
    <pageSetUpPr fitToPage="1"/>
  </sheetPr>
  <dimension ref="A1:CZ45"/>
  <sheetViews>
    <sheetView rightToLeft="1" topLeftCell="B8" zoomScale="85" zoomScaleNormal="85" workbookViewId="0">
      <selection activeCell="B16" sqref="B16"/>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כתב עת ירושלמי</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34</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1</v>
      </c>
      <c r="I2" s="409">
        <f>IFERROR(J45/I45,0)</f>
        <v>1</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2</v>
      </c>
      <c r="Q2" s="401"/>
      <c r="R2" s="515" cm="1">
        <f t="array" aca="1" ref="R2" ca="1">SUMPRODUCT(L2:P2,TRANSPOSE('היקף החוברות'!D4:D8))</f>
        <v>10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1</v>
      </c>
      <c r="Q3" s="401" cm="1">
        <f t="array" aca="1" ref="Q3" ca="1">SUMPRODUCT(--($Q$15:$Q$44=1),$T$15:$T$44)</f>
        <v>1</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2</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44835</v>
      </c>
      <c r="F15" s="385" t="s">
        <v>379</v>
      </c>
      <c r="G15" s="382"/>
      <c r="H15" s="383">
        <v>235</v>
      </c>
      <c r="I15" s="383">
        <v>49</v>
      </c>
      <c r="J15" s="383">
        <v>49</v>
      </c>
      <c r="K15" s="398">
        <f>IFERROR(J15/I15,"")</f>
        <v>1</v>
      </c>
      <c r="L15" s="383">
        <v>0</v>
      </c>
      <c r="M15" s="383">
        <v>200</v>
      </c>
      <c r="N15" s="383">
        <v>200</v>
      </c>
      <c r="O15" s="379">
        <f>IF(E15="","",L15+M15+N15)</f>
        <v>400</v>
      </c>
      <c r="P15" s="383">
        <v>50</v>
      </c>
      <c r="Q15" s="382">
        <v>1</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45170</v>
      </c>
      <c r="F16" s="385" t="s">
        <v>379</v>
      </c>
      <c r="G16" s="382"/>
      <c r="H16" s="383">
        <v>282</v>
      </c>
      <c r="I16" s="383">
        <v>1</v>
      </c>
      <c r="J16" s="383">
        <v>1</v>
      </c>
      <c r="K16" s="398">
        <f t="shared" ref="K16:K44" si="8">IFERROR(J16/I16,"")</f>
        <v>1</v>
      </c>
      <c r="L16" s="383">
        <v>0</v>
      </c>
      <c r="M16" s="383">
        <v>0</v>
      </c>
      <c r="N16" s="383">
        <v>270</v>
      </c>
      <c r="O16" s="379">
        <f t="shared" ref="O16:O44" si="9">IF(E16="","",L16+M16+N16)</f>
        <v>270</v>
      </c>
      <c r="P16" s="383">
        <v>0</v>
      </c>
      <c r="Q16" s="382">
        <v>0</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517</v>
      </c>
      <c r="I45" s="387">
        <f>SUM(I15:I44)</f>
        <v>50</v>
      </c>
      <c r="J45" s="387">
        <f>SUM(J15:J44)</f>
        <v>50</v>
      </c>
      <c r="K45" s="387">
        <f>SUM(K15:K44)</f>
        <v>2</v>
      </c>
      <c r="L45" s="387">
        <f>SUM(L15:L44)</f>
        <v>0</v>
      </c>
      <c r="M45" s="387"/>
      <c r="N45" s="387">
        <f>SUM(N15:N44)</f>
        <v>470</v>
      </c>
      <c r="O45" s="387">
        <f>SUM(O15:O44)</f>
        <v>670</v>
      </c>
      <c r="P45" s="387">
        <f t="shared" ref="P45:T45" si="15">SUM(P15:P44)</f>
        <v>50</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Kj4hfxldcl5OJGdN5UT4neEIhyEE2KhHHh7v+t00CunCx43fgWL1xDex3BAc6Ge+NGw4PB7aHau+/4ruSHcuMA==" saltValue="9FOowi6fdJp9/4MZxEfAOg=="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167" priority="47" stopIfTrue="1">
      <formula>AND($E15="",A15&lt;&gt;"")</formula>
    </cfRule>
    <cfRule type="expression" dxfId="166" priority="48">
      <formula>$E15=""</formula>
    </cfRule>
    <cfRule type="expression" dxfId="165" priority="49">
      <formula>A$14&lt;&gt;""</formula>
    </cfRule>
  </conditionalFormatting>
  <conditionalFormatting sqref="A16:E44 T15:AG44 G15:P44">
    <cfRule type="expression" dxfId="164" priority="51" stopIfTrue="1">
      <formula>AND($E15="",A15&lt;&gt;"")</formula>
    </cfRule>
  </conditionalFormatting>
  <conditionalFormatting sqref="F15:F44">
    <cfRule type="expression" dxfId="163" priority="13" stopIfTrue="1">
      <formula>AND($E15="",F15&lt;&gt;"")</formula>
    </cfRule>
    <cfRule type="expression" dxfId="162" priority="14">
      <formula>$E15=""</formula>
    </cfRule>
    <cfRule type="expression" dxfId="161" priority="15">
      <formula>F$14&lt;&gt;""</formula>
    </cfRule>
  </conditionalFormatting>
  <conditionalFormatting sqref="G15:P44 T15:AG44 A16:E44">
    <cfRule type="expression" dxfId="160" priority="53">
      <formula>A$14&lt;&gt;""</formula>
    </cfRule>
  </conditionalFormatting>
  <conditionalFormatting sqref="O15:O44">
    <cfRule type="expression" dxfId="159" priority="25">
      <formula>$E15=""</formula>
    </cfRule>
    <cfRule type="cellIs" dxfId="158" priority="27" operator="equal">
      <formula>0</formula>
    </cfRule>
  </conditionalFormatting>
  <conditionalFormatting sqref="Q15:S44">
    <cfRule type="expression" dxfId="157" priority="4" stopIfTrue="1">
      <formula>AND($E15="",Q15&lt;&gt;"")</formula>
    </cfRule>
    <cfRule type="expression" dxfId="156" priority="5">
      <formula>$E15=""</formula>
    </cfRule>
    <cfRule type="expression" dxfId="155" priority="6">
      <formula>Q$14&lt;&gt;""</formula>
    </cfRule>
  </conditionalFormatting>
  <conditionalFormatting sqref="Y15 G15:N44 P15:P44 T15:X44 AB15:AG44 A16:E44 Y16:AA44">
    <cfRule type="expression" dxfId="154" priority="52">
      <formula>$E15=""</formula>
    </cfRule>
  </conditionalFormatting>
  <conditionalFormatting sqref="Z15:AA15">
    <cfRule type="expression" dxfId="153"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3B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B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3B00-000002000000}">
      <formula1>$AJ$15:$AK$15</formula1>
    </dataValidation>
    <dataValidation type="list" allowBlank="1" showInputMessage="1" showErrorMessage="1" sqref="F14" xr:uid="{00000000-0002-0000-3B00-000003000000}">
      <formula1>$AO$1:$BP$1</formula1>
    </dataValidation>
    <dataValidation type="list" allowBlank="1" showInputMessage="1" showErrorMessage="1" sqref="E14 Z14:AB14 L14:N14 U14:V14 X14 G14:J14 P14:S14" xr:uid="{00000000-0002-0000-3B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3B00-000005000000}"/>
    <dataValidation type="whole" operator="greaterThanOrEqual" allowBlank="1" showInputMessage="1" showErrorMessage="1" errorTitle="נתון שגוי." error="ניתן להזין רק מספר שלם גדול או שווה ל-0." sqref="H15:J44 L15:N44" xr:uid="{00000000-0002-0000-3B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B00-000007000000}">
      <formula1>$AN$4:$AO$4</formula1>
    </dataValidation>
    <dataValidation type="decimal" operator="greaterThanOrEqual" allowBlank="1" showInputMessage="1" showErrorMessage="1" errorTitle="נתון שגוי." error="ניתן להזין רק מספר חיובי." sqref="P15:P44" xr:uid="{00000000-0002-0000-3B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3B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0B9A9B08-0828-4F75-A44D-5D44685DF52B}">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F91614EC-BB8C-41BD-A22E-FA0F0A18F8A4}">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FF948368-8C26-4078-B191-C66938FC1257}">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5A8CDE1F-5965-4BA2-8CCD-5E30DCEDF03C}">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78944F5E-51B9-43B1-86C9-F7D55B8CEAB3}">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801C58E8-DDE6-45E2-A4E4-87B24F80102F}">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70221E65-969F-4080-A2F3-6C0A19C11DD5}">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0E3CCE80-F742-45A0-A09C-4459E9F128DC}">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6C9411CB-8616-4086-A11D-5F85E5DDEC22}">
            <xm:f>NOT(ISERROR(SEARCH($AJ$1,Y15)))</xm:f>
            <xm:f>$AJ$1</xm:f>
            <x14:dxf>
              <fill>
                <patternFill>
                  <bgColor rgb="FFFF0000"/>
                </patternFill>
              </fill>
            </x14:dxf>
          </x14:cfRule>
          <xm:sqref>AD15:AG44 Y16:Y44</xm:sqref>
        </x14:conditionalFormatting>
      </x14:conditionalFormattings>
    </ext>
  </extLs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גיליון50">
    <tabColor theme="8" tint="0.59999389629810485"/>
    <pageSetUpPr fitToPage="1"/>
  </sheetPr>
  <dimension ref="A1:CZ45"/>
  <sheetViews>
    <sheetView rightToLeft="1" topLeftCell="H7" zoomScale="85" zoomScaleNormal="85" workbookViewId="0">
      <selection activeCell="P15" sqref="P15:S15"/>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35</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Q2zUtRqvQp+cp/ZIw9auAu0oDaA4DNQi2Yt8ZgCmITFuqz6wzqyn6o4lJB5BJ0uv4XQKvP52U6wfregzG3lDBQ==" saltValue="S2wezH8+PPDsct7Nf0A/YA=="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143" priority="47" stopIfTrue="1">
      <formula>AND($E15="",A15&lt;&gt;"")</formula>
    </cfRule>
    <cfRule type="expression" dxfId="142" priority="48">
      <formula>$E15=""</formula>
    </cfRule>
    <cfRule type="expression" dxfId="141" priority="49">
      <formula>A$14&lt;&gt;""</formula>
    </cfRule>
  </conditionalFormatting>
  <conditionalFormatting sqref="A16:E44 T15:AG44 G15:P44">
    <cfRule type="expression" dxfId="140" priority="51" stopIfTrue="1">
      <formula>AND($E15="",A15&lt;&gt;"")</formula>
    </cfRule>
  </conditionalFormatting>
  <conditionalFormatting sqref="F15:F44">
    <cfRule type="expression" dxfId="139" priority="13" stopIfTrue="1">
      <formula>AND($E15="",F15&lt;&gt;"")</formula>
    </cfRule>
    <cfRule type="expression" dxfId="138" priority="14">
      <formula>$E15=""</formula>
    </cfRule>
    <cfRule type="expression" dxfId="137" priority="15">
      <formula>F$14&lt;&gt;""</formula>
    </cfRule>
  </conditionalFormatting>
  <conditionalFormatting sqref="G15:P44 T15:AG44 A16:E44">
    <cfRule type="expression" dxfId="136" priority="53">
      <formula>A$14&lt;&gt;""</formula>
    </cfRule>
  </conditionalFormatting>
  <conditionalFormatting sqref="O15:O44">
    <cfRule type="expression" dxfId="135" priority="25">
      <formula>$E15=""</formula>
    </cfRule>
    <cfRule type="cellIs" dxfId="134" priority="27" operator="equal">
      <formula>0</formula>
    </cfRule>
  </conditionalFormatting>
  <conditionalFormatting sqref="Q15:S44">
    <cfRule type="expression" dxfId="133" priority="4" stopIfTrue="1">
      <formula>AND($E15="",Q15&lt;&gt;"")</formula>
    </cfRule>
    <cfRule type="expression" dxfId="132" priority="5">
      <formula>$E15=""</formula>
    </cfRule>
    <cfRule type="expression" dxfId="131" priority="6">
      <formula>Q$14&lt;&gt;""</formula>
    </cfRule>
  </conditionalFormatting>
  <conditionalFormatting sqref="Y15 G15:N44 P15:P44 T15:X44 AB15:AG44 A16:E44 Y16:AA44">
    <cfRule type="expression" dxfId="130" priority="52">
      <formula>$E15=""</formula>
    </cfRule>
  </conditionalFormatting>
  <conditionalFormatting sqref="Z15:AA15">
    <cfRule type="expression" dxfId="129"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3C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C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3C00-000002000000}">
      <formula1>$AJ$15:$AK$15</formula1>
    </dataValidation>
    <dataValidation type="list" allowBlank="1" showInputMessage="1" showErrorMessage="1" sqref="F14" xr:uid="{00000000-0002-0000-3C00-000003000000}">
      <formula1>$AO$1:$BP$1</formula1>
    </dataValidation>
    <dataValidation type="list" allowBlank="1" showInputMessage="1" showErrorMessage="1" sqref="E14 Z14:AB14 L14:N14 U14:V14 X14 G14:J14 P14:S14" xr:uid="{00000000-0002-0000-3C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3C00-000005000000}"/>
    <dataValidation type="whole" operator="greaterThanOrEqual" allowBlank="1" showInputMessage="1" showErrorMessage="1" errorTitle="נתון שגוי." error="ניתן להזין רק מספר שלם גדול או שווה ל-0." sqref="H15:J44 L15:N44" xr:uid="{00000000-0002-0000-3C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C00-000007000000}">
      <formula1>$AN$4:$AO$4</formula1>
    </dataValidation>
    <dataValidation type="decimal" operator="greaterThanOrEqual" allowBlank="1" showInputMessage="1" showErrorMessage="1" errorTitle="נתון שגוי." error="ניתן להזין רק מספר חיובי." sqref="P15:P44" xr:uid="{00000000-0002-0000-3C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3C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F29506E0-C651-425B-B299-537BB47A6B94}">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5258E393-0DED-4CE1-A847-DFBF56A54B97}">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4560A86E-85A6-4DF9-B798-D8E538B93B0F}">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57F2F472-3A41-4618-8201-BF9EB8D594DA}">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181A7A29-7674-48DB-8317-0D0EE6989360}">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9B70A0FC-7669-41EF-82D1-04C5655699B5}">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0A63502B-F07E-423D-86C0-7A28D220DAEA}">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2A542F55-72D5-4A7C-83E9-DAB5A70D1F68}">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8872B4F1-4396-4F69-93F7-1695F33E6F5D}">
            <xm:f>NOT(ISERROR(SEARCH($AJ$1,Y15)))</xm:f>
            <xm:f>$AJ$1</xm:f>
            <x14:dxf>
              <fill>
                <patternFill>
                  <bgColor rgb="FFFF0000"/>
                </patternFill>
              </fill>
            </x14:dxf>
          </x14:cfRule>
          <xm:sqref>AD15:AG44 Y16:Y44</xm:sqref>
        </x14:conditionalFormatting>
      </x14:conditionalFormattings>
    </ext>
  </extLst>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גיליון51">
    <tabColor theme="8" tint="0.59999389629810485"/>
    <pageSetUpPr fitToPage="1"/>
  </sheetPr>
  <dimension ref="A1:CZ45"/>
  <sheetViews>
    <sheetView rightToLeft="1" topLeftCell="B7" zoomScale="85" zoomScaleNormal="85" workbookViewId="0">
      <selection activeCell="H7" sqref="H7"/>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העמותה ליצירה פנטסטית- אוטופיה</v>
      </c>
      <c r="G1" s="353"/>
      <c r="H1" s="353"/>
      <c r="I1" s="369" t="s">
        <v>321</v>
      </c>
      <c r="K1" s="369" t="s">
        <v>322</v>
      </c>
      <c r="L1" s="369" t="s">
        <v>311</v>
      </c>
      <c r="M1" s="369" t="s">
        <v>312</v>
      </c>
      <c r="N1" s="369" t="s">
        <v>313</v>
      </c>
      <c r="O1" s="369" t="s">
        <v>314</v>
      </c>
      <c r="P1" s="369" t="s">
        <v>315</v>
      </c>
      <c r="Q1" s="369" t="s">
        <v>317</v>
      </c>
      <c r="R1" s="369" t="s">
        <v>406</v>
      </c>
      <c r="S1" s="354" t="s">
        <v>323</v>
      </c>
      <c r="T1" s="389">
        <f ca="1">INDEX('תנאי סף'!$A$11:$A$50,MATCH(F1,'תנאי סף'!$B$11:$B$50,0))</f>
        <v>36</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 ca="1">IF(AND(T45&gt;=$H$6,I2&gt;=$H$9),1,0)</f>
        <v>0</v>
      </c>
      <c r="I2" s="409">
        <f>IFERROR(J45/I45,0)</f>
        <v>0</v>
      </c>
      <c r="K2" s="369" t="s">
        <v>326</v>
      </c>
      <c r="L2" s="401" cm="1">
        <f t="array" aca="1" ref="L2" ca="1">SUMPRODUCT(--($H$15:$H$44&lt;פרמטרים!$B$9)*($H$15:$H$44&gt;=פרמטרים!$B$8),$T$15:$T$44)</f>
        <v>0</v>
      </c>
      <c r="M2" s="401" cm="1">
        <f t="array" aca="1" ref="M2" ca="1">SUMPRODUCT(--($H$15:$H$44&lt;פרמטרים!$B$10)*($H$15:$H$44&gt;=פרמטרים!$B$8),$T$15:$T$44)-SUM($L$2:L2)</f>
        <v>0</v>
      </c>
      <c r="N2" s="401" cm="1">
        <f t="array" aca="1" ref="N2" ca="1">SUMPRODUCT(--($H$15:$H$44&lt;פרמטרים!$B$11)*($H$15:$H$44&gt;=פרמטרים!$B$8),$T$15:$T$44)-SUM($L$2:M2)</f>
        <v>0</v>
      </c>
      <c r="O2" s="401" cm="1">
        <f t="array" aca="1" ref="O2" ca="1">SUMPRODUCT(--($H$15:$H$44&lt;פרמטרים!$B$12)*($H$15:$H$44&gt;=פרמטרים!$B$8),$T$15:$T$44)-SUM($L$2:N2)</f>
        <v>0</v>
      </c>
      <c r="P2" s="401" cm="1">
        <f t="array" aca="1" ref="P2" ca="1">SUMPRODUCT(--($H$15:$H$44&gt;=פרמטרים!$B$12),$T$15:$T$44)</f>
        <v>0</v>
      </c>
      <c r="Q2" s="401"/>
      <c r="R2" s="515" cm="1">
        <f t="array" aca="1" ref="R2" ca="1">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aca="1" ref="L3" ca="1">SUMPRODUCT(--($H$15:$H$44&lt;פרמטרים!$B$9)*($P$15:$P$44&gt;=פרמטרים!$B$13)*(($L$15:$L$44+$M$15:$M$44)&gt;=פרמטרים!$B$45),$T$15:$T$44)</f>
        <v>0</v>
      </c>
      <c r="M3" s="401" cm="1">
        <f t="array" aca="1" ref="M3" ca="1">SUMPRODUCT(--($H$15:$H$44&lt;פרמטרים!$B$10)*($P$15:$P$44&gt;=פרמטרים!$B$13)*(($L$15:$L$44+$M$15:$M$44)&gt;=פרמטרים!$B$45),$T$15:$T$44)-SUM($L$3:L3)</f>
        <v>0</v>
      </c>
      <c r="N3" s="401" cm="1">
        <f t="array" aca="1" ref="N3" ca="1">SUMPRODUCT(--($H$15:$H$44&lt;פרמטרים!$B$11)*($P$15:$P$44&gt;=פרמטרים!$B$13)*(($L$15:$L$44+$M$15:$M$44)&gt;=פרמטרים!$B$45),$T$15:$T$44)-SUM($L$3:M3)</f>
        <v>0</v>
      </c>
      <c r="O3" s="401" cm="1">
        <f t="array" aca="1" ref="O3" ca="1">SUMPRODUCT(--($H$15:$H$44&lt;פרמטרים!$B$12)*($P$15:$P$44&gt;=פרמטרים!$B$13)*(($L$15:$L$44+$M$15:$M$44)&gt;=פרמטרים!$B$45),$T$15:$T$44)-SUM($L$3:N3)</f>
        <v>0</v>
      </c>
      <c r="P3" s="401" cm="1">
        <f t="array" aca="1" ref="P3" ca="1">SUMPRODUCT(--($H$15:$H$44&gt;=פרמטרים!$B$12)*($P$15:$P$44&gt;=פרמטרים!$B$13)*(($L$15:$L$44+$M$15:$M$44)&gt;=פרמטרים!$B$45),$T$15:$T$44)</f>
        <v>0</v>
      </c>
      <c r="Q3" s="401" cm="1">
        <f t="array" aca="1" ref="Q3" ca="1">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 ca="1">SUM($AO$15:$AO$44)-SUM($L$2:$P$2)</f>
        <v>2</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2</v>
      </c>
      <c r="S9" s="401">
        <f>COUNTIF($S$15:$S$44,"=1")</f>
        <v>2</v>
      </c>
      <c r="T9" s="401">
        <f ca="1">COUNTIF($T$15:$T$44,"=1")</f>
        <v>2</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f>IF(E15="","",ROW()-14)</f>
        <v>1</v>
      </c>
      <c r="C15" s="380"/>
      <c r="D15" s="380"/>
      <c r="E15" s="381">
        <v>45231</v>
      </c>
      <c r="F15" s="385" t="s">
        <v>634</v>
      </c>
      <c r="G15" s="382"/>
      <c r="H15" s="383">
        <v>0</v>
      </c>
      <c r="I15" s="383">
        <v>0</v>
      </c>
      <c r="J15" s="383">
        <v>0</v>
      </c>
      <c r="K15" s="398" t="str">
        <f>IFERROR(J15/I15,"")</f>
        <v/>
      </c>
      <c r="L15" s="383">
        <v>0</v>
      </c>
      <c r="M15" s="383">
        <v>0</v>
      </c>
      <c r="N15" s="383">
        <v>0</v>
      </c>
      <c r="O15" s="379">
        <f>IF(E15="","",L15+M15+N15)</f>
        <v>0</v>
      </c>
      <c r="P15" s="383">
        <v>0</v>
      </c>
      <c r="Q15" s="382">
        <v>0</v>
      </c>
      <c r="R15" s="382">
        <v>1</v>
      </c>
      <c r="S15" s="382">
        <v>1</v>
      </c>
      <c r="T15" s="379">
        <f ca="1">IF(E15="","",IF(AI15&lt;&gt;1,$AJ$1,IF(AND(S15=1,R15=1,OR(H15&gt;=פרמטרים!$B$8,INDEX('תנאי סף'!$AF$11:$AF$50,MATCH($T$1,'תנאי סף'!$A$11:$A$50,0))),OR(O15&gt;=$H$8,INDEX('תנאי סף'!$AC$11:$AC$50,MATCH($T$1,'תנאי סף'!$A$11:$A$50,0))),INDEX('תנאי סף'!$AI$11:$AI$50,MATCH($T$1,'תנאי סף'!$A$11:$A$50,0)),COUNTA($E$15:$E$44)&gt;=$H$6),1,0)))</f>
        <v>1</v>
      </c>
      <c r="U15" s="382">
        <v>1</v>
      </c>
      <c r="V15" s="382">
        <v>0</v>
      </c>
      <c r="W15" s="379"/>
      <c r="X15" s="382"/>
      <c r="Y15" s="379"/>
      <c r="Z15" s="385"/>
      <c r="AA15" s="385"/>
      <c r="AB15" s="382"/>
      <c r="AC15" s="384"/>
      <c r="AD15" s="386"/>
      <c r="AE15" s="386"/>
      <c r="AF15" s="386"/>
      <c r="AG15" s="386"/>
      <c r="AI15" s="351">
        <f>IF(SUM(AL15:BL15)=COUNT(AL15:BL15),1,0)</f>
        <v>1</v>
      </c>
      <c r="AJ15" s="351">
        <f>IF($E15="","",AJ$14)</f>
        <v>0</v>
      </c>
      <c r="AK15" s="351">
        <f>IF($E15="","",AK$14)</f>
        <v>1</v>
      </c>
      <c r="AL15" s="363">
        <f>IF(E$14="",1,IF(E15="",0,IF(ISNA(E15),0,1)))</f>
        <v>1</v>
      </c>
      <c r="AM15" s="363">
        <f t="shared" ref="AM15:BB30" si="4">IF(F$14="",1,IF(F15="",0,IF(ISNA(F15),0,1)))</f>
        <v>1</v>
      </c>
      <c r="AN15" s="363">
        <f t="shared" si="4"/>
        <v>1</v>
      </c>
      <c r="AO15" s="363">
        <f t="shared" si="4"/>
        <v>1</v>
      </c>
      <c r="AP15" s="363">
        <f t="shared" si="4"/>
        <v>1</v>
      </c>
      <c r="AQ15" s="363">
        <f t="shared" si="4"/>
        <v>1</v>
      </c>
      <c r="AR15" s="363">
        <f t="shared" si="4"/>
        <v>1</v>
      </c>
      <c r="AS15" s="363">
        <f t="shared" si="4"/>
        <v>1</v>
      </c>
      <c r="AT15" s="363">
        <f t="shared" si="4"/>
        <v>1</v>
      </c>
      <c r="AU15" s="363">
        <f t="shared" si="4"/>
        <v>1</v>
      </c>
      <c r="AV15" s="363">
        <f t="shared" si="4"/>
        <v>1</v>
      </c>
      <c r="AW15" s="363">
        <f t="shared" si="4"/>
        <v>1</v>
      </c>
      <c r="AX15" s="363">
        <f t="shared" si="4"/>
        <v>1</v>
      </c>
      <c r="AY15" s="363">
        <f t="shared" si="4"/>
        <v>1</v>
      </c>
      <c r="AZ15" s="363">
        <f t="shared" si="4"/>
        <v>1</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נאותה</v>
      </c>
      <c r="BR15" s="351" t="str">
        <f t="shared" si="6"/>
        <v>לא נאותה</v>
      </c>
      <c r="BS15" s="351">
        <f t="shared" si="6"/>
        <v>0</v>
      </c>
      <c r="BT15" s="351">
        <f t="shared" si="6"/>
        <v>0</v>
      </c>
      <c r="BU15" s="351">
        <f t="shared" si="6"/>
        <v>0</v>
      </c>
    </row>
    <row r="16" spans="1:79" x14ac:dyDescent="0.25">
      <c r="A16" s="379"/>
      <c r="B16" s="379">
        <f t="shared" ref="B16:B44" si="7">IF(E16="","",ROW()-14)</f>
        <v>2</v>
      </c>
      <c r="C16" s="380"/>
      <c r="D16" s="380"/>
      <c r="E16" s="381">
        <v>45261</v>
      </c>
      <c r="F16" s="385" t="s">
        <v>634</v>
      </c>
      <c r="G16" s="382"/>
      <c r="H16" s="383">
        <v>0</v>
      </c>
      <c r="I16" s="383">
        <v>0</v>
      </c>
      <c r="J16" s="383">
        <v>0</v>
      </c>
      <c r="K16" s="398" t="str">
        <f t="shared" ref="K16:K44" si="8">IFERROR(J16/I16,"")</f>
        <v/>
      </c>
      <c r="L16" s="383">
        <v>0</v>
      </c>
      <c r="M16" s="383">
        <v>0</v>
      </c>
      <c r="N16" s="383">
        <v>0</v>
      </c>
      <c r="O16" s="379">
        <f t="shared" ref="O16:O44" si="9">IF(E16="","",L16+M16+N16)</f>
        <v>0</v>
      </c>
      <c r="P16" s="383">
        <v>0</v>
      </c>
      <c r="Q16" s="382">
        <v>0</v>
      </c>
      <c r="R16" s="382">
        <v>1</v>
      </c>
      <c r="S16" s="382">
        <v>1</v>
      </c>
      <c r="T16" s="379">
        <f ca="1">IF(E16="","",IF(AI16&lt;&gt;1,$AJ$1,IF(AND(S16=1,R16=1,OR(H16&gt;=פרמטרים!$B$8,INDEX('תנאי סף'!$AF$11:$AF$50,MATCH($T$1,'תנאי סף'!$A$11:$A$50,0))),OR(O16&gt;=$H$8,INDEX('תנאי סף'!$AC$11:$AC$50,MATCH($T$1,'תנאי סף'!$A$11:$A$50,0))),INDEX('תנאי סף'!$AI$11:$AI$50,MATCH($T$1,'תנאי סף'!$A$11:$A$50,0)),COUNTA($E$15:$E$44)&gt;=$H$6),1,0)))</f>
        <v>1</v>
      </c>
      <c r="U16" s="382">
        <v>0</v>
      </c>
      <c r="V16" s="382">
        <v>0</v>
      </c>
      <c r="W16" s="379"/>
      <c r="X16" s="382"/>
      <c r="Y16" s="379"/>
      <c r="Z16" s="385"/>
      <c r="AA16" s="385"/>
      <c r="AB16" s="382"/>
      <c r="AC16" s="384"/>
      <c r="AD16" s="386"/>
      <c r="AE16" s="386"/>
      <c r="AF16" s="386"/>
      <c r="AG16" s="386"/>
      <c r="AI16" s="351">
        <f t="shared" ref="AI16:AI44" si="10">IF(SUM(AL16:BL16)=COUNT(AL16:BL16),1,0)</f>
        <v>1</v>
      </c>
      <c r="AJ16" s="351">
        <f t="shared" ref="AJ16:AK44" si="11">IF($E16="","",AJ$14)</f>
        <v>0</v>
      </c>
      <c r="AK16" s="351">
        <f t="shared" si="11"/>
        <v>1</v>
      </c>
      <c r="AL16" s="363">
        <f t="shared" ref="AL16:BA44" si="12">IF(E$14="",1,IF(E16="",0,IF(ISNA(E16),0,1)))</f>
        <v>1</v>
      </c>
      <c r="AM16" s="363">
        <f t="shared" si="4"/>
        <v>1</v>
      </c>
      <c r="AN16" s="363">
        <f t="shared" si="4"/>
        <v>1</v>
      </c>
      <c r="AO16" s="363">
        <f t="shared" si="4"/>
        <v>1</v>
      </c>
      <c r="AP16" s="363">
        <f t="shared" si="4"/>
        <v>1</v>
      </c>
      <c r="AQ16" s="363">
        <f t="shared" si="4"/>
        <v>1</v>
      </c>
      <c r="AR16" s="363">
        <f t="shared" si="4"/>
        <v>1</v>
      </c>
      <c r="AS16" s="363">
        <f t="shared" si="4"/>
        <v>1</v>
      </c>
      <c r="AT16" s="363">
        <f t="shared" si="4"/>
        <v>1</v>
      </c>
      <c r="AU16" s="363">
        <f t="shared" si="4"/>
        <v>1</v>
      </c>
      <c r="AV16" s="363">
        <f t="shared" si="4"/>
        <v>1</v>
      </c>
      <c r="AW16" s="363">
        <f t="shared" si="4"/>
        <v>1</v>
      </c>
      <c r="AX16" s="363">
        <f t="shared" si="4"/>
        <v>1</v>
      </c>
      <c r="AY16" s="363">
        <f t="shared" si="4"/>
        <v>1</v>
      </c>
      <c r="AZ16" s="363">
        <f t="shared" si="4"/>
        <v>1</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נאותה</v>
      </c>
      <c r="BR16" s="351" t="str">
        <f t="shared" si="6"/>
        <v>לא נאותה</v>
      </c>
      <c r="BS16" s="351">
        <f t="shared" si="6"/>
        <v>0</v>
      </c>
      <c r="BT16" s="351">
        <f t="shared" si="6"/>
        <v>0</v>
      </c>
      <c r="BU16" s="351">
        <f t="shared" si="6"/>
        <v>0</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2</v>
      </c>
      <c r="S45" s="387">
        <f t="shared" si="15"/>
        <v>2</v>
      </c>
      <c r="T45" s="387">
        <f t="shared" ca="1" si="15"/>
        <v>2</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onkjx45PsqyGCO7WGwdrwqSRx7fs+1yXx/EJn/mXYC6vozBG+5t3FzJ6s0k8aT18lkOl5R8HsEYh4hg7FKu5fg==" saltValue="DU0tFp0oWdm8T8TmFZMJ8Q=="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119" priority="47" stopIfTrue="1">
      <formula>AND($E15="",A15&lt;&gt;"")</formula>
    </cfRule>
    <cfRule type="expression" dxfId="118" priority="48">
      <formula>$E15=""</formula>
    </cfRule>
    <cfRule type="expression" dxfId="117" priority="49">
      <formula>A$14&lt;&gt;""</formula>
    </cfRule>
  </conditionalFormatting>
  <conditionalFormatting sqref="A16:E44 T15:AG44 G15:P44">
    <cfRule type="expression" dxfId="116" priority="51" stopIfTrue="1">
      <formula>AND($E15="",A15&lt;&gt;"")</formula>
    </cfRule>
  </conditionalFormatting>
  <conditionalFormatting sqref="F15:F44">
    <cfRule type="expression" dxfId="115" priority="13" stopIfTrue="1">
      <formula>AND($E15="",F15&lt;&gt;"")</formula>
    </cfRule>
    <cfRule type="expression" dxfId="114" priority="14">
      <formula>$E15=""</formula>
    </cfRule>
    <cfRule type="expression" dxfId="113" priority="15">
      <formula>F$14&lt;&gt;""</formula>
    </cfRule>
  </conditionalFormatting>
  <conditionalFormatting sqref="G15:P44 T15:AG44 A16:E44">
    <cfRule type="expression" dxfId="112" priority="53">
      <formula>A$14&lt;&gt;""</formula>
    </cfRule>
  </conditionalFormatting>
  <conditionalFormatting sqref="O15:O44">
    <cfRule type="expression" dxfId="111" priority="25">
      <formula>$E15=""</formula>
    </cfRule>
    <cfRule type="cellIs" dxfId="110" priority="27" operator="equal">
      <formula>0</formula>
    </cfRule>
  </conditionalFormatting>
  <conditionalFormatting sqref="Q15:S44">
    <cfRule type="expression" dxfId="109" priority="4" stopIfTrue="1">
      <formula>AND($E15="",Q15&lt;&gt;"")</formula>
    </cfRule>
    <cfRule type="expression" dxfId="108" priority="5">
      <formula>$E15=""</formula>
    </cfRule>
    <cfRule type="expression" dxfId="107" priority="6">
      <formula>Q$14&lt;&gt;""</formula>
    </cfRule>
  </conditionalFormatting>
  <conditionalFormatting sqref="Y15 G15:N44 P15:P44 T15:X44 AB15:AG44 A16:E44 Y16:AA44">
    <cfRule type="expression" dxfId="106" priority="52">
      <formula>$E15=""</formula>
    </cfRule>
  </conditionalFormatting>
  <conditionalFormatting sqref="Z15:AA15">
    <cfRule type="expression" dxfId="105"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3D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D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3D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3D00-000003000000}"/>
    <dataValidation type="list" allowBlank="1" showInputMessage="1" showErrorMessage="1" sqref="E14 Z14:AB14 L14:N14 U14:V14 X14 G14:J14 P14:S14" xr:uid="{00000000-0002-0000-3D00-000004000000}">
      <formula1>$AN$1:$BP$1</formula1>
    </dataValidation>
    <dataValidation type="list" allowBlank="1" showInputMessage="1" showErrorMessage="1" sqref="F14" xr:uid="{00000000-0002-0000-3D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3D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D00-000007000000}">
      <formula1>$CA$2:$CA$10</formula1>
    </dataValidation>
    <dataValidation operator="greaterThanOrEqual" allowBlank="1" showInputMessage="1" showErrorMessage="1" errorTitle="נתון שגוי." error="ניתן להזין רק מספר שלם גדול או שווה ל-0." sqref="O15:O44" xr:uid="{00000000-0002-0000-3D00-000008000000}"/>
    <dataValidation type="list" allowBlank="1" showInputMessage="1" showErrorMessage="1" errorTitle="נתון שגוי." error="ניתן להזין רק 0 או 1._x000a_0 = לא עומד בתנאי._x000a_1 = עומד בתנאי." sqref="Q15:S44" xr:uid="{00000000-0002-0000-3D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09C982AF-2CFC-4FB7-8F5E-73AE5DECAE28}">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C27DB599-F06D-404B-8511-3662625CBEE9}">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B9136973-1A9F-4532-88FE-F345558E3794}">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ACBE4870-73DC-4D6C-AF13-6C82BDA7659C}">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215AB0D0-C589-402E-90A4-9E0C58976D82}">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4067CAB6-4CF4-4305-9283-EA8C4670A442}">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DF57E331-5351-4269-B6BE-88F0DAA4B996}">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FECEBED7-E04C-4A04-ABC5-D83F385F19F5}">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63812006-ED83-4058-BEDB-BE7B4594958D}">
            <xm:f>NOT(ISERROR(SEARCH($AJ$1,Y15)))</xm:f>
            <xm:f>$AJ$1</xm:f>
            <x14:dxf>
              <fill>
                <patternFill>
                  <bgColor rgb="FFFF0000"/>
                </patternFill>
              </fill>
            </x14:dxf>
          </x14:cfRule>
          <xm:sqref>AD15:AG44 Y16:Y44</xm:sqref>
        </x14:conditionalFormatting>
      </x14:conditionalFormatting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8" tint="0.59999389629810485"/>
  </sheetPr>
  <dimension ref="R1:R2"/>
  <sheetViews>
    <sheetView rightToLeft="1" workbookViewId="0">
      <selection activeCell="R2" sqref="R2"/>
    </sheetView>
  </sheetViews>
  <sheetFormatPr defaultRowHeight="12.75" x14ac:dyDescent="0.2"/>
  <sheetData>
    <row r="1" spans="18:18" x14ac:dyDescent="0.2">
      <c r="R1" t="s">
        <v>406</v>
      </c>
    </row>
    <row r="2" spans="18:18" x14ac:dyDescent="0.2">
      <c r="R2" s="516" cm="1">
        <f t="array" ref="R2">SUMPRODUCT(L2:P2,TRANSPOSE('היקף החוברות'!D4:D8))</f>
        <v>0</v>
      </c>
    </row>
  </sheetData>
  <sheetProtection algorithmName="SHA-512" hashValue="Xbzyu8a4YkXnphzZPZYiHnZMrLThqo7n7/VwXwxjJugPq9hJmYLnDr127XOzCTVZyPGm2LCQy1DeEX1FKxW6Yg==" saltValue="O+L0CNJcFc5XFVOjVuQpFg==" spinCount="100000" sheet="1" scenarios="1" formatColumns="0" formatRows="0"/>
  <pageMargins left="0.7" right="0.7" top="0.75" bottom="0.75" header="0.3" footer="0.3"/>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גיליון52">
    <tabColor theme="8" tint="0.59999389629810485"/>
    <pageSetUpPr fitToPage="1"/>
  </sheetPr>
  <dimension ref="A1:CZ45"/>
  <sheetViews>
    <sheetView rightToLeft="1" topLeftCell="H12" zoomScale="85" zoomScaleNormal="85" workbookViewId="0">
      <selection activeCell="P15" sqref="P15:S30"/>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37</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QPxZCyUsXO5zeV6+jcd/Zmz3AB3Ca+cAdOJ3i2WASaXwukqr8wPT7EWEJWUA6kNALpNVmubokXY7lrBq+oTOYg==" saltValue="L31o0/WbMZTUXTULVEzvmA=="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95" priority="47" stopIfTrue="1">
      <formula>AND($E15="",A15&lt;&gt;"")</formula>
    </cfRule>
    <cfRule type="expression" dxfId="94" priority="48">
      <formula>$E15=""</formula>
    </cfRule>
    <cfRule type="expression" dxfId="93" priority="49">
      <formula>A$14&lt;&gt;""</formula>
    </cfRule>
  </conditionalFormatting>
  <conditionalFormatting sqref="A16:E44 T15:AG44 G15:P44">
    <cfRule type="expression" dxfId="92" priority="51" stopIfTrue="1">
      <formula>AND($E15="",A15&lt;&gt;"")</formula>
    </cfRule>
  </conditionalFormatting>
  <conditionalFormatting sqref="F15:F44">
    <cfRule type="expression" dxfId="91" priority="13" stopIfTrue="1">
      <formula>AND($E15="",F15&lt;&gt;"")</formula>
    </cfRule>
    <cfRule type="expression" dxfId="90" priority="14">
      <formula>$E15=""</formula>
    </cfRule>
    <cfRule type="expression" dxfId="89" priority="15">
      <formula>F$14&lt;&gt;""</formula>
    </cfRule>
  </conditionalFormatting>
  <conditionalFormatting sqref="G15:P44 T15:AG44 A16:E44">
    <cfRule type="expression" dxfId="88" priority="53">
      <formula>A$14&lt;&gt;""</formula>
    </cfRule>
  </conditionalFormatting>
  <conditionalFormatting sqref="O15:O44">
    <cfRule type="expression" dxfId="87" priority="25">
      <formula>$E15=""</formula>
    </cfRule>
    <cfRule type="cellIs" dxfId="86" priority="27" operator="equal">
      <formula>0</formula>
    </cfRule>
  </conditionalFormatting>
  <conditionalFormatting sqref="Q15:S44">
    <cfRule type="expression" dxfId="85" priority="4" stopIfTrue="1">
      <formula>AND($E15="",Q15&lt;&gt;"")</formula>
    </cfRule>
    <cfRule type="expression" dxfId="84" priority="5">
      <formula>$E15=""</formula>
    </cfRule>
    <cfRule type="expression" dxfId="83" priority="6">
      <formula>Q$14&lt;&gt;""</formula>
    </cfRule>
  </conditionalFormatting>
  <conditionalFormatting sqref="Y15 G15:N44 P15:P44 T15:X44 AB15:AG44 A16:E44 Y16:AA44">
    <cfRule type="expression" dxfId="82" priority="52">
      <formula>$E15=""</formula>
    </cfRule>
  </conditionalFormatting>
  <conditionalFormatting sqref="Z15:AA15">
    <cfRule type="expression" dxfId="81"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3F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3F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3F00-000002000000}">
      <formula1>$AJ$15:$AK$15</formula1>
    </dataValidation>
    <dataValidation type="list" allowBlank="1" showInputMessage="1" showErrorMessage="1" sqref="F14" xr:uid="{00000000-0002-0000-3F00-000003000000}">
      <formula1>$AO$1:$BP$1</formula1>
    </dataValidation>
    <dataValidation type="list" allowBlank="1" showInputMessage="1" showErrorMessage="1" sqref="E14 Z14:AB14 L14:N14 U14:V14 X14 G14:J14 P14:S14" xr:uid="{00000000-0002-0000-3F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3F00-000005000000}"/>
    <dataValidation type="whole" operator="greaterThanOrEqual" allowBlank="1" showInputMessage="1" showErrorMessage="1" errorTitle="נתון שגוי." error="ניתן להזין רק מספר שלם גדול או שווה ל-0." sqref="H15:J44 L15:N44" xr:uid="{00000000-0002-0000-3F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3F00-000007000000}">
      <formula1>$AN$4:$AO$4</formula1>
    </dataValidation>
    <dataValidation type="decimal" operator="greaterThanOrEqual" allowBlank="1" showInputMessage="1" showErrorMessage="1" errorTitle="נתון שגוי." error="ניתן להזין רק מספר חיובי." sqref="P15:P44" xr:uid="{00000000-0002-0000-3F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3F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8C075101-FBE6-4EE2-9C20-252746DE58A5}">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2D276501-ECA5-4F1C-BA38-9E3F88BBA3D7}">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8DD83960-3B42-4137-8D98-7367A3FAE364}">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FA546D68-1EDD-42C3-A04C-5B90CF13B28E}">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FB0DE84E-60AC-4383-BB53-C7166214270B}">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4741940E-7294-4F32-8815-F4137B9C4771}">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A01423E9-BCE6-488A-B319-A0A14CF06080}">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B52B9551-A7B6-4686-8B0E-33FDEA616AAC}">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6BA00194-60F5-4DB9-A82F-E2E993A01513}">
            <xm:f>NOT(ISERROR(SEARCH($AJ$1,Y15)))</xm:f>
            <xm:f>$AJ$1</xm:f>
            <x14:dxf>
              <fill>
                <patternFill>
                  <bgColor rgb="FFFF0000"/>
                </patternFill>
              </fill>
            </x14:dxf>
          </x14:cfRule>
          <xm:sqref>AD15:AG44 Y16:Y44</xm:sqref>
        </x14:conditionalFormatting>
      </x14:conditionalFormattings>
    </ext>
  </extLs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גיליון53">
    <tabColor theme="8" tint="0.59999389629810485"/>
    <pageSetUpPr fitToPage="1"/>
  </sheetPr>
  <dimension ref="A1:CZ45"/>
  <sheetViews>
    <sheetView rightToLeft="1" topLeftCell="B6" zoomScale="85" zoomScaleNormal="85" workbookViewId="0">
      <selection activeCell="P15" sqref="P15:S15"/>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38</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kU1MvOM5YMgOwDyFFP2v6+wif+0VuBHAS4sZxv52kb4fSB80W2q1D33AcVk1gWrkVdvkhaXPKQ8UGgKsnwG18g==" saltValue="wIOmvqQIhT8IrPVkXYqY7A=="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71" priority="47" stopIfTrue="1">
      <formula>AND($E15="",A15&lt;&gt;"")</formula>
    </cfRule>
    <cfRule type="expression" dxfId="70" priority="48">
      <formula>$E15=""</formula>
    </cfRule>
    <cfRule type="expression" dxfId="69" priority="49">
      <formula>A$14&lt;&gt;""</formula>
    </cfRule>
  </conditionalFormatting>
  <conditionalFormatting sqref="A16:E44 T15:AG44 G15:P44">
    <cfRule type="expression" dxfId="68" priority="51" stopIfTrue="1">
      <formula>AND($E15="",A15&lt;&gt;"")</formula>
    </cfRule>
  </conditionalFormatting>
  <conditionalFormatting sqref="F15:F44">
    <cfRule type="expression" dxfId="67" priority="13" stopIfTrue="1">
      <formula>AND($E15="",F15&lt;&gt;"")</formula>
    </cfRule>
    <cfRule type="expression" dxfId="66" priority="14">
      <formula>$E15=""</formula>
    </cfRule>
    <cfRule type="expression" dxfId="65" priority="15">
      <formula>F$14&lt;&gt;""</formula>
    </cfRule>
  </conditionalFormatting>
  <conditionalFormatting sqref="G15:P44 T15:AG44 A16:E44">
    <cfRule type="expression" dxfId="64" priority="53">
      <formula>A$14&lt;&gt;""</formula>
    </cfRule>
  </conditionalFormatting>
  <conditionalFormatting sqref="O15:O44">
    <cfRule type="expression" dxfId="63" priority="25">
      <formula>$E15=""</formula>
    </cfRule>
    <cfRule type="cellIs" dxfId="62" priority="27" operator="equal">
      <formula>0</formula>
    </cfRule>
  </conditionalFormatting>
  <conditionalFormatting sqref="Q15:S44">
    <cfRule type="expression" dxfId="61" priority="4" stopIfTrue="1">
      <formula>AND($E15="",Q15&lt;&gt;"")</formula>
    </cfRule>
    <cfRule type="expression" dxfId="60" priority="5">
      <formula>$E15=""</formula>
    </cfRule>
    <cfRule type="expression" dxfId="59" priority="6">
      <formula>Q$14&lt;&gt;""</formula>
    </cfRule>
  </conditionalFormatting>
  <conditionalFormatting sqref="Y15 G15:N44 P15:P44 T15:X44 AB15:AG44 A16:E44 Y16:AA44">
    <cfRule type="expression" dxfId="58" priority="52">
      <formula>$E15=""</formula>
    </cfRule>
  </conditionalFormatting>
  <conditionalFormatting sqref="Z15:AA15">
    <cfRule type="expression" dxfId="57"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40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40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40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4000-000003000000}"/>
    <dataValidation type="list" allowBlank="1" showInputMessage="1" showErrorMessage="1" sqref="E14 Z14:AB14 L14:N14 U14:V14 X14 G14:J14 P14:S14" xr:uid="{00000000-0002-0000-4000-000004000000}">
      <formula1>$AN$1:$BP$1</formula1>
    </dataValidation>
    <dataValidation type="list" allowBlank="1" showInputMessage="1" showErrorMessage="1" sqref="F14" xr:uid="{00000000-0002-0000-40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40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4000-000007000000}">
      <formula1>$CA$2:$CA$10</formula1>
    </dataValidation>
    <dataValidation operator="greaterThanOrEqual" allowBlank="1" showInputMessage="1" showErrorMessage="1" errorTitle="נתון שגוי." error="ניתן להזין רק מספר שלם גדול או שווה ל-0." sqref="O15:O44" xr:uid="{00000000-0002-0000-4000-000008000000}"/>
    <dataValidation type="list" allowBlank="1" showInputMessage="1" showErrorMessage="1" errorTitle="נתון שגוי." error="ניתן להזין רק 0 או 1._x000a_0 = לא עומד בתנאי._x000a_1 = עומד בתנאי." sqref="Q15:S44" xr:uid="{00000000-0002-0000-40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B8C6A8DF-5814-44FE-94AD-3355378F3DBA}">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EFA0D936-C800-44EB-B002-AF03D2B4911A}">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E4F0C75E-7DE9-4954-AA28-562E26A7EBD4}">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B62E7131-B63C-4F6E-BAC7-36A75DA28F1B}">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9F51E6DF-0FCB-40E2-BE19-338E7BC4E03E}">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EE96A385-AC9D-4F5D-B601-40BFE2070A15}">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075E1A22-8D20-496F-AD3A-95E1FD802B82}">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46019494-42D6-44E3-B699-D382349EDF3B}">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E3826D17-008A-4DE2-8081-84C1C8F22E90}">
            <xm:f>NOT(ISERROR(SEARCH($AJ$1,Y15)))</xm:f>
            <xm:f>$AJ$1</xm:f>
            <x14:dxf>
              <fill>
                <patternFill>
                  <bgColor rgb="FFFF0000"/>
                </patternFill>
              </fill>
            </x14:dxf>
          </x14:cfRule>
          <xm:sqref>AD15:AG44 Y16:Y44</xm:sqref>
        </x14:conditionalFormatting>
      </x14:conditionalFormattings>
    </ext>
  </extLs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גיליון54">
    <tabColor theme="8" tint="0.59999389629810485"/>
    <pageSetUpPr fitToPage="1"/>
  </sheetPr>
  <dimension ref="A1:CZ45"/>
  <sheetViews>
    <sheetView rightToLeft="1" topLeftCell="B8" zoomScale="85" zoomScaleNormal="85" workbookViewId="0">
      <selection activeCell="P15" sqref="P15:S17"/>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39</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n7kRTArKac7tpd9q5e3m9qEeN8h6q4xOk/IUqo4YmmP3VJrJ9l730kvqnIyu1fh8tYrUASG/+PoftqaXHbgOXw==" saltValue="AAHlaa0Wwo2bRlGR0EUDW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47" priority="47" stopIfTrue="1">
      <formula>AND($E15="",A15&lt;&gt;"")</formula>
    </cfRule>
    <cfRule type="expression" dxfId="46" priority="48">
      <formula>$E15=""</formula>
    </cfRule>
    <cfRule type="expression" dxfId="45" priority="49">
      <formula>A$14&lt;&gt;""</formula>
    </cfRule>
  </conditionalFormatting>
  <conditionalFormatting sqref="A16:E44 T15:AG44 G15:P44">
    <cfRule type="expression" dxfId="44" priority="51" stopIfTrue="1">
      <formula>AND($E15="",A15&lt;&gt;"")</formula>
    </cfRule>
  </conditionalFormatting>
  <conditionalFormatting sqref="F15:F44">
    <cfRule type="expression" dxfId="43" priority="13" stopIfTrue="1">
      <formula>AND($E15="",F15&lt;&gt;"")</formula>
    </cfRule>
    <cfRule type="expression" dxfId="42" priority="14">
      <formula>$E15=""</formula>
    </cfRule>
    <cfRule type="expression" dxfId="41" priority="15">
      <formula>F$14&lt;&gt;""</formula>
    </cfRule>
  </conditionalFormatting>
  <conditionalFormatting sqref="G15:P44 T15:AG44 A16:E44">
    <cfRule type="expression" dxfId="40" priority="53">
      <formula>A$14&lt;&gt;""</formula>
    </cfRule>
  </conditionalFormatting>
  <conditionalFormatting sqref="O15:O44">
    <cfRule type="expression" dxfId="39" priority="25">
      <formula>$E15=""</formula>
    </cfRule>
    <cfRule type="cellIs" dxfId="38" priority="27" operator="equal">
      <formula>0</formula>
    </cfRule>
  </conditionalFormatting>
  <conditionalFormatting sqref="Q15:S44">
    <cfRule type="expression" dxfId="37" priority="4" stopIfTrue="1">
      <formula>AND($E15="",Q15&lt;&gt;"")</formula>
    </cfRule>
    <cfRule type="expression" dxfId="36" priority="5">
      <formula>$E15=""</formula>
    </cfRule>
    <cfRule type="expression" dxfId="35" priority="6">
      <formula>Q$14&lt;&gt;""</formula>
    </cfRule>
  </conditionalFormatting>
  <conditionalFormatting sqref="Y15 G15:N44 P15:P44 T15:X44 AB15:AG44 A16:E44 Y16:AA44">
    <cfRule type="expression" dxfId="34" priority="52">
      <formula>$E15=""</formula>
    </cfRule>
  </conditionalFormatting>
  <conditionalFormatting sqref="Z15:AA15">
    <cfRule type="expression" dxfId="33" priority="21">
      <formula>$F15=""</formula>
    </cfRule>
  </conditionalFormatting>
  <dataValidations count="10">
    <dataValidation type="decimal" operator="greaterThanOrEqual" allowBlank="1" showInputMessage="1" showErrorMessage="1" errorTitle="נתון שגוי." error="ניתן להזין רק מספר חיובי." sqref="P15:P44" xr:uid="{00000000-0002-0000-4100-000000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4100-000001000000}">
      <formula1>$AN$4:$AO$4</formula1>
    </dataValidation>
    <dataValidation type="whole" operator="greaterThanOrEqual" allowBlank="1" showInputMessage="1" showErrorMessage="1" errorTitle="נתון שגוי." error="ניתן להזין רק מספר שלם גדול או שווה ל-0." sqref="H15:J44 L15:N44" xr:uid="{00000000-0002-0000-4100-000002000000}">
      <formula1>0</formula1>
    </dataValidation>
    <dataValidation allowBlank="1" showInputMessage="1" showErrorMessage="1" errorTitle="נתון שגוי." error="ניתן להזין רק 0 או 1._x000a_0 = לא עומד בתנאי._x000a_1 = עומד בתנאי." sqref="C15:E44 K15:K44" xr:uid="{00000000-0002-0000-4100-000003000000}"/>
    <dataValidation type="list" allowBlank="1" showInputMessage="1" showErrorMessage="1" sqref="E14 Z14:AB14 L14:N14 U14:V14 X14 G14:J14 P14:S14" xr:uid="{00000000-0002-0000-4100-000004000000}">
      <formula1>$AN$1:$BP$1</formula1>
    </dataValidation>
    <dataValidation type="list" allowBlank="1" showInputMessage="1" showErrorMessage="1" sqref="F14" xr:uid="{00000000-0002-0000-4100-000005000000}">
      <formula1>$AO$1:$BP$1</formula1>
    </dataValidation>
    <dataValidation type="list" allowBlank="1" showInputMessage="1" showErrorMessage="1" errorTitle="נתון שגוי." error="ניתן להזין רק 0 או 1._x000a_0 = לא עומד בתנאי._x000a_1 = עומד בתנאי." sqref="U15:V44 X15:X44 AB15:AB44" xr:uid="{00000000-0002-0000-4100-000006000000}">
      <formula1>$AJ$15:$AK$15</formula1>
    </dataValidation>
    <dataValidation type="list" allowBlank="1" showInputMessage="1" showErrorMessage="1" errorTitle="טעות הזנה" error="ניתן להזין רק טקסט מתוך הרשימה הסגורה אשר מופיע כאשר לוחצים על החץ משמאל לתא" sqref="Z15:AA44" xr:uid="{00000000-0002-0000-4100-000007000000}">
      <formula1>$CA$2:$CA$10</formula1>
    </dataValidation>
    <dataValidation operator="greaterThanOrEqual" allowBlank="1" showInputMessage="1" showErrorMessage="1" errorTitle="נתון שגוי." error="ניתן להזין רק מספר שלם גדול או שווה ל-0." sqref="O15:O44" xr:uid="{00000000-0002-0000-4100-000008000000}"/>
    <dataValidation type="list" allowBlank="1" showInputMessage="1" showErrorMessage="1" errorTitle="נתון שגוי." error="ניתן להזין רק 0 או 1._x000a_0 = לא עומד בתנאי._x000a_1 = עומד בתנאי." sqref="Q15:S44" xr:uid="{00000000-0002-0000-41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392B54A4-DE7B-48D4-AC68-4227E26E8AFB}">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B209EFF9-A8E7-4786-B6F3-A7B6BA37B43D}">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A1C38227-CDE8-4935-A718-012057B9CFD5}">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500B5FA3-2E6D-4269-9787-32933BFA0EF8}">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5F728D92-43EE-4089-BE21-FC09E7798D11}">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EF657E7F-55A5-4FE4-8311-1A73107FD8FD}">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AA62DADB-1230-416B-B15D-4E7EDE24DDBE}">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DD87CA01-9947-454D-9440-FA790C3A0950}">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44DEE772-D452-4514-A664-77613F35FFAB}">
            <xm:f>NOT(ISERROR(SEARCH($AJ$1,Y15)))</xm:f>
            <xm:f>$AJ$1</xm:f>
            <x14:dxf>
              <fill>
                <patternFill>
                  <bgColor rgb="FFFF0000"/>
                </patternFill>
              </fill>
            </x14:dxf>
          </x14:cfRule>
          <xm:sqref>AD15:AG44 Y16:Y44</xm:sqref>
        </x14:conditionalFormatting>
      </x14:conditionalFormattings>
    </ext>
  </extLs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גיליון55">
    <tabColor theme="8" tint="0.59999389629810485"/>
    <pageSetUpPr fitToPage="1"/>
  </sheetPr>
  <dimension ref="A1:CZ45"/>
  <sheetViews>
    <sheetView rightToLeft="1" topLeftCell="B1" zoomScale="85" zoomScaleNormal="85" workbookViewId="0">
      <selection activeCell="R2" sqref="R2"/>
    </sheetView>
  </sheetViews>
  <sheetFormatPr defaultColWidth="9.140625" defaultRowHeight="15.75" x14ac:dyDescent="0.25"/>
  <cols>
    <col min="1" max="1" width="9.140625" style="351" hidden="1" customWidth="1"/>
    <col min="2" max="2" width="8.5703125" style="351" customWidth="1"/>
    <col min="3" max="4" width="2.5703125" style="351" hidden="1" customWidth="1"/>
    <col min="5" max="5" width="17.7109375" style="351" customWidth="1"/>
    <col min="6" max="6" width="32.5703125" style="351" customWidth="1"/>
    <col min="7" max="7" width="23.140625" style="351" hidden="1" customWidth="1"/>
    <col min="8" max="8" width="26.28515625" style="351" customWidth="1"/>
    <col min="9" max="9" width="16.85546875" style="351" customWidth="1"/>
    <col min="10" max="10" width="14.140625" style="351" customWidth="1"/>
    <col min="11" max="11" width="24.28515625" style="351" bestFit="1" customWidth="1"/>
    <col min="12" max="13" width="14.140625" style="351" customWidth="1"/>
    <col min="14" max="14" width="21.42578125" style="351" customWidth="1"/>
    <col min="15" max="15" width="12.28515625" style="351" customWidth="1"/>
    <col min="16" max="17" width="23.140625" style="351" customWidth="1"/>
    <col min="18" max="18" width="15" style="351" customWidth="1"/>
    <col min="19" max="19" width="26.85546875" style="351" customWidth="1"/>
    <col min="20" max="20" width="13.7109375" style="351" customWidth="1"/>
    <col min="21" max="21" width="23.42578125" style="351" hidden="1" customWidth="1"/>
    <col min="22" max="22" width="21.42578125" style="351" hidden="1" customWidth="1"/>
    <col min="23" max="23" width="8.42578125" style="351" hidden="1" customWidth="1"/>
    <col min="24" max="24" width="22.140625" style="351" hidden="1" customWidth="1"/>
    <col min="25" max="25" width="13.42578125" style="351" hidden="1" customWidth="1"/>
    <col min="26" max="26" width="32.140625" style="351" hidden="1" customWidth="1"/>
    <col min="27" max="28" width="27.42578125" style="351" hidden="1" customWidth="1"/>
    <col min="29" max="29" width="20.42578125" style="351" hidden="1" customWidth="1"/>
    <col min="30" max="33" width="21.42578125" style="351" hidden="1" customWidth="1"/>
    <col min="34" max="34" width="7.5703125" style="351" hidden="1" customWidth="1"/>
    <col min="35" max="37" width="9.140625" style="351" hidden="1" customWidth="1"/>
    <col min="38" max="45" width="11.85546875" style="351" hidden="1" customWidth="1"/>
    <col min="46" max="48" width="9.140625" style="351" hidden="1" customWidth="1"/>
    <col min="49" max="49" width="10.140625" style="351" hidden="1" customWidth="1"/>
    <col min="50" max="50" width="16.7109375" style="351" hidden="1" customWidth="1"/>
    <col min="51" max="51" width="8.85546875" style="351" hidden="1" customWidth="1"/>
    <col min="52" max="52" width="11.85546875" style="351" hidden="1" customWidth="1"/>
    <col min="53" max="53" width="17.7109375" style="351" hidden="1" customWidth="1"/>
    <col min="54" max="64" width="9.140625" style="351" hidden="1" customWidth="1"/>
    <col min="65" max="65" width="10.7109375" style="351" hidden="1" customWidth="1"/>
    <col min="66" max="104" width="9.140625" style="351" hidden="1" customWidth="1"/>
    <col min="105" max="214" width="9.140625" style="351" customWidth="1"/>
    <col min="215" max="16384" width="9.140625" style="351"/>
  </cols>
  <sheetData>
    <row r="1" spans="1:79" ht="35.25" customHeight="1" thickBot="1" x14ac:dyDescent="0.3">
      <c r="C1" s="400"/>
      <c r="D1" s="400"/>
      <c r="E1" s="399" t="s">
        <v>154</v>
      </c>
      <c r="F1" s="352" t="str">
        <f ca="1">MID(CELL("filename",AK2),FIND("]",CELL("filename",AK2),1)+1,99)</f>
        <v>40</v>
      </c>
      <c r="G1" s="353"/>
      <c r="H1" s="353"/>
      <c r="I1" s="369" t="s">
        <v>321</v>
      </c>
      <c r="K1" s="369" t="s">
        <v>322</v>
      </c>
      <c r="L1" s="369" t="s">
        <v>311</v>
      </c>
      <c r="M1" s="369" t="s">
        <v>312</v>
      </c>
      <c r="N1" s="369" t="s">
        <v>313</v>
      </c>
      <c r="O1" s="369" t="s">
        <v>314</v>
      </c>
      <c r="P1" s="369" t="s">
        <v>315</v>
      </c>
      <c r="Q1" s="369" t="s">
        <v>317</v>
      </c>
      <c r="R1" s="369" t="s">
        <v>406</v>
      </c>
      <c r="S1" s="354" t="s">
        <v>323</v>
      </c>
      <c r="T1" s="389" t="e">
        <f ca="1">INDEX('תנאי סף'!$A$11:$A$50,MATCH(F1,'תנאי סף'!$B$11:$B$50,0))</f>
        <v>#N/A</v>
      </c>
      <c r="U1" s="353"/>
      <c r="V1" s="353"/>
      <c r="W1" s="353"/>
      <c r="X1" s="353"/>
      <c r="Y1" s="353"/>
      <c r="Z1" s="353"/>
      <c r="AD1" s="355"/>
      <c r="AE1" s="355"/>
      <c r="AF1" s="355"/>
      <c r="AG1" s="356"/>
      <c r="AJ1" s="351" t="s">
        <v>86</v>
      </c>
      <c r="AL1" s="357" t="s">
        <v>300</v>
      </c>
      <c r="AM1" s="357"/>
      <c r="AN1" s="357" t="s">
        <v>200</v>
      </c>
      <c r="AO1" s="358" t="s">
        <v>301</v>
      </c>
      <c r="AP1" s="358" t="s">
        <v>302</v>
      </c>
      <c r="AQ1" s="358" t="s">
        <v>147</v>
      </c>
      <c r="AR1" s="358" t="s">
        <v>275</v>
      </c>
      <c r="AS1" s="358" t="s">
        <v>303</v>
      </c>
      <c r="AT1" s="358" t="s">
        <v>304</v>
      </c>
      <c r="AU1" s="358" t="s">
        <v>305</v>
      </c>
      <c r="AV1" s="358" t="s">
        <v>306</v>
      </c>
      <c r="AW1" s="358" t="s">
        <v>324</v>
      </c>
    </row>
    <row r="2" spans="1:79" ht="38.25" thickBot="1" x14ac:dyDescent="0.3">
      <c r="E2" s="359" t="s">
        <v>325</v>
      </c>
      <c r="F2" s="395">
        <f>IF(AND(T45&gt;=$H$6,I2&gt;=$H$9),1,0)</f>
        <v>0</v>
      </c>
      <c r="I2" s="409">
        <f>IFERROR(J45/I45,0)</f>
        <v>0</v>
      </c>
      <c r="K2" s="369" t="s">
        <v>326</v>
      </c>
      <c r="L2" s="401" cm="1">
        <f t="array" ref="L2">SUMPRODUCT(--($H$15:$H$44&lt;פרמטרים!$B$9)*($H$15:$H$44&gt;=פרמטרים!$B$8),$T$15:$T$44)</f>
        <v>0</v>
      </c>
      <c r="M2" s="401" cm="1">
        <f t="array" ref="M2">SUMPRODUCT(--($H$15:$H$44&lt;פרמטרים!$B$10)*($H$15:$H$44&gt;=פרמטרים!$B$8),$T$15:$T$44)-SUM($L$2:L2)</f>
        <v>0</v>
      </c>
      <c r="N2" s="401" cm="1">
        <f t="array" ref="N2">SUMPRODUCT(--($H$15:$H$44&lt;פרמטרים!$B$11)*($H$15:$H$44&gt;=פרמטרים!$B$8),$T$15:$T$44)-SUM($L$2:M2)</f>
        <v>0</v>
      </c>
      <c r="O2" s="401" cm="1">
        <f t="array" ref="O2">SUMPRODUCT(--($H$15:$H$44&lt;פרמטרים!$B$12)*($H$15:$H$44&gt;=פרמטרים!$B$8),$T$15:$T$44)-SUM($L$2:N2)</f>
        <v>0</v>
      </c>
      <c r="P2" s="401" cm="1">
        <f t="array" ref="P2">SUMPRODUCT(--($H$15:$H$44&gt;=פרמטרים!$B$12),$T$15:$T$44)</f>
        <v>0</v>
      </c>
      <c r="Q2" s="401"/>
      <c r="R2" s="515" cm="1">
        <f t="array" ref="R2">SUMPRODUCT(L2:P2,TRANSPOSE('היקף החוברות'!D4:D8))</f>
        <v>0</v>
      </c>
      <c r="S2" s="388" t="str">
        <f>פרמטרים!B1</f>
        <v>שנת התקציב</v>
      </c>
      <c r="T2" s="362">
        <f>פרמטרים!C1</f>
        <v>2025</v>
      </c>
      <c r="AG2" s="355"/>
      <c r="AN2" s="351">
        <f>IF(ISNA(MATCH(G15,$AJ$14:$AK$14,0)),0,1)</f>
        <v>1</v>
      </c>
      <c r="AO2" s="351">
        <f>IF(IFERROR(G15*1,"bad")="bad",0,1)</f>
        <v>1</v>
      </c>
      <c r="AP2" s="351">
        <f>IF(IFERROR(IF(G15=TRUNC(G15),1,"bad"),"bad")="bad",0,1)</f>
        <v>1</v>
      </c>
      <c r="AQ2" s="351">
        <f>IF(AND(IF(IFERROR(G15*1,"bad")="bad",0,1)=1,G15&gt;=0),1,0)</f>
        <v>1</v>
      </c>
      <c r="AR2" s="351">
        <f>IF(AND(IF(IFERROR(IF(G15=TRUNC(G15),1,"bad"),"bad")="bad",0,1)=1,G15&gt;=0),1,0)</f>
        <v>1</v>
      </c>
      <c r="AS2" s="351">
        <f>IF(AND(IF(IFERROR(G15*1,"bad")="bad",0,1)=1,G15&gt;0),1,0)</f>
        <v>0</v>
      </c>
      <c r="AT2" s="351">
        <f>IF(AND(IF(IFERROR(IF(G15=TRUNC(G15),1,"bad"),"bad")="bad",0,1)=1,G15&gt;0),1,0)</f>
        <v>0</v>
      </c>
      <c r="AU2" s="351">
        <v>1</v>
      </c>
      <c r="AV2" s="351">
        <f>IF(IFERROR(HLOOKUP(G15,$BQ$14:$BY$14,1,0),"bad")="bad",0,1)</f>
        <v>1</v>
      </c>
      <c r="CA2" s="351">
        <v>1</v>
      </c>
    </row>
    <row r="3" spans="1:79" ht="32.25" thickBot="1" x14ac:dyDescent="0.3">
      <c r="K3" s="369" t="s">
        <v>327</v>
      </c>
      <c r="L3" s="401" cm="1">
        <f t="array" ref="L3">SUMPRODUCT(--($H$15:$H$44&lt;פרמטרים!$B$9)*($P$15:$P$44&gt;=פרמטרים!$B$13)*(($L$15:$L$44+$M$15:$M$44)&gt;=פרמטרים!$B$45),$T$15:$T$44)</f>
        <v>0</v>
      </c>
      <c r="M3" s="401" cm="1">
        <f t="array" ref="M3">SUMPRODUCT(--($H$15:$H$44&lt;פרמטרים!$B$10)*($P$15:$P$44&gt;=פרמטרים!$B$13)*(($L$15:$L$44+$M$15:$M$44)&gt;=פרמטרים!$B$45),$T$15:$T$44)-SUM($L$3:L3)</f>
        <v>0</v>
      </c>
      <c r="N3" s="401" cm="1">
        <f t="array" ref="N3">SUMPRODUCT(--($H$15:$H$44&lt;פרמטרים!$B$11)*($P$15:$P$44&gt;=פרמטרים!$B$13)*(($L$15:$L$44+$M$15:$M$44)&gt;=פרמטרים!$B$45),$T$15:$T$44)-SUM($L$3:M3)</f>
        <v>0</v>
      </c>
      <c r="O3" s="401" cm="1">
        <f t="array" ref="O3">SUMPRODUCT(--($H$15:$H$44&lt;פרמטרים!$B$12)*($P$15:$P$44&gt;=פרמטרים!$B$13)*(($L$15:$L$44+$M$15:$M$44)&gt;=פרמטרים!$B$45),$T$15:$T$44)-SUM($L$3:N3)</f>
        <v>0</v>
      </c>
      <c r="P3" s="401" cm="1">
        <f t="array" ref="P3">SUMPRODUCT(--($H$15:$H$44&gt;=פרמטרים!$B$12)*($P$15:$P$44&gt;=פרמטרים!$B$13)*(($L$15:$L$44+$M$15:$M$44)&gt;=פרמטרים!$B$45),$T$15:$T$44)</f>
        <v>0</v>
      </c>
      <c r="Q3" s="401" cm="1">
        <f t="array" ref="Q3">SUMPRODUCT(--($Q$15:$Q$44=1),$T$15:$T$44)</f>
        <v>0</v>
      </c>
      <c r="S3" s="359" t="str">
        <f>פרמטרים!B2</f>
        <v>תקציב</v>
      </c>
      <c r="T3" s="390">
        <f>פרמטרים!C2</f>
        <v>1906914</v>
      </c>
      <c r="AG3" s="355"/>
      <c r="AK3" s="351">
        <f>IF(G$14="",1,IF(G15="",0,IF(G$14=$AN$1,11,IF(G$14=$AO$1,12,IF(G$14=$AEU1,13,IF(G$14=$AQ$1,14,IF(G$14=$AR$1,15,IF(G$14=$AS$1,16,IF(G$14=$AT$1,17,IF(G$14=$AU$1,18,IF(G$14=$AV$1,19,0)))))))))))</f>
        <v>1</v>
      </c>
      <c r="AL3" s="351" t="s">
        <v>307</v>
      </c>
      <c r="AN3" s="351">
        <v>1</v>
      </c>
      <c r="AO3" s="351">
        <v>2</v>
      </c>
      <c r="AP3" s="351">
        <v>3</v>
      </c>
      <c r="AQ3" s="351">
        <v>4</v>
      </c>
      <c r="AR3" s="351">
        <v>5</v>
      </c>
      <c r="AS3" s="351">
        <v>6</v>
      </c>
      <c r="AT3" s="351">
        <v>7</v>
      </c>
      <c r="AU3" s="351">
        <v>8</v>
      </c>
      <c r="AV3" s="351">
        <v>9</v>
      </c>
      <c r="CA3" s="351">
        <v>2</v>
      </c>
    </row>
    <row r="4" spans="1:79" ht="18.75" thickBot="1" x14ac:dyDescent="0.3">
      <c r="F4" s="730" t="str">
        <f>פרמטרים!A41</f>
        <v>פרמטרים להגדרת כתב עת</v>
      </c>
      <c r="G4" s="731"/>
      <c r="H4" s="732"/>
      <c r="AL4" s="351" t="s">
        <v>308</v>
      </c>
      <c r="AN4" s="357" t="s">
        <v>130</v>
      </c>
      <c r="AO4" s="358" t="s">
        <v>328</v>
      </c>
      <c r="AP4" s="358"/>
      <c r="AQ4" s="358"/>
      <c r="AR4" s="358"/>
      <c r="AS4" s="358"/>
      <c r="AT4" s="358"/>
      <c r="AU4" s="358"/>
      <c r="AV4" s="358"/>
      <c r="AW4" s="360"/>
      <c r="CA4" s="351">
        <v>3</v>
      </c>
    </row>
    <row r="5" spans="1:79" ht="31.5" x14ac:dyDescent="0.25">
      <c r="F5" s="392" t="str">
        <f>פרמטרים!A42</f>
        <v>סעיף</v>
      </c>
      <c r="H5" s="393" t="str">
        <f>פרמטרים!B42</f>
        <v>התנאי</v>
      </c>
      <c r="K5" s="369" t="s">
        <v>329</v>
      </c>
      <c r="L5" s="369" t="s">
        <v>316</v>
      </c>
    </row>
    <row r="6" spans="1:79" ht="31.5" x14ac:dyDescent="0.25">
      <c r="F6" s="394" t="str">
        <f>פרמטרים!A43</f>
        <v>מס' חוברות שיצאו לאור הינו לפחות:</v>
      </c>
      <c r="H6" s="396">
        <f>פרמטרים!B43</f>
        <v>2</v>
      </c>
      <c r="K6" s="369" t="s">
        <v>326</v>
      </c>
      <c r="L6" s="401">
        <f>SUM($AO$15:$AO$44)-SUM($L$2:$P$2)</f>
        <v>0</v>
      </c>
    </row>
    <row r="7" spans="1:79" x14ac:dyDescent="0.25">
      <c r="F7" s="394" t="str">
        <f>פרמטרים!A44</f>
        <v>מס' עמודים בכל חוברת הינו לפחות:</v>
      </c>
      <c r="H7" s="396">
        <f>פרמטרים!B44</f>
        <v>32</v>
      </c>
    </row>
    <row r="8" spans="1:79" ht="78.75" x14ac:dyDescent="0.25">
      <c r="F8" s="394" t="str">
        <f>פרמטרים!A45</f>
        <v>מס' עותקים של כל אחת מהחוברות לגביהן מבוקשת תמיכה אשר נמכרה לציבור, או הופצה לחנויות ולמנויים הינו לפחות:</v>
      </c>
      <c r="H8" s="396">
        <f>פרמטרים!B45</f>
        <v>200</v>
      </c>
      <c r="Q8" s="369" t="s">
        <v>330</v>
      </c>
      <c r="R8" s="369" t="s">
        <v>331</v>
      </c>
      <c r="S8" s="371" t="s">
        <v>332</v>
      </c>
      <c r="T8" s="371" t="s">
        <v>333</v>
      </c>
    </row>
    <row r="9" spans="1:79" ht="19.5" customHeight="1" x14ac:dyDescent="0.25">
      <c r="F9" s="394" t="str">
        <f>פרמטרים!A46</f>
        <v>שעור התכנים הנכללים בכלל החוברות לגביהן מבוקשת התמיכה, הם יצירה מקורית שלא פורסמה קודם לכן בכל מסגרת אחרת, בשפה העברית או בשפה אחרת שאושרה על ידי המדור הינו לפחות:</v>
      </c>
      <c r="H9" s="397">
        <f>פרמטרים!B46</f>
        <v>0.7</v>
      </c>
      <c r="Q9" s="401">
        <f>COUNTIF($O$15:$O$44,"&gt;="&amp;פרמטרים!$B$45)</f>
        <v>0</v>
      </c>
      <c r="R9" s="401">
        <f>COUNTIF(R$15:$R$44,"=1")</f>
        <v>0</v>
      </c>
      <c r="S9" s="401">
        <f>COUNTIF($S$15:$S$44,"=1")</f>
        <v>0</v>
      </c>
      <c r="T9" s="401">
        <f>COUNTIF($T$15:$T$44,"=1")</f>
        <v>0</v>
      </c>
      <c r="AD9" s="361"/>
      <c r="AE9" s="361"/>
      <c r="AF9" s="361"/>
      <c r="CA9" s="351">
        <v>4</v>
      </c>
    </row>
    <row r="10" spans="1:79" ht="46.15" customHeight="1" x14ac:dyDescent="0.25">
      <c r="F10" s="733" t="str">
        <f>פרמטרים!A47</f>
        <v>מרבית התכנים בכל חוברת עוסקים בעשייה האמנותית והמקצועית באחד או יותר מהתחומים הנתמכים על ידי מינהל התרבות, בהתאם למחלקות השונות, ולרבות בתחום מחקר ומורשת</v>
      </c>
      <c r="G10" s="734"/>
      <c r="H10" s="735"/>
      <c r="AF10" s="356"/>
      <c r="CA10" s="351">
        <v>5</v>
      </c>
    </row>
    <row r="11" spans="1:79" ht="15" customHeight="1" thickBot="1" x14ac:dyDescent="0.3">
      <c r="F11" s="736" t="str">
        <f>פרמטרים!A48</f>
        <v>החוברות הינן בעלות רמה אמנותית נאותה ורמה הפקתית נאותה</v>
      </c>
      <c r="G11" s="737"/>
      <c r="H11" s="738"/>
      <c r="AT11" s="363" t="s">
        <v>334</v>
      </c>
      <c r="AU11" s="363"/>
      <c r="AV11" s="363" t="s">
        <v>335</v>
      </c>
      <c r="AW11" s="363" t="s">
        <v>336</v>
      </c>
      <c r="AX11" s="363" t="s">
        <v>337</v>
      </c>
      <c r="AY11" s="363" t="s">
        <v>338</v>
      </c>
      <c r="AZ11" s="363" t="s">
        <v>339</v>
      </c>
      <c r="BA11" s="363" t="s">
        <v>340</v>
      </c>
      <c r="BB11" s="363" t="s">
        <v>341</v>
      </c>
      <c r="BC11" s="363" t="s">
        <v>342</v>
      </c>
      <c r="BD11" s="363" t="s">
        <v>343</v>
      </c>
      <c r="BE11" s="363" t="s">
        <v>344</v>
      </c>
      <c r="BF11" s="363" t="s">
        <v>345</v>
      </c>
      <c r="BG11" s="363" t="s">
        <v>346</v>
      </c>
      <c r="BH11" s="363" t="s">
        <v>347</v>
      </c>
      <c r="BI11" s="363" t="s">
        <v>348</v>
      </c>
      <c r="BJ11" s="363" t="s">
        <v>349</v>
      </c>
      <c r="BK11" s="363" t="s">
        <v>350</v>
      </c>
      <c r="BL11" s="363" t="s">
        <v>351</v>
      </c>
      <c r="BM11" s="363"/>
      <c r="CA11" s="351">
        <v>7</v>
      </c>
    </row>
    <row r="12" spans="1:79" ht="15.75" customHeight="1" thickBot="1" x14ac:dyDescent="0.3">
      <c r="B12" s="363"/>
      <c r="C12" s="363"/>
      <c r="D12" s="363"/>
      <c r="E12" s="363"/>
      <c r="F12" s="363"/>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I12" s="364">
        <f>IF(SUM(AI15:AI44)=COUNT(AI15:AI44),1,0)</f>
        <v>0</v>
      </c>
      <c r="AL12" s="365" t="s">
        <v>352</v>
      </c>
      <c r="AM12" s="366"/>
      <c r="AN12" s="366"/>
      <c r="AO12" s="366"/>
      <c r="AP12" s="366"/>
      <c r="AQ12" s="366"/>
      <c r="AR12" s="366"/>
      <c r="AS12" s="366"/>
      <c r="AT12" s="367"/>
      <c r="AU12" s="363"/>
      <c r="AV12" s="363"/>
      <c r="AW12" s="363"/>
      <c r="AX12" s="363"/>
      <c r="AY12" s="363"/>
      <c r="AZ12" s="363"/>
      <c r="BA12" s="363"/>
      <c r="BB12" s="363"/>
      <c r="BC12" s="363"/>
      <c r="BD12" s="363"/>
      <c r="BE12" s="363"/>
      <c r="BF12" s="363"/>
      <c r="BG12" s="363"/>
      <c r="BH12" s="363"/>
      <c r="BI12" s="363"/>
      <c r="BJ12" s="363"/>
      <c r="BK12" s="363"/>
      <c r="BL12" s="363"/>
      <c r="BM12" s="363"/>
    </row>
    <row r="13" spans="1:79" ht="78.75" x14ac:dyDescent="0.25">
      <c r="A13" s="368">
        <v>100</v>
      </c>
      <c r="B13" s="726" t="s">
        <v>310</v>
      </c>
      <c r="C13" s="728">
        <f>COLUMN()</f>
        <v>3</v>
      </c>
      <c r="D13" s="728">
        <f>COLUMN()</f>
        <v>4</v>
      </c>
      <c r="E13" s="369" t="s">
        <v>353</v>
      </c>
      <c r="F13" s="369" t="s">
        <v>354</v>
      </c>
      <c r="G13" s="370"/>
      <c r="H13" s="369" t="s">
        <v>355</v>
      </c>
      <c r="I13" s="369" t="s">
        <v>356</v>
      </c>
      <c r="J13" s="369" t="s">
        <v>357</v>
      </c>
      <c r="K13" s="726" t="s">
        <v>358</v>
      </c>
      <c r="L13" s="369" t="s">
        <v>359</v>
      </c>
      <c r="M13" s="369" t="s">
        <v>360</v>
      </c>
      <c r="N13" s="369" t="s">
        <v>361</v>
      </c>
      <c r="O13" s="726" t="s">
        <v>362</v>
      </c>
      <c r="P13" s="369" t="s">
        <v>363</v>
      </c>
      <c r="Q13" s="369" t="s">
        <v>364</v>
      </c>
      <c r="R13" s="369" t="s">
        <v>331</v>
      </c>
      <c r="S13" s="371" t="s">
        <v>332</v>
      </c>
      <c r="T13" s="726" t="s">
        <v>333</v>
      </c>
      <c r="U13" s="369">
        <f>N4</f>
        <v>0</v>
      </c>
      <c r="V13" s="369">
        <f>N9</f>
        <v>0</v>
      </c>
      <c r="W13" s="726"/>
      <c r="X13" s="369"/>
      <c r="Y13" s="726"/>
      <c r="Z13" s="369"/>
      <c r="AA13" s="372"/>
      <c r="AB13" s="373"/>
      <c r="AC13" s="726"/>
      <c r="AD13" s="728"/>
      <c r="AE13" s="728"/>
      <c r="AF13" s="728"/>
      <c r="AG13" s="728"/>
      <c r="AI13" s="374" t="s">
        <v>320</v>
      </c>
      <c r="AL13" s="363" t="str">
        <f>"בקרת "&amp;E13</f>
        <v>בקרת מועד הוצאה לאור של החוברת</v>
      </c>
      <c r="AM13" s="363" t="str">
        <f t="shared" ref="AM13:BG13" si="0">"בקרת "&amp;F13</f>
        <v>בקרת שם החוברת</v>
      </c>
      <c r="AN13" s="363" t="str">
        <f t="shared" si="0"/>
        <v xml:space="preserve">בקרת </v>
      </c>
      <c r="AO13" s="363" t="str">
        <f t="shared" si="0"/>
        <v>בקרת מס' עמודי תוכן בחוברת</v>
      </c>
      <c r="AP13" s="363" t="str">
        <f t="shared" si="0"/>
        <v>בקרת מס' פרסומים</v>
      </c>
      <c r="AQ13" s="363" t="str">
        <f t="shared" si="0"/>
        <v>בקרת פרסום ראשון</v>
      </c>
      <c r="AR13" s="363" t="str">
        <f t="shared" si="0"/>
        <v>בקרת שעור יצירה מקורית</v>
      </c>
      <c r="AS13" s="363" t="str">
        <f t="shared" si="0"/>
        <v>בקרת מס' עותקים שנמכרו למנויים</v>
      </c>
      <c r="AT13" s="363" t="str">
        <f t="shared" si="0"/>
        <v>בקרת מס' עותקים שנמכרו במכירה חופשית</v>
      </c>
      <c r="AU13" s="363" t="str">
        <f t="shared" si="0"/>
        <v>בקרת מס' עותקים שהופצו בלא תשלום</v>
      </c>
      <c r="AV13" s="363" t="str">
        <f t="shared" si="0"/>
        <v>בקרת סה"כ מספר עותקים</v>
      </c>
      <c r="AW13" s="363" t="str">
        <f t="shared" si="0"/>
        <v>בקרת מחיר חוברת</v>
      </c>
      <c r="AX13" s="363" t="str">
        <f t="shared" si="0"/>
        <v>בקרת האם לפחות 60% מהתכנים הנכללים בחוברת הוצגו באינטרנט ייעודי לכתב העת שהינו בחינם לכלל הציבור</v>
      </c>
      <c r="AY13" s="363" t="str">
        <f t="shared" si="0"/>
        <v>בקרת הרמה האמנותית וההפקתית של החוברת היא נאותה</v>
      </c>
      <c r="AZ13" s="363" t="str">
        <f t="shared" si="0"/>
        <v>בקרת מרבית התכנים בחוברת עוסקים בעשייה אומנותית ומקצועית לרבות בתחום מחקר ומורשת, בתחומים הנתמכים על ידי מנהל תרבות</v>
      </c>
      <c r="BA13" s="363" t="str">
        <f t="shared" si="0"/>
        <v>בקרת החוברת עונה על הגדרת כתב עת</v>
      </c>
      <c r="BB13" s="363" t="str">
        <f t="shared" si="0"/>
        <v>בקרת 0</v>
      </c>
      <c r="BC13" s="363" t="str">
        <f t="shared" si="0"/>
        <v>בקרת 0</v>
      </c>
      <c r="BD13" s="363" t="str">
        <f t="shared" si="0"/>
        <v xml:space="preserve">בקרת </v>
      </c>
      <c r="BE13" s="363" t="str">
        <f t="shared" si="0"/>
        <v xml:space="preserve">בקרת </v>
      </c>
      <c r="BF13" s="363" t="str">
        <f t="shared" si="0"/>
        <v xml:space="preserve">בקרת </v>
      </c>
      <c r="BG13" s="363" t="str">
        <f t="shared" si="0"/>
        <v xml:space="preserve">בקרת </v>
      </c>
      <c r="BH13" s="363" t="str">
        <f>"בקרת "&amp;AC13</f>
        <v xml:space="preserve">בקרת </v>
      </c>
      <c r="BI13" s="363" t="str">
        <f t="shared" ref="BI13:BL13" si="1">"בקרת "&amp;AD13</f>
        <v xml:space="preserve">בקרת </v>
      </c>
      <c r="BJ13" s="363" t="str">
        <f t="shared" si="1"/>
        <v xml:space="preserve">בקרת </v>
      </c>
      <c r="BK13" s="363" t="str">
        <f t="shared" si="1"/>
        <v xml:space="preserve">בקרת </v>
      </c>
      <c r="BL13" s="363" t="str">
        <f t="shared" si="1"/>
        <v xml:space="preserve">בקרת </v>
      </c>
      <c r="BM13" s="363"/>
      <c r="BQ13" s="351" t="s">
        <v>308</v>
      </c>
    </row>
    <row r="14" spans="1:79" ht="15" customHeight="1" thickBot="1" x14ac:dyDescent="0.3">
      <c r="A14" s="375"/>
      <c r="B14" s="727"/>
      <c r="C14" s="729"/>
      <c r="D14" s="729"/>
      <c r="E14" s="376" t="s">
        <v>324</v>
      </c>
      <c r="F14" s="369" t="s">
        <v>305</v>
      </c>
      <c r="G14" s="376"/>
      <c r="H14" s="376" t="s">
        <v>304</v>
      </c>
      <c r="I14" s="376" t="s">
        <v>304</v>
      </c>
      <c r="J14" s="376" t="s">
        <v>304</v>
      </c>
      <c r="K14" s="727"/>
      <c r="L14" s="376" t="s">
        <v>304</v>
      </c>
      <c r="M14" s="376" t="s">
        <v>304</v>
      </c>
      <c r="N14" s="376" t="s">
        <v>304</v>
      </c>
      <c r="O14" s="727"/>
      <c r="P14" s="376" t="s">
        <v>303</v>
      </c>
      <c r="Q14" s="376" t="s">
        <v>200</v>
      </c>
      <c r="R14" s="376" t="s">
        <v>200</v>
      </c>
      <c r="S14" s="377" t="s">
        <v>200</v>
      </c>
      <c r="T14" s="727"/>
      <c r="U14" s="376" t="s">
        <v>200</v>
      </c>
      <c r="V14" s="376" t="s">
        <v>200</v>
      </c>
      <c r="W14" s="727"/>
      <c r="X14" s="376"/>
      <c r="Y14" s="727"/>
      <c r="Z14" s="376"/>
      <c r="AA14" s="376"/>
      <c r="AB14" s="378"/>
      <c r="AC14" s="727"/>
      <c r="AD14" s="729"/>
      <c r="AE14" s="729"/>
      <c r="AF14" s="729"/>
      <c r="AG14" s="729"/>
      <c r="AJ14" s="351">
        <v>0</v>
      </c>
      <c r="AK14" s="351">
        <v>1</v>
      </c>
      <c r="AL14" s="363" t="str">
        <f>E14</f>
        <v>תאריך</v>
      </c>
      <c r="AM14" s="363" t="str">
        <f t="shared" ref="AM14:BG14" si="2">F14</f>
        <v>טקסט</v>
      </c>
      <c r="AN14" s="363">
        <f t="shared" si="2"/>
        <v>0</v>
      </c>
      <c r="AO14" s="363" t="str">
        <f t="shared" si="2"/>
        <v>מספר שלם חיובי</v>
      </c>
      <c r="AP14" s="363" t="str">
        <f t="shared" si="2"/>
        <v>מספר שלם חיובי</v>
      </c>
      <c r="AQ14" s="363" t="str">
        <f t="shared" si="2"/>
        <v>מספר שלם חיובי</v>
      </c>
      <c r="AR14" s="363">
        <f t="shared" si="2"/>
        <v>0</v>
      </c>
      <c r="AS14" s="363" t="str">
        <f t="shared" si="2"/>
        <v>מספר שלם חיובי</v>
      </c>
      <c r="AT14" s="363" t="str">
        <f t="shared" si="2"/>
        <v>מספר שלם חיובי</v>
      </c>
      <c r="AU14" s="363" t="str">
        <f t="shared" si="2"/>
        <v>מספר שלם חיובי</v>
      </c>
      <c r="AV14" s="363">
        <f t="shared" si="2"/>
        <v>0</v>
      </c>
      <c r="AW14" s="363" t="str">
        <f t="shared" si="2"/>
        <v>מספר חיובי</v>
      </c>
      <c r="AX14" s="363" t="str">
        <f t="shared" si="2"/>
        <v>0/1</v>
      </c>
      <c r="AY14" s="363" t="str">
        <f t="shared" si="2"/>
        <v>0/1</v>
      </c>
      <c r="AZ14" s="363" t="str">
        <f t="shared" si="2"/>
        <v>0/1</v>
      </c>
      <c r="BA14" s="363">
        <f t="shared" si="2"/>
        <v>0</v>
      </c>
      <c r="BB14" s="363" t="str">
        <f t="shared" si="2"/>
        <v>0/1</v>
      </c>
      <c r="BC14" s="363" t="str">
        <f t="shared" si="2"/>
        <v>0/1</v>
      </c>
      <c r="BD14" s="363">
        <f t="shared" si="2"/>
        <v>0</v>
      </c>
      <c r="BE14" s="363">
        <f t="shared" si="2"/>
        <v>0</v>
      </c>
      <c r="BF14" s="363">
        <f t="shared" si="2"/>
        <v>0</v>
      </c>
      <c r="BG14" s="363">
        <f t="shared" si="2"/>
        <v>0</v>
      </c>
      <c r="BH14" s="363">
        <f>AC14</f>
        <v>0</v>
      </c>
      <c r="BI14" s="363">
        <f t="shared" ref="BI14:BL14" si="3">AD14</f>
        <v>0</v>
      </c>
      <c r="BJ14" s="363">
        <f t="shared" si="3"/>
        <v>0</v>
      </c>
      <c r="BK14" s="363">
        <f t="shared" si="3"/>
        <v>0</v>
      </c>
      <c r="BL14" s="363">
        <f t="shared" si="3"/>
        <v>0</v>
      </c>
      <c r="BM14" s="363"/>
      <c r="BQ14" s="351" t="str">
        <f>AN$4</f>
        <v>נאותה</v>
      </c>
      <c r="BR14" s="351" t="str">
        <f>AO$4</f>
        <v>לא נאותה</v>
      </c>
      <c r="BS14" s="351">
        <f>AP$4</f>
        <v>0</v>
      </c>
      <c r="BT14" s="351">
        <f>AQ$4</f>
        <v>0</v>
      </c>
      <c r="BU14" s="351">
        <f>AR$4</f>
        <v>0</v>
      </c>
    </row>
    <row r="15" spans="1:79" x14ac:dyDescent="0.25">
      <c r="A15" s="379"/>
      <c r="B15" s="379" t="str">
        <f>IF(E15="","",ROW()-14)</f>
        <v/>
      </c>
      <c r="C15" s="380"/>
      <c r="D15" s="380"/>
      <c r="E15" s="381"/>
      <c r="F15" s="385"/>
      <c r="G15" s="382"/>
      <c r="H15" s="383"/>
      <c r="I15" s="383"/>
      <c r="J15" s="383"/>
      <c r="K15" s="398" t="str">
        <f>IFERROR(J15/I15,"")</f>
        <v/>
      </c>
      <c r="L15" s="383"/>
      <c r="M15" s="383"/>
      <c r="N15" s="383"/>
      <c r="O15" s="379" t="str">
        <f>IF(E15="","",L15+M15+N15)</f>
        <v/>
      </c>
      <c r="P15" s="383"/>
      <c r="Q15" s="382"/>
      <c r="R15" s="382"/>
      <c r="S15" s="382"/>
      <c r="T15" s="379" t="str">
        <f>IF(E15="","",IF(AI15&lt;&gt;1,$AJ$1,IF(AND(S15=1,R15=1,OR(H15&gt;=פרמטרים!$B$8,INDEX('תנאי סף'!$AF$11:$AF$50,MATCH($T$1,'תנאי סף'!$A$11:$A$50,0))),OR(O15&gt;=$H$8,INDEX('תנאי סף'!$AC$11:$AC$50,MATCH($T$1,'תנאי סף'!$A$11:$A$50,0))),INDEX('תנאי סף'!$AI$11:$AI$50,MATCH($T$1,'תנאי סף'!$A$11:$A$50,0)),COUNTA($E$15:$E$44)&gt;=$H$6),1,0)))</f>
        <v/>
      </c>
      <c r="U15" s="382">
        <v>1</v>
      </c>
      <c r="V15" s="382">
        <v>0</v>
      </c>
      <c r="W15" s="379"/>
      <c r="X15" s="382"/>
      <c r="Y15" s="379"/>
      <c r="Z15" s="385"/>
      <c r="AA15" s="385"/>
      <c r="AB15" s="382"/>
      <c r="AC15" s="384"/>
      <c r="AD15" s="386"/>
      <c r="AE15" s="386"/>
      <c r="AF15" s="386"/>
      <c r="AG15" s="386"/>
      <c r="AI15" s="351">
        <f>IF(SUM(AL15:BL15)=COUNT(AL15:BL15),1,0)</f>
        <v>0</v>
      </c>
      <c r="AJ15" s="351" t="str">
        <f>IF($E15="","",AJ$14)</f>
        <v/>
      </c>
      <c r="AK15" s="351" t="str">
        <f>IF($E15="","",AK$14)</f>
        <v/>
      </c>
      <c r="AL15" s="363">
        <f>IF(E$14="",1,IF(E15="",0,IF(ISNA(E15),0,1)))</f>
        <v>0</v>
      </c>
      <c r="AM15" s="363">
        <f t="shared" ref="AM15:BB30" si="4">IF(F$14="",1,IF(F15="",0,IF(ISNA(F15),0,1)))</f>
        <v>0</v>
      </c>
      <c r="AN15" s="363">
        <f t="shared" si="4"/>
        <v>1</v>
      </c>
      <c r="AO15" s="363">
        <f t="shared" si="4"/>
        <v>0</v>
      </c>
      <c r="AP15" s="363">
        <f t="shared" si="4"/>
        <v>0</v>
      </c>
      <c r="AQ15" s="363">
        <f t="shared" si="4"/>
        <v>0</v>
      </c>
      <c r="AR15" s="363">
        <f t="shared" si="4"/>
        <v>1</v>
      </c>
      <c r="AS15" s="363">
        <f t="shared" si="4"/>
        <v>0</v>
      </c>
      <c r="AT15" s="363">
        <f t="shared" si="4"/>
        <v>0</v>
      </c>
      <c r="AU15" s="363">
        <f t="shared" si="4"/>
        <v>0</v>
      </c>
      <c r="AV15" s="363">
        <f t="shared" si="4"/>
        <v>1</v>
      </c>
      <c r="AW15" s="363">
        <f t="shared" si="4"/>
        <v>0</v>
      </c>
      <c r="AX15" s="363">
        <f t="shared" si="4"/>
        <v>0</v>
      </c>
      <c r="AY15" s="363">
        <f t="shared" si="4"/>
        <v>0</v>
      </c>
      <c r="AZ15" s="363">
        <f t="shared" si="4"/>
        <v>0</v>
      </c>
      <c r="BA15" s="363">
        <f t="shared" si="4"/>
        <v>1</v>
      </c>
      <c r="BB15" s="363">
        <f t="shared" si="4"/>
        <v>1</v>
      </c>
      <c r="BC15" s="363">
        <f t="shared" ref="BC15:BG30" si="5">IF(V$14="",1,IF(V15="",0,IF(ISNA(V15),0,1)))</f>
        <v>1</v>
      </c>
      <c r="BD15" s="363">
        <f t="shared" si="5"/>
        <v>1</v>
      </c>
      <c r="BE15" s="363">
        <f t="shared" si="5"/>
        <v>1</v>
      </c>
      <c r="BF15" s="363">
        <f t="shared" si="5"/>
        <v>1</v>
      </c>
      <c r="BG15" s="363">
        <f t="shared" si="5"/>
        <v>1</v>
      </c>
      <c r="BH15" s="363"/>
      <c r="BI15" s="363"/>
      <c r="BJ15" s="363"/>
      <c r="BK15" s="363"/>
      <c r="BL15" s="363"/>
      <c r="BM15" s="363"/>
      <c r="BQ15" s="351" t="str">
        <f t="shared" ref="BQ15:BU30" si="6">IF($F15="","",BQ$14)</f>
        <v/>
      </c>
      <c r="BR15" s="351" t="str">
        <f t="shared" si="6"/>
        <v/>
      </c>
      <c r="BS15" s="351" t="str">
        <f t="shared" si="6"/>
        <v/>
      </c>
      <c r="BT15" s="351" t="str">
        <f t="shared" si="6"/>
        <v/>
      </c>
      <c r="BU15" s="351" t="str">
        <f t="shared" si="6"/>
        <v/>
      </c>
    </row>
    <row r="16" spans="1:79" x14ac:dyDescent="0.25">
      <c r="A16" s="379"/>
      <c r="B16" s="379" t="str">
        <f t="shared" ref="B16:B44" si="7">IF(E16="","",ROW()-14)</f>
        <v/>
      </c>
      <c r="C16" s="380"/>
      <c r="D16" s="380"/>
      <c r="E16" s="381"/>
      <c r="F16" s="385"/>
      <c r="G16" s="382"/>
      <c r="H16" s="383"/>
      <c r="I16" s="383"/>
      <c r="J16" s="383"/>
      <c r="K16" s="398" t="str">
        <f t="shared" ref="K16:K44" si="8">IFERROR(J16/I16,"")</f>
        <v/>
      </c>
      <c r="L16" s="383"/>
      <c r="M16" s="383"/>
      <c r="N16" s="383"/>
      <c r="O16" s="379" t="str">
        <f t="shared" ref="O16:O44" si="9">IF(E16="","",L16+M16+N16)</f>
        <v/>
      </c>
      <c r="P16" s="383"/>
      <c r="Q16" s="382"/>
      <c r="R16" s="382"/>
      <c r="S16" s="382"/>
      <c r="T16" s="379" t="str">
        <f>IF(E16="","",IF(AI16&lt;&gt;1,$AJ$1,IF(AND(S16=1,R16=1,OR(H16&gt;=פרמטרים!$B$8,INDEX('תנאי סף'!$AF$11:$AF$50,MATCH($T$1,'תנאי סף'!$A$11:$A$50,0))),OR(O16&gt;=$H$8,INDEX('תנאי סף'!$AC$11:$AC$50,MATCH($T$1,'תנאי סף'!$A$11:$A$50,0))),INDEX('תנאי סף'!$AI$11:$AI$50,MATCH($T$1,'תנאי סף'!$A$11:$A$50,0)),COUNTA($E$15:$E$44)&gt;=$H$6),1,0)))</f>
        <v/>
      </c>
      <c r="U16" s="382">
        <v>0</v>
      </c>
      <c r="V16" s="382">
        <v>0</v>
      </c>
      <c r="W16" s="379"/>
      <c r="X16" s="382"/>
      <c r="Y16" s="379"/>
      <c r="Z16" s="385"/>
      <c r="AA16" s="385"/>
      <c r="AB16" s="382"/>
      <c r="AC16" s="384"/>
      <c r="AD16" s="386"/>
      <c r="AE16" s="386"/>
      <c r="AF16" s="386"/>
      <c r="AG16" s="386"/>
      <c r="AI16" s="351">
        <f t="shared" ref="AI16:AI44" si="10">IF(SUM(AL16:BL16)=COUNT(AL16:BL16),1,0)</f>
        <v>0</v>
      </c>
      <c r="AJ16" s="351" t="str">
        <f t="shared" ref="AJ16:AK44" si="11">IF($E16="","",AJ$14)</f>
        <v/>
      </c>
      <c r="AK16" s="351" t="str">
        <f t="shared" si="11"/>
        <v/>
      </c>
      <c r="AL16" s="363">
        <f t="shared" ref="AL16:BA44" si="12">IF(E$14="",1,IF(E16="",0,IF(ISNA(E16),0,1)))</f>
        <v>0</v>
      </c>
      <c r="AM16" s="363">
        <f t="shared" si="4"/>
        <v>0</v>
      </c>
      <c r="AN16" s="363">
        <f t="shared" si="4"/>
        <v>1</v>
      </c>
      <c r="AO16" s="363">
        <f t="shared" si="4"/>
        <v>0</v>
      </c>
      <c r="AP16" s="363">
        <f t="shared" si="4"/>
        <v>0</v>
      </c>
      <c r="AQ16" s="363">
        <f t="shared" si="4"/>
        <v>0</v>
      </c>
      <c r="AR16" s="363">
        <f t="shared" si="4"/>
        <v>1</v>
      </c>
      <c r="AS16" s="363">
        <f t="shared" si="4"/>
        <v>0</v>
      </c>
      <c r="AT16" s="363">
        <f t="shared" si="4"/>
        <v>0</v>
      </c>
      <c r="AU16" s="363">
        <f t="shared" si="4"/>
        <v>0</v>
      </c>
      <c r="AV16" s="363">
        <f t="shared" si="4"/>
        <v>1</v>
      </c>
      <c r="AW16" s="363">
        <f t="shared" si="4"/>
        <v>0</v>
      </c>
      <c r="AX16" s="363">
        <f t="shared" si="4"/>
        <v>0</v>
      </c>
      <c r="AY16" s="363">
        <f t="shared" si="4"/>
        <v>0</v>
      </c>
      <c r="AZ16" s="363">
        <f t="shared" si="4"/>
        <v>0</v>
      </c>
      <c r="BA16" s="363">
        <f t="shared" si="4"/>
        <v>1</v>
      </c>
      <c r="BB16" s="363">
        <f t="shared" si="4"/>
        <v>1</v>
      </c>
      <c r="BC16" s="363">
        <f t="shared" si="5"/>
        <v>1</v>
      </c>
      <c r="BD16" s="363">
        <f t="shared" si="5"/>
        <v>1</v>
      </c>
      <c r="BE16" s="363">
        <f t="shared" si="5"/>
        <v>1</v>
      </c>
      <c r="BF16" s="363">
        <f t="shared" si="5"/>
        <v>1</v>
      </c>
      <c r="BG16" s="363">
        <f t="shared" si="5"/>
        <v>1</v>
      </c>
      <c r="BH16" s="363"/>
      <c r="BI16" s="363"/>
      <c r="BJ16" s="363"/>
      <c r="BK16" s="363"/>
      <c r="BL16" s="363"/>
      <c r="BM16" s="363"/>
      <c r="BQ16" s="351" t="str">
        <f t="shared" si="6"/>
        <v/>
      </c>
      <c r="BR16" s="351" t="str">
        <f t="shared" si="6"/>
        <v/>
      </c>
      <c r="BS16" s="351" t="str">
        <f t="shared" si="6"/>
        <v/>
      </c>
      <c r="BT16" s="351" t="str">
        <f t="shared" si="6"/>
        <v/>
      </c>
      <c r="BU16" s="351" t="str">
        <f t="shared" si="6"/>
        <v/>
      </c>
    </row>
    <row r="17" spans="1:73" x14ac:dyDescent="0.25">
      <c r="A17" s="379"/>
      <c r="B17" s="379" t="str">
        <f t="shared" si="7"/>
        <v/>
      </c>
      <c r="C17" s="380"/>
      <c r="D17" s="380"/>
      <c r="E17" s="381"/>
      <c r="F17" s="385"/>
      <c r="G17" s="382"/>
      <c r="H17" s="383"/>
      <c r="I17" s="383"/>
      <c r="J17" s="383"/>
      <c r="K17" s="398" t="str">
        <f t="shared" si="8"/>
        <v/>
      </c>
      <c r="L17" s="383"/>
      <c r="M17" s="383"/>
      <c r="N17" s="383"/>
      <c r="O17" s="379" t="str">
        <f t="shared" si="9"/>
        <v/>
      </c>
      <c r="P17" s="383"/>
      <c r="Q17" s="382"/>
      <c r="R17" s="382"/>
      <c r="S17" s="382"/>
      <c r="T17" s="379" t="str">
        <f>IF(E17="","",IF(AI17&lt;&gt;1,$AJ$1,IF(AND(S17=1,R17=1,OR(H17&gt;=פרמטרים!$B$8,INDEX('תנאי סף'!$AF$11:$AF$50,MATCH($T$1,'תנאי סף'!$A$11:$A$50,0))),OR(O17&gt;=$H$8,INDEX('תנאי סף'!$AC$11:$AC$50,MATCH($T$1,'תנאי סף'!$A$11:$A$50,0))),INDEX('תנאי סף'!$AI$11:$AI$50,MATCH($T$1,'תנאי סף'!$A$11:$A$50,0)),COUNTA($E$15:$E$44)&gt;=$H$6),1,0)))</f>
        <v/>
      </c>
      <c r="U17" s="382">
        <v>0</v>
      </c>
      <c r="V17" s="382">
        <v>0</v>
      </c>
      <c r="W17" s="379"/>
      <c r="X17" s="382"/>
      <c r="Y17" s="379"/>
      <c r="Z17" s="385"/>
      <c r="AA17" s="385"/>
      <c r="AB17" s="382"/>
      <c r="AC17" s="384"/>
      <c r="AD17" s="386"/>
      <c r="AE17" s="386"/>
      <c r="AF17" s="386"/>
      <c r="AG17" s="386"/>
      <c r="AI17" s="351">
        <f t="shared" si="10"/>
        <v>0</v>
      </c>
      <c r="AJ17" s="351" t="str">
        <f t="shared" si="11"/>
        <v/>
      </c>
      <c r="AK17" s="351" t="str">
        <f t="shared" si="11"/>
        <v/>
      </c>
      <c r="AL17" s="363">
        <f t="shared" si="12"/>
        <v>0</v>
      </c>
      <c r="AM17" s="363">
        <f t="shared" si="4"/>
        <v>0</v>
      </c>
      <c r="AN17" s="363">
        <f t="shared" si="4"/>
        <v>1</v>
      </c>
      <c r="AO17" s="363">
        <f t="shared" si="4"/>
        <v>0</v>
      </c>
      <c r="AP17" s="363">
        <f t="shared" si="4"/>
        <v>0</v>
      </c>
      <c r="AQ17" s="363">
        <f t="shared" si="4"/>
        <v>0</v>
      </c>
      <c r="AR17" s="363">
        <f t="shared" si="4"/>
        <v>1</v>
      </c>
      <c r="AS17" s="363">
        <f t="shared" si="4"/>
        <v>0</v>
      </c>
      <c r="AT17" s="363">
        <f t="shared" si="4"/>
        <v>0</v>
      </c>
      <c r="AU17" s="363">
        <f t="shared" si="4"/>
        <v>0</v>
      </c>
      <c r="AV17" s="363">
        <f t="shared" si="4"/>
        <v>1</v>
      </c>
      <c r="AW17" s="363">
        <f t="shared" si="4"/>
        <v>0</v>
      </c>
      <c r="AX17" s="363">
        <f t="shared" si="4"/>
        <v>0</v>
      </c>
      <c r="AY17" s="363">
        <f t="shared" si="4"/>
        <v>0</v>
      </c>
      <c r="AZ17" s="363">
        <f t="shared" si="4"/>
        <v>0</v>
      </c>
      <c r="BA17" s="363">
        <f t="shared" si="4"/>
        <v>1</v>
      </c>
      <c r="BB17" s="363">
        <f t="shared" si="4"/>
        <v>1</v>
      </c>
      <c r="BC17" s="363">
        <f t="shared" si="5"/>
        <v>1</v>
      </c>
      <c r="BD17" s="363">
        <f t="shared" si="5"/>
        <v>1</v>
      </c>
      <c r="BE17" s="363">
        <f t="shared" si="5"/>
        <v>1</v>
      </c>
      <c r="BF17" s="363">
        <f t="shared" si="5"/>
        <v>1</v>
      </c>
      <c r="BG17" s="363">
        <f t="shared" si="5"/>
        <v>1</v>
      </c>
      <c r="BH17" s="363"/>
      <c r="BI17" s="363"/>
      <c r="BJ17" s="363"/>
      <c r="BK17" s="363"/>
      <c r="BL17" s="363"/>
      <c r="BM17" s="363"/>
      <c r="BQ17" s="351" t="str">
        <f t="shared" si="6"/>
        <v/>
      </c>
      <c r="BR17" s="351" t="str">
        <f t="shared" si="6"/>
        <v/>
      </c>
      <c r="BS17" s="351" t="str">
        <f t="shared" si="6"/>
        <v/>
      </c>
      <c r="BT17" s="351" t="str">
        <f t="shared" si="6"/>
        <v/>
      </c>
      <c r="BU17" s="351" t="str">
        <f t="shared" si="6"/>
        <v/>
      </c>
    </row>
    <row r="18" spans="1:73" x14ac:dyDescent="0.25">
      <c r="A18" s="379"/>
      <c r="B18" s="379" t="str">
        <f t="shared" si="7"/>
        <v/>
      </c>
      <c r="C18" s="380"/>
      <c r="D18" s="380"/>
      <c r="E18" s="381"/>
      <c r="F18" s="385"/>
      <c r="G18" s="382"/>
      <c r="H18" s="383"/>
      <c r="I18" s="383"/>
      <c r="J18" s="383"/>
      <c r="K18" s="398" t="str">
        <f t="shared" si="8"/>
        <v/>
      </c>
      <c r="L18" s="383"/>
      <c r="M18" s="383"/>
      <c r="N18" s="383"/>
      <c r="O18" s="379" t="str">
        <f t="shared" si="9"/>
        <v/>
      </c>
      <c r="P18" s="383"/>
      <c r="Q18" s="382"/>
      <c r="R18" s="382"/>
      <c r="S18" s="382"/>
      <c r="T18" s="379" t="str">
        <f>IF(E18="","",IF(AI18&lt;&gt;1,$AJ$1,IF(AND(S18=1,R18=1,OR(H18&gt;=פרמטרים!$B$8,INDEX('תנאי סף'!$AF$11:$AF$50,MATCH($T$1,'תנאי סף'!$A$11:$A$50,0))),OR(O18&gt;=$H$8,INDEX('תנאי סף'!$AC$11:$AC$50,MATCH($T$1,'תנאי סף'!$A$11:$A$50,0))),INDEX('תנאי סף'!$AI$11:$AI$50,MATCH($T$1,'תנאי סף'!$A$11:$A$50,0)),COUNTA($E$15:$E$44)&gt;=$H$6),1,0)))</f>
        <v/>
      </c>
      <c r="U18" s="382">
        <v>0</v>
      </c>
      <c r="V18" s="382">
        <v>0</v>
      </c>
      <c r="W18" s="379"/>
      <c r="X18" s="382"/>
      <c r="Y18" s="379"/>
      <c r="Z18" s="385"/>
      <c r="AA18" s="385"/>
      <c r="AB18" s="382"/>
      <c r="AC18" s="384"/>
      <c r="AD18" s="386"/>
      <c r="AE18" s="386"/>
      <c r="AF18" s="386"/>
      <c r="AG18" s="386"/>
      <c r="AI18" s="351">
        <f t="shared" si="10"/>
        <v>0</v>
      </c>
      <c r="AJ18" s="351" t="str">
        <f t="shared" si="11"/>
        <v/>
      </c>
      <c r="AK18" s="351" t="str">
        <f t="shared" si="11"/>
        <v/>
      </c>
      <c r="AL18" s="363">
        <f t="shared" si="12"/>
        <v>0</v>
      </c>
      <c r="AM18" s="363">
        <f t="shared" si="4"/>
        <v>0</v>
      </c>
      <c r="AN18" s="363">
        <f t="shared" si="4"/>
        <v>1</v>
      </c>
      <c r="AO18" s="363">
        <f t="shared" si="4"/>
        <v>0</v>
      </c>
      <c r="AP18" s="363">
        <f t="shared" si="4"/>
        <v>0</v>
      </c>
      <c r="AQ18" s="363">
        <f t="shared" si="4"/>
        <v>0</v>
      </c>
      <c r="AR18" s="363">
        <f t="shared" si="4"/>
        <v>1</v>
      </c>
      <c r="AS18" s="363">
        <f t="shared" si="4"/>
        <v>0</v>
      </c>
      <c r="AT18" s="363">
        <f t="shared" si="4"/>
        <v>0</v>
      </c>
      <c r="AU18" s="363">
        <f t="shared" si="4"/>
        <v>0</v>
      </c>
      <c r="AV18" s="363">
        <f t="shared" si="4"/>
        <v>1</v>
      </c>
      <c r="AW18" s="363">
        <f t="shared" si="4"/>
        <v>0</v>
      </c>
      <c r="AX18" s="363">
        <f t="shared" si="4"/>
        <v>0</v>
      </c>
      <c r="AY18" s="363">
        <f t="shared" si="4"/>
        <v>0</v>
      </c>
      <c r="AZ18" s="363">
        <f t="shared" si="4"/>
        <v>0</v>
      </c>
      <c r="BA18" s="363">
        <f t="shared" si="4"/>
        <v>1</v>
      </c>
      <c r="BB18" s="363">
        <f t="shared" si="4"/>
        <v>1</v>
      </c>
      <c r="BC18" s="363">
        <f t="shared" si="5"/>
        <v>1</v>
      </c>
      <c r="BD18" s="363">
        <f t="shared" si="5"/>
        <v>1</v>
      </c>
      <c r="BE18" s="363">
        <f t="shared" si="5"/>
        <v>1</v>
      </c>
      <c r="BF18" s="363">
        <f t="shared" si="5"/>
        <v>1</v>
      </c>
      <c r="BG18" s="363">
        <f t="shared" si="5"/>
        <v>1</v>
      </c>
      <c r="BH18" s="363"/>
      <c r="BI18" s="363"/>
      <c r="BJ18" s="363"/>
      <c r="BK18" s="363"/>
      <c r="BL18" s="363"/>
      <c r="BM18" s="363"/>
      <c r="BQ18" s="351" t="str">
        <f t="shared" si="6"/>
        <v/>
      </c>
      <c r="BR18" s="351" t="str">
        <f t="shared" si="6"/>
        <v/>
      </c>
      <c r="BS18" s="351" t="str">
        <f t="shared" si="6"/>
        <v/>
      </c>
      <c r="BT18" s="351" t="str">
        <f t="shared" si="6"/>
        <v/>
      </c>
      <c r="BU18" s="351" t="str">
        <f t="shared" si="6"/>
        <v/>
      </c>
    </row>
    <row r="19" spans="1:73" x14ac:dyDescent="0.25">
      <c r="A19" s="379"/>
      <c r="B19" s="379" t="str">
        <f t="shared" si="7"/>
        <v/>
      </c>
      <c r="C19" s="380"/>
      <c r="D19" s="380"/>
      <c r="E19" s="381"/>
      <c r="F19" s="385"/>
      <c r="G19" s="382"/>
      <c r="H19" s="383"/>
      <c r="I19" s="383"/>
      <c r="J19" s="383"/>
      <c r="K19" s="398" t="str">
        <f t="shared" si="8"/>
        <v/>
      </c>
      <c r="L19" s="383"/>
      <c r="M19" s="383"/>
      <c r="N19" s="383"/>
      <c r="O19" s="379" t="str">
        <f t="shared" si="9"/>
        <v/>
      </c>
      <c r="P19" s="383"/>
      <c r="Q19" s="382"/>
      <c r="R19" s="382"/>
      <c r="S19" s="382"/>
      <c r="T19" s="379" t="str">
        <f>IF(E19="","",IF(AI19&lt;&gt;1,$AJ$1,IF(AND(S19=1,R19=1,OR(H19&gt;=פרמטרים!$B$8,INDEX('תנאי סף'!$AF$11:$AF$50,MATCH($T$1,'תנאי סף'!$A$11:$A$50,0))),OR(O19&gt;=$H$8,INDEX('תנאי סף'!$AC$11:$AC$50,MATCH($T$1,'תנאי סף'!$A$11:$A$50,0))),INDEX('תנאי סף'!$AI$11:$AI$50,MATCH($T$1,'תנאי סף'!$A$11:$A$50,0)),COUNTA($E$15:$E$44)&gt;=$H$6),1,0)))</f>
        <v/>
      </c>
      <c r="U19" s="382">
        <v>0</v>
      </c>
      <c r="V19" s="382">
        <v>0</v>
      </c>
      <c r="W19" s="379"/>
      <c r="X19" s="382"/>
      <c r="Y19" s="379"/>
      <c r="Z19" s="385"/>
      <c r="AA19" s="385"/>
      <c r="AB19" s="382"/>
      <c r="AC19" s="384"/>
      <c r="AD19" s="386"/>
      <c r="AE19" s="386"/>
      <c r="AF19" s="386"/>
      <c r="AG19" s="386"/>
      <c r="AI19" s="351">
        <f t="shared" si="10"/>
        <v>0</v>
      </c>
      <c r="AJ19" s="351" t="str">
        <f t="shared" si="11"/>
        <v/>
      </c>
      <c r="AK19" s="351" t="str">
        <f t="shared" si="11"/>
        <v/>
      </c>
      <c r="AL19" s="363">
        <f t="shared" si="12"/>
        <v>0</v>
      </c>
      <c r="AM19" s="363">
        <f t="shared" si="4"/>
        <v>0</v>
      </c>
      <c r="AN19" s="363">
        <f t="shared" si="4"/>
        <v>1</v>
      </c>
      <c r="AO19" s="363">
        <f t="shared" si="4"/>
        <v>0</v>
      </c>
      <c r="AP19" s="363">
        <f t="shared" si="4"/>
        <v>0</v>
      </c>
      <c r="AQ19" s="363">
        <f t="shared" si="4"/>
        <v>0</v>
      </c>
      <c r="AR19" s="363">
        <f t="shared" si="4"/>
        <v>1</v>
      </c>
      <c r="AS19" s="363">
        <f t="shared" si="4"/>
        <v>0</v>
      </c>
      <c r="AT19" s="363">
        <f t="shared" si="4"/>
        <v>0</v>
      </c>
      <c r="AU19" s="363">
        <f t="shared" si="4"/>
        <v>0</v>
      </c>
      <c r="AV19" s="363">
        <f t="shared" si="4"/>
        <v>1</v>
      </c>
      <c r="AW19" s="363">
        <f t="shared" si="4"/>
        <v>0</v>
      </c>
      <c r="AX19" s="363">
        <f t="shared" si="4"/>
        <v>0</v>
      </c>
      <c r="AY19" s="363">
        <f t="shared" si="4"/>
        <v>0</v>
      </c>
      <c r="AZ19" s="363">
        <f t="shared" si="4"/>
        <v>0</v>
      </c>
      <c r="BA19" s="363">
        <f t="shared" si="4"/>
        <v>1</v>
      </c>
      <c r="BB19" s="363">
        <f t="shared" si="4"/>
        <v>1</v>
      </c>
      <c r="BC19" s="363">
        <f t="shared" si="5"/>
        <v>1</v>
      </c>
      <c r="BD19" s="363">
        <f t="shared" si="5"/>
        <v>1</v>
      </c>
      <c r="BE19" s="363">
        <f t="shared" si="5"/>
        <v>1</v>
      </c>
      <c r="BF19" s="363">
        <f t="shared" si="5"/>
        <v>1</v>
      </c>
      <c r="BG19" s="363">
        <f t="shared" si="5"/>
        <v>1</v>
      </c>
      <c r="BH19" s="363"/>
      <c r="BI19" s="363"/>
      <c r="BJ19" s="363"/>
      <c r="BK19" s="363"/>
      <c r="BL19" s="363"/>
      <c r="BM19" s="363"/>
      <c r="BQ19" s="351" t="str">
        <f t="shared" si="6"/>
        <v/>
      </c>
      <c r="BR19" s="351" t="str">
        <f t="shared" si="6"/>
        <v/>
      </c>
      <c r="BS19" s="351" t="str">
        <f t="shared" si="6"/>
        <v/>
      </c>
      <c r="BT19" s="351" t="str">
        <f t="shared" si="6"/>
        <v/>
      </c>
      <c r="BU19" s="351" t="str">
        <f t="shared" si="6"/>
        <v/>
      </c>
    </row>
    <row r="20" spans="1:73" x14ac:dyDescent="0.25">
      <c r="A20" s="379"/>
      <c r="B20" s="379" t="str">
        <f t="shared" si="7"/>
        <v/>
      </c>
      <c r="C20" s="380"/>
      <c r="D20" s="380"/>
      <c r="E20" s="381"/>
      <c r="F20" s="385"/>
      <c r="G20" s="382"/>
      <c r="H20" s="383"/>
      <c r="I20" s="383"/>
      <c r="J20" s="383"/>
      <c r="K20" s="398" t="str">
        <f t="shared" si="8"/>
        <v/>
      </c>
      <c r="L20" s="383"/>
      <c r="M20" s="383"/>
      <c r="N20" s="383"/>
      <c r="O20" s="379" t="str">
        <f t="shared" si="9"/>
        <v/>
      </c>
      <c r="P20" s="383"/>
      <c r="Q20" s="382"/>
      <c r="R20" s="382"/>
      <c r="S20" s="382"/>
      <c r="T20" s="379" t="str">
        <f>IF(E20="","",IF(AI20&lt;&gt;1,$AJ$1,IF(AND(S20=1,R20=1,OR(H20&gt;=פרמטרים!$B$8,INDEX('תנאי סף'!$AF$11:$AF$50,MATCH($T$1,'תנאי סף'!$A$11:$A$50,0))),OR(O20&gt;=$H$8,INDEX('תנאי סף'!$AC$11:$AC$50,MATCH($T$1,'תנאי סף'!$A$11:$A$50,0))),INDEX('תנאי סף'!$AI$11:$AI$50,MATCH($T$1,'תנאי סף'!$A$11:$A$50,0)),COUNTA($E$15:$E$44)&gt;=$H$6),1,0)))</f>
        <v/>
      </c>
      <c r="U20" s="382">
        <v>0</v>
      </c>
      <c r="V20" s="382">
        <v>0</v>
      </c>
      <c r="W20" s="379"/>
      <c r="X20" s="382"/>
      <c r="Y20" s="379"/>
      <c r="Z20" s="385"/>
      <c r="AA20" s="385"/>
      <c r="AB20" s="382"/>
      <c r="AC20" s="384"/>
      <c r="AD20" s="386"/>
      <c r="AE20" s="386"/>
      <c r="AF20" s="386"/>
      <c r="AG20" s="386"/>
      <c r="AI20" s="351">
        <f t="shared" si="10"/>
        <v>0</v>
      </c>
      <c r="AJ20" s="351" t="str">
        <f t="shared" si="11"/>
        <v/>
      </c>
      <c r="AK20" s="351" t="str">
        <f t="shared" si="11"/>
        <v/>
      </c>
      <c r="AL20" s="363">
        <f t="shared" si="12"/>
        <v>0</v>
      </c>
      <c r="AM20" s="363">
        <f t="shared" si="4"/>
        <v>0</v>
      </c>
      <c r="AN20" s="363">
        <f t="shared" si="4"/>
        <v>1</v>
      </c>
      <c r="AO20" s="363">
        <f t="shared" si="4"/>
        <v>0</v>
      </c>
      <c r="AP20" s="363">
        <f t="shared" si="4"/>
        <v>0</v>
      </c>
      <c r="AQ20" s="363">
        <f t="shared" si="4"/>
        <v>0</v>
      </c>
      <c r="AR20" s="363">
        <f t="shared" si="4"/>
        <v>1</v>
      </c>
      <c r="AS20" s="363">
        <f t="shared" si="4"/>
        <v>0</v>
      </c>
      <c r="AT20" s="363">
        <f t="shared" si="4"/>
        <v>0</v>
      </c>
      <c r="AU20" s="363">
        <f t="shared" si="4"/>
        <v>0</v>
      </c>
      <c r="AV20" s="363">
        <f t="shared" si="4"/>
        <v>1</v>
      </c>
      <c r="AW20" s="363">
        <f t="shared" si="4"/>
        <v>0</v>
      </c>
      <c r="AX20" s="363">
        <f t="shared" si="4"/>
        <v>0</v>
      </c>
      <c r="AY20" s="363">
        <f t="shared" si="4"/>
        <v>0</v>
      </c>
      <c r="AZ20" s="363">
        <f t="shared" si="4"/>
        <v>0</v>
      </c>
      <c r="BA20" s="363">
        <f t="shared" si="4"/>
        <v>1</v>
      </c>
      <c r="BB20" s="363">
        <f t="shared" si="4"/>
        <v>1</v>
      </c>
      <c r="BC20" s="363">
        <f t="shared" si="5"/>
        <v>1</v>
      </c>
      <c r="BD20" s="363">
        <f t="shared" si="5"/>
        <v>1</v>
      </c>
      <c r="BE20" s="363">
        <f t="shared" si="5"/>
        <v>1</v>
      </c>
      <c r="BF20" s="363">
        <f t="shared" si="5"/>
        <v>1</v>
      </c>
      <c r="BG20" s="363">
        <f t="shared" si="5"/>
        <v>1</v>
      </c>
      <c r="BH20" s="363"/>
      <c r="BI20" s="363"/>
      <c r="BJ20" s="363"/>
      <c r="BK20" s="363"/>
      <c r="BL20" s="363"/>
      <c r="BM20" s="363"/>
      <c r="BQ20" s="351" t="str">
        <f t="shared" si="6"/>
        <v/>
      </c>
      <c r="BR20" s="351" t="str">
        <f t="shared" si="6"/>
        <v/>
      </c>
      <c r="BS20" s="351" t="str">
        <f t="shared" si="6"/>
        <v/>
      </c>
      <c r="BT20" s="351" t="str">
        <f t="shared" si="6"/>
        <v/>
      </c>
      <c r="BU20" s="351" t="str">
        <f t="shared" si="6"/>
        <v/>
      </c>
    </row>
    <row r="21" spans="1:73" x14ac:dyDescent="0.25">
      <c r="A21" s="379"/>
      <c r="B21" s="379" t="str">
        <f t="shared" si="7"/>
        <v/>
      </c>
      <c r="C21" s="380"/>
      <c r="D21" s="380"/>
      <c r="E21" s="381"/>
      <c r="F21" s="385"/>
      <c r="G21" s="382"/>
      <c r="H21" s="383"/>
      <c r="I21" s="383"/>
      <c r="J21" s="383"/>
      <c r="K21" s="398" t="str">
        <f t="shared" si="8"/>
        <v/>
      </c>
      <c r="L21" s="383"/>
      <c r="M21" s="383"/>
      <c r="N21" s="383"/>
      <c r="O21" s="379" t="str">
        <f t="shared" si="9"/>
        <v/>
      </c>
      <c r="P21" s="383"/>
      <c r="Q21" s="382"/>
      <c r="R21" s="382"/>
      <c r="S21" s="382"/>
      <c r="T21" s="379" t="str">
        <f>IF(E21="","",IF(AI21&lt;&gt;1,$AJ$1,IF(AND(S21=1,R21=1,OR(H21&gt;=פרמטרים!$B$8,INDEX('תנאי סף'!$AF$11:$AF$50,MATCH($T$1,'תנאי סף'!$A$11:$A$50,0))),OR(O21&gt;=$H$8,INDEX('תנאי סף'!$AC$11:$AC$50,MATCH($T$1,'תנאי סף'!$A$11:$A$50,0))),INDEX('תנאי סף'!$AI$11:$AI$50,MATCH($T$1,'תנאי סף'!$A$11:$A$50,0)),COUNTA($E$15:$E$44)&gt;=$H$6),1,0)))</f>
        <v/>
      </c>
      <c r="U21" s="382">
        <v>0</v>
      </c>
      <c r="V21" s="382">
        <v>0</v>
      </c>
      <c r="W21" s="379"/>
      <c r="X21" s="382"/>
      <c r="Y21" s="379"/>
      <c r="Z21" s="385"/>
      <c r="AA21" s="385"/>
      <c r="AB21" s="382"/>
      <c r="AC21" s="384"/>
      <c r="AD21" s="386"/>
      <c r="AE21" s="386"/>
      <c r="AF21" s="386"/>
      <c r="AG21" s="386"/>
      <c r="AI21" s="351">
        <f t="shared" si="10"/>
        <v>0</v>
      </c>
      <c r="AJ21" s="351" t="str">
        <f t="shared" si="11"/>
        <v/>
      </c>
      <c r="AK21" s="351" t="str">
        <f t="shared" si="11"/>
        <v/>
      </c>
      <c r="AL21" s="363">
        <f t="shared" si="12"/>
        <v>0</v>
      </c>
      <c r="AM21" s="363">
        <f t="shared" si="4"/>
        <v>0</v>
      </c>
      <c r="AN21" s="363">
        <f t="shared" si="4"/>
        <v>1</v>
      </c>
      <c r="AO21" s="363">
        <f t="shared" si="4"/>
        <v>0</v>
      </c>
      <c r="AP21" s="363">
        <f t="shared" si="4"/>
        <v>0</v>
      </c>
      <c r="AQ21" s="363">
        <f t="shared" si="4"/>
        <v>0</v>
      </c>
      <c r="AR21" s="363">
        <f t="shared" si="4"/>
        <v>1</v>
      </c>
      <c r="AS21" s="363">
        <f t="shared" si="4"/>
        <v>0</v>
      </c>
      <c r="AT21" s="363">
        <f t="shared" si="4"/>
        <v>0</v>
      </c>
      <c r="AU21" s="363">
        <f t="shared" si="4"/>
        <v>0</v>
      </c>
      <c r="AV21" s="363">
        <f t="shared" si="4"/>
        <v>1</v>
      </c>
      <c r="AW21" s="363">
        <f t="shared" si="4"/>
        <v>0</v>
      </c>
      <c r="AX21" s="363">
        <f t="shared" si="4"/>
        <v>0</v>
      </c>
      <c r="AY21" s="363">
        <f t="shared" si="4"/>
        <v>0</v>
      </c>
      <c r="AZ21" s="363">
        <f t="shared" si="4"/>
        <v>0</v>
      </c>
      <c r="BA21" s="363">
        <f t="shared" si="4"/>
        <v>1</v>
      </c>
      <c r="BB21" s="363">
        <f t="shared" si="4"/>
        <v>1</v>
      </c>
      <c r="BC21" s="363">
        <f t="shared" si="5"/>
        <v>1</v>
      </c>
      <c r="BD21" s="363">
        <f t="shared" si="5"/>
        <v>1</v>
      </c>
      <c r="BE21" s="363">
        <f t="shared" si="5"/>
        <v>1</v>
      </c>
      <c r="BF21" s="363">
        <f t="shared" si="5"/>
        <v>1</v>
      </c>
      <c r="BG21" s="363">
        <f t="shared" si="5"/>
        <v>1</v>
      </c>
      <c r="BH21" s="363"/>
      <c r="BI21" s="363"/>
      <c r="BJ21" s="363"/>
      <c r="BK21" s="363"/>
      <c r="BL21" s="363"/>
      <c r="BM21" s="363"/>
      <c r="BQ21" s="351" t="str">
        <f t="shared" si="6"/>
        <v/>
      </c>
      <c r="BR21" s="351" t="str">
        <f t="shared" si="6"/>
        <v/>
      </c>
      <c r="BS21" s="351" t="str">
        <f t="shared" si="6"/>
        <v/>
      </c>
      <c r="BT21" s="351" t="str">
        <f t="shared" si="6"/>
        <v/>
      </c>
      <c r="BU21" s="351" t="str">
        <f t="shared" si="6"/>
        <v/>
      </c>
    </row>
    <row r="22" spans="1:73" x14ac:dyDescent="0.25">
      <c r="A22" s="379"/>
      <c r="B22" s="379" t="str">
        <f t="shared" si="7"/>
        <v/>
      </c>
      <c r="C22" s="380"/>
      <c r="D22" s="380"/>
      <c r="E22" s="381"/>
      <c r="F22" s="385"/>
      <c r="G22" s="382"/>
      <c r="H22" s="383"/>
      <c r="I22" s="383"/>
      <c r="J22" s="383"/>
      <c r="K22" s="398" t="str">
        <f t="shared" si="8"/>
        <v/>
      </c>
      <c r="L22" s="383"/>
      <c r="M22" s="383"/>
      <c r="N22" s="383"/>
      <c r="O22" s="379" t="str">
        <f t="shared" si="9"/>
        <v/>
      </c>
      <c r="P22" s="383"/>
      <c r="Q22" s="382"/>
      <c r="R22" s="382"/>
      <c r="S22" s="382"/>
      <c r="T22" s="379" t="str">
        <f>IF(E22="","",IF(AI22&lt;&gt;1,$AJ$1,IF(AND(S22=1,R22=1,OR(H22&gt;=פרמטרים!$B$8,INDEX('תנאי סף'!$AF$11:$AF$50,MATCH($T$1,'תנאי סף'!$A$11:$A$50,0))),OR(O22&gt;=$H$8,INDEX('תנאי סף'!$AC$11:$AC$50,MATCH($T$1,'תנאי סף'!$A$11:$A$50,0))),INDEX('תנאי סף'!$AI$11:$AI$50,MATCH($T$1,'תנאי סף'!$A$11:$A$50,0)),COUNTA($E$15:$E$44)&gt;=$H$6),1,0)))</f>
        <v/>
      </c>
      <c r="U22" s="382">
        <v>0</v>
      </c>
      <c r="V22" s="382">
        <v>0</v>
      </c>
      <c r="W22" s="379"/>
      <c r="X22" s="382"/>
      <c r="Y22" s="379"/>
      <c r="Z22" s="385"/>
      <c r="AA22" s="385"/>
      <c r="AB22" s="382"/>
      <c r="AC22" s="384"/>
      <c r="AD22" s="386"/>
      <c r="AE22" s="386"/>
      <c r="AF22" s="386"/>
      <c r="AG22" s="386"/>
      <c r="AI22" s="351">
        <f t="shared" si="10"/>
        <v>0</v>
      </c>
      <c r="AJ22" s="351" t="str">
        <f t="shared" si="11"/>
        <v/>
      </c>
      <c r="AK22" s="351" t="str">
        <f t="shared" si="11"/>
        <v/>
      </c>
      <c r="AL22" s="363">
        <f t="shared" si="12"/>
        <v>0</v>
      </c>
      <c r="AM22" s="363">
        <f t="shared" si="4"/>
        <v>0</v>
      </c>
      <c r="AN22" s="363">
        <f t="shared" si="4"/>
        <v>1</v>
      </c>
      <c r="AO22" s="363">
        <f t="shared" si="4"/>
        <v>0</v>
      </c>
      <c r="AP22" s="363">
        <f t="shared" si="4"/>
        <v>0</v>
      </c>
      <c r="AQ22" s="363">
        <f t="shared" si="4"/>
        <v>0</v>
      </c>
      <c r="AR22" s="363">
        <f t="shared" si="4"/>
        <v>1</v>
      </c>
      <c r="AS22" s="363">
        <f t="shared" si="4"/>
        <v>0</v>
      </c>
      <c r="AT22" s="363">
        <f t="shared" si="4"/>
        <v>0</v>
      </c>
      <c r="AU22" s="363">
        <f t="shared" si="4"/>
        <v>0</v>
      </c>
      <c r="AV22" s="363">
        <f t="shared" si="4"/>
        <v>1</v>
      </c>
      <c r="AW22" s="363">
        <f t="shared" si="4"/>
        <v>0</v>
      </c>
      <c r="AX22" s="363">
        <f t="shared" si="4"/>
        <v>0</v>
      </c>
      <c r="AY22" s="363">
        <f t="shared" si="4"/>
        <v>0</v>
      </c>
      <c r="AZ22" s="363">
        <f t="shared" si="4"/>
        <v>0</v>
      </c>
      <c r="BA22" s="363">
        <f t="shared" si="4"/>
        <v>1</v>
      </c>
      <c r="BB22" s="363">
        <f t="shared" si="4"/>
        <v>1</v>
      </c>
      <c r="BC22" s="363">
        <f t="shared" si="5"/>
        <v>1</v>
      </c>
      <c r="BD22" s="363">
        <f t="shared" si="5"/>
        <v>1</v>
      </c>
      <c r="BE22" s="363">
        <f t="shared" si="5"/>
        <v>1</v>
      </c>
      <c r="BF22" s="363">
        <f t="shared" si="5"/>
        <v>1</v>
      </c>
      <c r="BG22" s="363">
        <f t="shared" si="5"/>
        <v>1</v>
      </c>
      <c r="BH22" s="363"/>
      <c r="BI22" s="363"/>
      <c r="BJ22" s="363"/>
      <c r="BK22" s="363"/>
      <c r="BL22" s="363"/>
      <c r="BM22" s="363"/>
      <c r="BQ22" s="351" t="str">
        <f t="shared" si="6"/>
        <v/>
      </c>
      <c r="BR22" s="351" t="str">
        <f t="shared" si="6"/>
        <v/>
      </c>
      <c r="BS22" s="351" t="str">
        <f t="shared" si="6"/>
        <v/>
      </c>
      <c r="BT22" s="351" t="str">
        <f t="shared" si="6"/>
        <v/>
      </c>
      <c r="BU22" s="351" t="str">
        <f t="shared" si="6"/>
        <v/>
      </c>
    </row>
    <row r="23" spans="1:73" x14ac:dyDescent="0.25">
      <c r="A23" s="379"/>
      <c r="B23" s="379" t="str">
        <f t="shared" si="7"/>
        <v/>
      </c>
      <c r="C23" s="380"/>
      <c r="D23" s="380"/>
      <c r="E23" s="381"/>
      <c r="F23" s="385"/>
      <c r="G23" s="382"/>
      <c r="H23" s="383"/>
      <c r="I23" s="383"/>
      <c r="J23" s="383"/>
      <c r="K23" s="398" t="str">
        <f t="shared" si="8"/>
        <v/>
      </c>
      <c r="L23" s="383"/>
      <c r="M23" s="383"/>
      <c r="N23" s="383"/>
      <c r="O23" s="379" t="str">
        <f t="shared" si="9"/>
        <v/>
      </c>
      <c r="P23" s="383"/>
      <c r="Q23" s="382"/>
      <c r="R23" s="382"/>
      <c r="S23" s="382"/>
      <c r="T23" s="379" t="str">
        <f>IF(E23="","",IF(AI23&lt;&gt;1,$AJ$1,IF(AND(S23=1,R23=1,OR(H23&gt;=פרמטרים!$B$8,INDEX('תנאי סף'!$AF$11:$AF$50,MATCH($T$1,'תנאי סף'!$A$11:$A$50,0))),OR(O23&gt;=$H$8,INDEX('תנאי סף'!$AC$11:$AC$50,MATCH($T$1,'תנאי סף'!$A$11:$A$50,0))),INDEX('תנאי סף'!$AI$11:$AI$50,MATCH($T$1,'תנאי סף'!$A$11:$A$50,0)),COUNTA($E$15:$E$44)&gt;=$H$6),1,0)))</f>
        <v/>
      </c>
      <c r="U23" s="382">
        <v>0</v>
      </c>
      <c r="V23" s="382">
        <v>0</v>
      </c>
      <c r="W23" s="379"/>
      <c r="X23" s="382"/>
      <c r="Y23" s="379"/>
      <c r="Z23" s="385"/>
      <c r="AA23" s="385"/>
      <c r="AB23" s="382"/>
      <c r="AC23" s="384"/>
      <c r="AD23" s="386"/>
      <c r="AE23" s="386"/>
      <c r="AF23" s="386"/>
      <c r="AG23" s="386"/>
      <c r="AI23" s="351">
        <f t="shared" si="10"/>
        <v>0</v>
      </c>
      <c r="AJ23" s="351" t="str">
        <f t="shared" si="11"/>
        <v/>
      </c>
      <c r="AK23" s="351" t="str">
        <f t="shared" si="11"/>
        <v/>
      </c>
      <c r="AL23" s="363">
        <f t="shared" si="12"/>
        <v>0</v>
      </c>
      <c r="AM23" s="363">
        <f t="shared" si="4"/>
        <v>0</v>
      </c>
      <c r="AN23" s="363">
        <f t="shared" si="4"/>
        <v>1</v>
      </c>
      <c r="AO23" s="363">
        <f t="shared" si="4"/>
        <v>0</v>
      </c>
      <c r="AP23" s="363">
        <f t="shared" si="4"/>
        <v>0</v>
      </c>
      <c r="AQ23" s="363">
        <f t="shared" si="4"/>
        <v>0</v>
      </c>
      <c r="AR23" s="363">
        <f t="shared" si="4"/>
        <v>1</v>
      </c>
      <c r="AS23" s="363">
        <f t="shared" si="4"/>
        <v>0</v>
      </c>
      <c r="AT23" s="363">
        <f t="shared" si="4"/>
        <v>0</v>
      </c>
      <c r="AU23" s="363">
        <f t="shared" si="4"/>
        <v>0</v>
      </c>
      <c r="AV23" s="363">
        <f t="shared" si="4"/>
        <v>1</v>
      </c>
      <c r="AW23" s="363">
        <f t="shared" si="4"/>
        <v>0</v>
      </c>
      <c r="AX23" s="363">
        <f t="shared" si="4"/>
        <v>0</v>
      </c>
      <c r="AY23" s="363">
        <f t="shared" si="4"/>
        <v>0</v>
      </c>
      <c r="AZ23" s="363">
        <f t="shared" si="4"/>
        <v>0</v>
      </c>
      <c r="BA23" s="363">
        <f t="shared" si="4"/>
        <v>1</v>
      </c>
      <c r="BB23" s="363">
        <f t="shared" si="4"/>
        <v>1</v>
      </c>
      <c r="BC23" s="363">
        <f t="shared" si="5"/>
        <v>1</v>
      </c>
      <c r="BD23" s="363">
        <f t="shared" si="5"/>
        <v>1</v>
      </c>
      <c r="BE23" s="363">
        <f t="shared" si="5"/>
        <v>1</v>
      </c>
      <c r="BF23" s="363">
        <f t="shared" si="5"/>
        <v>1</v>
      </c>
      <c r="BG23" s="363">
        <f t="shared" si="5"/>
        <v>1</v>
      </c>
      <c r="BH23" s="363"/>
      <c r="BI23" s="363"/>
      <c r="BJ23" s="363"/>
      <c r="BK23" s="363"/>
      <c r="BL23" s="363"/>
      <c r="BM23" s="363"/>
      <c r="BQ23" s="351" t="str">
        <f t="shared" si="6"/>
        <v/>
      </c>
      <c r="BR23" s="351" t="str">
        <f t="shared" si="6"/>
        <v/>
      </c>
      <c r="BS23" s="351" t="str">
        <f t="shared" si="6"/>
        <v/>
      </c>
      <c r="BT23" s="351" t="str">
        <f t="shared" si="6"/>
        <v/>
      </c>
      <c r="BU23" s="351" t="str">
        <f t="shared" si="6"/>
        <v/>
      </c>
    </row>
    <row r="24" spans="1:73" x14ac:dyDescent="0.25">
      <c r="A24" s="379"/>
      <c r="B24" s="379" t="str">
        <f t="shared" si="7"/>
        <v/>
      </c>
      <c r="C24" s="380"/>
      <c r="D24" s="380"/>
      <c r="E24" s="381"/>
      <c r="F24" s="385"/>
      <c r="G24" s="382"/>
      <c r="H24" s="383"/>
      <c r="I24" s="383"/>
      <c r="J24" s="383"/>
      <c r="K24" s="398" t="str">
        <f t="shared" si="8"/>
        <v/>
      </c>
      <c r="L24" s="383"/>
      <c r="M24" s="383"/>
      <c r="N24" s="383"/>
      <c r="O24" s="379" t="str">
        <f t="shared" si="9"/>
        <v/>
      </c>
      <c r="P24" s="383"/>
      <c r="Q24" s="382"/>
      <c r="R24" s="382"/>
      <c r="S24" s="382"/>
      <c r="T24" s="379" t="str">
        <f>IF(E24="","",IF(AI24&lt;&gt;1,$AJ$1,IF(AND(S24=1,R24=1,OR(H24&gt;=פרמטרים!$B$8,INDEX('תנאי סף'!$AF$11:$AF$50,MATCH($T$1,'תנאי סף'!$A$11:$A$50,0))),OR(O24&gt;=$H$8,INDEX('תנאי סף'!$AC$11:$AC$50,MATCH($T$1,'תנאי סף'!$A$11:$A$50,0))),INDEX('תנאי סף'!$AI$11:$AI$50,MATCH($T$1,'תנאי סף'!$A$11:$A$50,0)),COUNTA($E$15:$E$44)&gt;=$H$6),1,0)))</f>
        <v/>
      </c>
      <c r="U24" s="382">
        <v>0</v>
      </c>
      <c r="V24" s="382">
        <v>0</v>
      </c>
      <c r="W24" s="379"/>
      <c r="X24" s="382"/>
      <c r="Y24" s="379"/>
      <c r="Z24" s="385"/>
      <c r="AA24" s="385"/>
      <c r="AB24" s="382"/>
      <c r="AC24" s="384"/>
      <c r="AD24" s="386"/>
      <c r="AE24" s="386"/>
      <c r="AF24" s="386"/>
      <c r="AG24" s="386"/>
      <c r="AI24" s="351">
        <f t="shared" si="10"/>
        <v>0</v>
      </c>
      <c r="AJ24" s="351" t="str">
        <f t="shared" si="11"/>
        <v/>
      </c>
      <c r="AK24" s="351" t="str">
        <f t="shared" si="11"/>
        <v/>
      </c>
      <c r="AL24" s="363">
        <f t="shared" si="12"/>
        <v>0</v>
      </c>
      <c r="AM24" s="363">
        <f t="shared" si="4"/>
        <v>0</v>
      </c>
      <c r="AN24" s="363">
        <f t="shared" si="4"/>
        <v>1</v>
      </c>
      <c r="AO24" s="363">
        <f t="shared" si="4"/>
        <v>0</v>
      </c>
      <c r="AP24" s="363">
        <f t="shared" si="4"/>
        <v>0</v>
      </c>
      <c r="AQ24" s="363">
        <f t="shared" si="4"/>
        <v>0</v>
      </c>
      <c r="AR24" s="363">
        <f t="shared" si="4"/>
        <v>1</v>
      </c>
      <c r="AS24" s="363">
        <f t="shared" si="4"/>
        <v>0</v>
      </c>
      <c r="AT24" s="363">
        <f t="shared" si="4"/>
        <v>0</v>
      </c>
      <c r="AU24" s="363">
        <f t="shared" si="4"/>
        <v>0</v>
      </c>
      <c r="AV24" s="363">
        <f t="shared" si="4"/>
        <v>1</v>
      </c>
      <c r="AW24" s="363">
        <f t="shared" si="4"/>
        <v>0</v>
      </c>
      <c r="AX24" s="363">
        <f t="shared" si="4"/>
        <v>0</v>
      </c>
      <c r="AY24" s="363">
        <f t="shared" si="4"/>
        <v>0</v>
      </c>
      <c r="AZ24" s="363">
        <f t="shared" si="4"/>
        <v>0</v>
      </c>
      <c r="BA24" s="363">
        <f t="shared" si="4"/>
        <v>1</v>
      </c>
      <c r="BB24" s="363">
        <f t="shared" si="4"/>
        <v>1</v>
      </c>
      <c r="BC24" s="363">
        <f t="shared" si="5"/>
        <v>1</v>
      </c>
      <c r="BD24" s="363">
        <f t="shared" si="5"/>
        <v>1</v>
      </c>
      <c r="BE24" s="363">
        <f t="shared" si="5"/>
        <v>1</v>
      </c>
      <c r="BF24" s="363">
        <f t="shared" si="5"/>
        <v>1</v>
      </c>
      <c r="BG24" s="363">
        <f t="shared" si="5"/>
        <v>1</v>
      </c>
      <c r="BH24" s="363"/>
      <c r="BI24" s="363"/>
      <c r="BJ24" s="363"/>
      <c r="BK24" s="363"/>
      <c r="BL24" s="363"/>
      <c r="BM24" s="363"/>
      <c r="BQ24" s="351" t="str">
        <f t="shared" si="6"/>
        <v/>
      </c>
      <c r="BR24" s="351" t="str">
        <f t="shared" si="6"/>
        <v/>
      </c>
      <c r="BS24" s="351" t="str">
        <f t="shared" si="6"/>
        <v/>
      </c>
      <c r="BT24" s="351" t="str">
        <f t="shared" si="6"/>
        <v/>
      </c>
      <c r="BU24" s="351" t="str">
        <f t="shared" si="6"/>
        <v/>
      </c>
    </row>
    <row r="25" spans="1:73" x14ac:dyDescent="0.25">
      <c r="A25" s="379"/>
      <c r="B25" s="379" t="str">
        <f t="shared" si="7"/>
        <v/>
      </c>
      <c r="C25" s="380"/>
      <c r="D25" s="380"/>
      <c r="E25" s="381"/>
      <c r="F25" s="385"/>
      <c r="G25" s="382"/>
      <c r="H25" s="383"/>
      <c r="I25" s="383"/>
      <c r="J25" s="383"/>
      <c r="K25" s="398" t="str">
        <f t="shared" si="8"/>
        <v/>
      </c>
      <c r="L25" s="383"/>
      <c r="M25" s="383"/>
      <c r="N25" s="383"/>
      <c r="O25" s="379" t="str">
        <f t="shared" si="9"/>
        <v/>
      </c>
      <c r="P25" s="383"/>
      <c r="Q25" s="382"/>
      <c r="R25" s="382"/>
      <c r="S25" s="382"/>
      <c r="T25" s="379" t="str">
        <f>IF(E25="","",IF(AI25&lt;&gt;1,$AJ$1,IF(AND(S25=1,R25=1,OR(H25&gt;=פרמטרים!$B$8,INDEX('תנאי סף'!$AF$11:$AF$50,MATCH($T$1,'תנאי סף'!$A$11:$A$50,0))),OR(O25&gt;=$H$8,INDEX('תנאי סף'!$AC$11:$AC$50,MATCH($T$1,'תנאי סף'!$A$11:$A$50,0))),INDEX('תנאי סף'!$AI$11:$AI$50,MATCH($T$1,'תנאי סף'!$A$11:$A$50,0)),COUNTA($E$15:$E$44)&gt;=$H$6),1,0)))</f>
        <v/>
      </c>
      <c r="U25" s="382">
        <v>0</v>
      </c>
      <c r="V25" s="382">
        <v>0</v>
      </c>
      <c r="W25" s="379"/>
      <c r="X25" s="382"/>
      <c r="Y25" s="379"/>
      <c r="Z25" s="385"/>
      <c r="AA25" s="385"/>
      <c r="AB25" s="382"/>
      <c r="AC25" s="384"/>
      <c r="AD25" s="386"/>
      <c r="AE25" s="386"/>
      <c r="AF25" s="386"/>
      <c r="AG25" s="386"/>
      <c r="AI25" s="351">
        <f t="shared" si="10"/>
        <v>0</v>
      </c>
      <c r="AJ25" s="351" t="str">
        <f t="shared" si="11"/>
        <v/>
      </c>
      <c r="AK25" s="351" t="str">
        <f t="shared" si="11"/>
        <v/>
      </c>
      <c r="AL25" s="363">
        <f t="shared" si="12"/>
        <v>0</v>
      </c>
      <c r="AM25" s="363">
        <f t="shared" si="4"/>
        <v>0</v>
      </c>
      <c r="AN25" s="363">
        <f t="shared" si="4"/>
        <v>1</v>
      </c>
      <c r="AO25" s="363">
        <f t="shared" si="4"/>
        <v>0</v>
      </c>
      <c r="AP25" s="363">
        <f t="shared" si="4"/>
        <v>0</v>
      </c>
      <c r="AQ25" s="363">
        <f t="shared" si="4"/>
        <v>0</v>
      </c>
      <c r="AR25" s="363">
        <f t="shared" si="4"/>
        <v>1</v>
      </c>
      <c r="AS25" s="363">
        <f t="shared" si="4"/>
        <v>0</v>
      </c>
      <c r="AT25" s="363">
        <f t="shared" si="4"/>
        <v>0</v>
      </c>
      <c r="AU25" s="363">
        <f t="shared" si="4"/>
        <v>0</v>
      </c>
      <c r="AV25" s="363">
        <f t="shared" si="4"/>
        <v>1</v>
      </c>
      <c r="AW25" s="363">
        <f t="shared" si="4"/>
        <v>0</v>
      </c>
      <c r="AX25" s="363">
        <f t="shared" si="4"/>
        <v>0</v>
      </c>
      <c r="AY25" s="363">
        <f t="shared" si="4"/>
        <v>0</v>
      </c>
      <c r="AZ25" s="363">
        <f t="shared" si="4"/>
        <v>0</v>
      </c>
      <c r="BA25" s="363">
        <f t="shared" si="4"/>
        <v>1</v>
      </c>
      <c r="BB25" s="363">
        <f t="shared" si="4"/>
        <v>1</v>
      </c>
      <c r="BC25" s="363">
        <f t="shared" si="5"/>
        <v>1</v>
      </c>
      <c r="BD25" s="363">
        <f t="shared" si="5"/>
        <v>1</v>
      </c>
      <c r="BE25" s="363">
        <f t="shared" si="5"/>
        <v>1</v>
      </c>
      <c r="BF25" s="363">
        <f t="shared" si="5"/>
        <v>1</v>
      </c>
      <c r="BG25" s="363">
        <f t="shared" si="5"/>
        <v>1</v>
      </c>
      <c r="BH25" s="363"/>
      <c r="BI25" s="363"/>
      <c r="BJ25" s="363"/>
      <c r="BK25" s="363"/>
      <c r="BL25" s="363"/>
      <c r="BM25" s="363"/>
      <c r="BQ25" s="351" t="str">
        <f t="shared" si="6"/>
        <v/>
      </c>
      <c r="BR25" s="351" t="str">
        <f t="shared" si="6"/>
        <v/>
      </c>
      <c r="BS25" s="351" t="str">
        <f t="shared" si="6"/>
        <v/>
      </c>
      <c r="BT25" s="351" t="str">
        <f t="shared" si="6"/>
        <v/>
      </c>
      <c r="BU25" s="351" t="str">
        <f t="shared" si="6"/>
        <v/>
      </c>
    </row>
    <row r="26" spans="1:73" x14ac:dyDescent="0.25">
      <c r="A26" s="379"/>
      <c r="B26" s="379" t="str">
        <f t="shared" si="7"/>
        <v/>
      </c>
      <c r="C26" s="380"/>
      <c r="D26" s="380"/>
      <c r="E26" s="381"/>
      <c r="F26" s="385"/>
      <c r="G26" s="382"/>
      <c r="H26" s="383"/>
      <c r="I26" s="383"/>
      <c r="J26" s="383"/>
      <c r="K26" s="398" t="str">
        <f t="shared" si="8"/>
        <v/>
      </c>
      <c r="L26" s="383"/>
      <c r="M26" s="383"/>
      <c r="N26" s="383"/>
      <c r="O26" s="379" t="str">
        <f t="shared" si="9"/>
        <v/>
      </c>
      <c r="P26" s="383"/>
      <c r="Q26" s="382"/>
      <c r="R26" s="382"/>
      <c r="S26" s="382"/>
      <c r="T26" s="379" t="str">
        <f>IF(E26="","",IF(AI26&lt;&gt;1,$AJ$1,IF(AND(S26=1,R26=1,OR(H26&gt;=פרמטרים!$B$8,INDEX('תנאי סף'!$AF$11:$AF$50,MATCH($T$1,'תנאי סף'!$A$11:$A$50,0))),OR(O26&gt;=$H$8,INDEX('תנאי סף'!$AC$11:$AC$50,MATCH($T$1,'תנאי סף'!$A$11:$A$50,0))),INDEX('תנאי סף'!$AI$11:$AI$50,MATCH($T$1,'תנאי סף'!$A$11:$A$50,0)),COUNTA($E$15:$E$44)&gt;=$H$6),1,0)))</f>
        <v/>
      </c>
      <c r="U26" s="382">
        <v>0</v>
      </c>
      <c r="V26" s="382">
        <v>0</v>
      </c>
      <c r="W26" s="379"/>
      <c r="X26" s="382"/>
      <c r="Y26" s="379"/>
      <c r="Z26" s="385"/>
      <c r="AA26" s="385"/>
      <c r="AB26" s="382"/>
      <c r="AC26" s="384"/>
      <c r="AD26" s="386"/>
      <c r="AE26" s="386"/>
      <c r="AF26" s="386"/>
      <c r="AG26" s="386"/>
      <c r="AI26" s="351">
        <f t="shared" si="10"/>
        <v>0</v>
      </c>
      <c r="AJ26" s="351" t="str">
        <f t="shared" si="11"/>
        <v/>
      </c>
      <c r="AK26" s="351" t="str">
        <f t="shared" si="11"/>
        <v/>
      </c>
      <c r="AL26" s="363">
        <f t="shared" si="12"/>
        <v>0</v>
      </c>
      <c r="AM26" s="363">
        <f t="shared" si="4"/>
        <v>0</v>
      </c>
      <c r="AN26" s="363">
        <f t="shared" si="4"/>
        <v>1</v>
      </c>
      <c r="AO26" s="363">
        <f t="shared" si="4"/>
        <v>0</v>
      </c>
      <c r="AP26" s="363">
        <f t="shared" si="4"/>
        <v>0</v>
      </c>
      <c r="AQ26" s="363">
        <f t="shared" si="4"/>
        <v>0</v>
      </c>
      <c r="AR26" s="363">
        <f t="shared" si="4"/>
        <v>1</v>
      </c>
      <c r="AS26" s="363">
        <f t="shared" si="4"/>
        <v>0</v>
      </c>
      <c r="AT26" s="363">
        <f t="shared" si="4"/>
        <v>0</v>
      </c>
      <c r="AU26" s="363">
        <f t="shared" si="4"/>
        <v>0</v>
      </c>
      <c r="AV26" s="363">
        <f t="shared" si="4"/>
        <v>1</v>
      </c>
      <c r="AW26" s="363">
        <f t="shared" si="4"/>
        <v>0</v>
      </c>
      <c r="AX26" s="363">
        <f t="shared" si="4"/>
        <v>0</v>
      </c>
      <c r="AY26" s="363">
        <f t="shared" si="4"/>
        <v>0</v>
      </c>
      <c r="AZ26" s="363">
        <f t="shared" si="4"/>
        <v>0</v>
      </c>
      <c r="BA26" s="363">
        <f t="shared" si="4"/>
        <v>1</v>
      </c>
      <c r="BB26" s="363">
        <f t="shared" si="4"/>
        <v>1</v>
      </c>
      <c r="BC26" s="363">
        <f t="shared" si="5"/>
        <v>1</v>
      </c>
      <c r="BD26" s="363">
        <f t="shared" si="5"/>
        <v>1</v>
      </c>
      <c r="BE26" s="363">
        <f t="shared" si="5"/>
        <v>1</v>
      </c>
      <c r="BF26" s="363">
        <f t="shared" si="5"/>
        <v>1</v>
      </c>
      <c r="BG26" s="363">
        <f t="shared" si="5"/>
        <v>1</v>
      </c>
      <c r="BH26" s="363"/>
      <c r="BI26" s="363"/>
      <c r="BJ26" s="363"/>
      <c r="BK26" s="363"/>
      <c r="BL26" s="363"/>
      <c r="BM26" s="363"/>
      <c r="BQ26" s="351" t="str">
        <f t="shared" si="6"/>
        <v/>
      </c>
      <c r="BR26" s="351" t="str">
        <f t="shared" si="6"/>
        <v/>
      </c>
      <c r="BS26" s="351" t="str">
        <f t="shared" si="6"/>
        <v/>
      </c>
      <c r="BT26" s="351" t="str">
        <f t="shared" si="6"/>
        <v/>
      </c>
      <c r="BU26" s="351" t="str">
        <f t="shared" si="6"/>
        <v/>
      </c>
    </row>
    <row r="27" spans="1:73" x14ac:dyDescent="0.25">
      <c r="A27" s="379"/>
      <c r="B27" s="379" t="str">
        <f t="shared" si="7"/>
        <v/>
      </c>
      <c r="C27" s="380"/>
      <c r="D27" s="380"/>
      <c r="E27" s="381"/>
      <c r="F27" s="385"/>
      <c r="G27" s="382"/>
      <c r="H27" s="383"/>
      <c r="I27" s="383"/>
      <c r="J27" s="383"/>
      <c r="K27" s="398" t="str">
        <f t="shared" si="8"/>
        <v/>
      </c>
      <c r="L27" s="383"/>
      <c r="M27" s="383"/>
      <c r="N27" s="383"/>
      <c r="O27" s="379" t="str">
        <f t="shared" si="9"/>
        <v/>
      </c>
      <c r="P27" s="383"/>
      <c r="Q27" s="382"/>
      <c r="R27" s="382"/>
      <c r="S27" s="382"/>
      <c r="T27" s="379" t="str">
        <f>IF(E27="","",IF(AI27&lt;&gt;1,$AJ$1,IF(AND(S27=1,R27=1,OR(H27&gt;=פרמטרים!$B$8,INDEX('תנאי סף'!$AF$11:$AF$50,MATCH($T$1,'תנאי סף'!$A$11:$A$50,0))),OR(O27&gt;=$H$8,INDEX('תנאי סף'!$AC$11:$AC$50,MATCH($T$1,'תנאי סף'!$A$11:$A$50,0))),INDEX('תנאי סף'!$AI$11:$AI$50,MATCH($T$1,'תנאי סף'!$A$11:$A$50,0)),COUNTA($E$15:$E$44)&gt;=$H$6),1,0)))</f>
        <v/>
      </c>
      <c r="U27" s="382"/>
      <c r="V27" s="382"/>
      <c r="W27" s="379"/>
      <c r="X27" s="382"/>
      <c r="Y27" s="379"/>
      <c r="Z27" s="385"/>
      <c r="AA27" s="385"/>
      <c r="AB27" s="382"/>
      <c r="AC27" s="384"/>
      <c r="AD27" s="386"/>
      <c r="AE27" s="386"/>
      <c r="AF27" s="386"/>
      <c r="AG27" s="386"/>
      <c r="AI27" s="351">
        <f t="shared" si="10"/>
        <v>0</v>
      </c>
      <c r="AJ27" s="351" t="str">
        <f t="shared" si="11"/>
        <v/>
      </c>
      <c r="AK27" s="351" t="str">
        <f t="shared" si="11"/>
        <v/>
      </c>
      <c r="AL27" s="363">
        <f t="shared" si="12"/>
        <v>0</v>
      </c>
      <c r="AM27" s="363">
        <f t="shared" si="4"/>
        <v>0</v>
      </c>
      <c r="AN27" s="363">
        <f t="shared" si="4"/>
        <v>1</v>
      </c>
      <c r="AO27" s="363">
        <f t="shared" si="4"/>
        <v>0</v>
      </c>
      <c r="AP27" s="363">
        <f t="shared" si="4"/>
        <v>0</v>
      </c>
      <c r="AQ27" s="363">
        <f t="shared" si="4"/>
        <v>0</v>
      </c>
      <c r="AR27" s="363">
        <f t="shared" si="4"/>
        <v>1</v>
      </c>
      <c r="AS27" s="363">
        <f t="shared" si="4"/>
        <v>0</v>
      </c>
      <c r="AT27" s="363">
        <f t="shared" si="4"/>
        <v>0</v>
      </c>
      <c r="AU27" s="363">
        <f t="shared" si="4"/>
        <v>0</v>
      </c>
      <c r="AV27" s="363">
        <f t="shared" si="4"/>
        <v>1</v>
      </c>
      <c r="AW27" s="363">
        <f t="shared" si="4"/>
        <v>0</v>
      </c>
      <c r="AX27" s="363">
        <f t="shared" si="4"/>
        <v>0</v>
      </c>
      <c r="AY27" s="363">
        <f t="shared" si="4"/>
        <v>0</v>
      </c>
      <c r="AZ27" s="363">
        <f t="shared" si="4"/>
        <v>0</v>
      </c>
      <c r="BA27" s="363">
        <f t="shared" si="4"/>
        <v>1</v>
      </c>
      <c r="BB27" s="363">
        <f t="shared" si="4"/>
        <v>0</v>
      </c>
      <c r="BC27" s="363">
        <f t="shared" si="5"/>
        <v>0</v>
      </c>
      <c r="BD27" s="363">
        <f t="shared" si="5"/>
        <v>1</v>
      </c>
      <c r="BE27" s="363">
        <f t="shared" si="5"/>
        <v>1</v>
      </c>
      <c r="BF27" s="363">
        <f t="shared" si="5"/>
        <v>1</v>
      </c>
      <c r="BG27" s="363">
        <f t="shared" si="5"/>
        <v>1</v>
      </c>
      <c r="BH27" s="363"/>
      <c r="BI27" s="363"/>
      <c r="BJ27" s="363"/>
      <c r="BK27" s="363"/>
      <c r="BL27" s="363"/>
      <c r="BM27" s="363"/>
      <c r="BQ27" s="351" t="str">
        <f t="shared" si="6"/>
        <v/>
      </c>
      <c r="BR27" s="351" t="str">
        <f t="shared" si="6"/>
        <v/>
      </c>
      <c r="BS27" s="351" t="str">
        <f t="shared" si="6"/>
        <v/>
      </c>
      <c r="BT27" s="351" t="str">
        <f t="shared" si="6"/>
        <v/>
      </c>
      <c r="BU27" s="351" t="str">
        <f t="shared" si="6"/>
        <v/>
      </c>
    </row>
    <row r="28" spans="1:73" x14ac:dyDescent="0.25">
      <c r="A28" s="379"/>
      <c r="B28" s="379" t="str">
        <f t="shared" si="7"/>
        <v/>
      </c>
      <c r="C28" s="380"/>
      <c r="D28" s="380"/>
      <c r="E28" s="381"/>
      <c r="F28" s="385"/>
      <c r="G28" s="382"/>
      <c r="H28" s="383"/>
      <c r="I28" s="383"/>
      <c r="J28" s="383"/>
      <c r="K28" s="398" t="str">
        <f t="shared" si="8"/>
        <v/>
      </c>
      <c r="L28" s="383"/>
      <c r="M28" s="383"/>
      <c r="N28" s="383"/>
      <c r="O28" s="379" t="str">
        <f t="shared" si="9"/>
        <v/>
      </c>
      <c r="P28" s="383"/>
      <c r="Q28" s="382"/>
      <c r="R28" s="382"/>
      <c r="S28" s="382"/>
      <c r="T28" s="379" t="str">
        <f>IF(E28="","",IF(AI28&lt;&gt;1,$AJ$1,IF(AND(S28=1,R28=1,OR(H28&gt;=פרמטרים!$B$8,INDEX('תנאי סף'!$AF$11:$AF$50,MATCH($T$1,'תנאי סף'!$A$11:$A$50,0))),OR(O28&gt;=$H$8,INDEX('תנאי סף'!$AC$11:$AC$50,MATCH($T$1,'תנאי סף'!$A$11:$A$50,0))),INDEX('תנאי סף'!$AI$11:$AI$50,MATCH($T$1,'תנאי סף'!$A$11:$A$50,0)),COUNTA($E$15:$E$44)&gt;=$H$6),1,0)))</f>
        <v/>
      </c>
      <c r="U28" s="382"/>
      <c r="V28" s="382"/>
      <c r="W28" s="379"/>
      <c r="X28" s="382"/>
      <c r="Y28" s="379"/>
      <c r="Z28" s="385"/>
      <c r="AA28" s="385"/>
      <c r="AB28" s="382"/>
      <c r="AC28" s="384"/>
      <c r="AD28" s="386"/>
      <c r="AE28" s="386"/>
      <c r="AF28" s="386"/>
      <c r="AG28" s="386"/>
      <c r="AI28" s="351">
        <f t="shared" si="10"/>
        <v>0</v>
      </c>
      <c r="AJ28" s="351" t="str">
        <f t="shared" si="11"/>
        <v/>
      </c>
      <c r="AK28" s="351" t="str">
        <f t="shared" si="11"/>
        <v/>
      </c>
      <c r="AL28" s="363">
        <f t="shared" si="12"/>
        <v>0</v>
      </c>
      <c r="AM28" s="363">
        <f t="shared" si="4"/>
        <v>0</v>
      </c>
      <c r="AN28" s="363">
        <f t="shared" si="4"/>
        <v>1</v>
      </c>
      <c r="AO28" s="363">
        <f t="shared" si="4"/>
        <v>0</v>
      </c>
      <c r="AP28" s="363">
        <f t="shared" si="4"/>
        <v>0</v>
      </c>
      <c r="AQ28" s="363">
        <f t="shared" si="4"/>
        <v>0</v>
      </c>
      <c r="AR28" s="363">
        <f t="shared" si="4"/>
        <v>1</v>
      </c>
      <c r="AS28" s="363">
        <f t="shared" si="4"/>
        <v>0</v>
      </c>
      <c r="AT28" s="363">
        <f t="shared" si="4"/>
        <v>0</v>
      </c>
      <c r="AU28" s="363">
        <f t="shared" si="4"/>
        <v>0</v>
      </c>
      <c r="AV28" s="363">
        <f t="shared" si="4"/>
        <v>1</v>
      </c>
      <c r="AW28" s="363">
        <f t="shared" si="4"/>
        <v>0</v>
      </c>
      <c r="AX28" s="363">
        <f t="shared" si="4"/>
        <v>0</v>
      </c>
      <c r="AY28" s="363">
        <f t="shared" si="4"/>
        <v>0</v>
      </c>
      <c r="AZ28" s="363">
        <f t="shared" si="4"/>
        <v>0</v>
      </c>
      <c r="BA28" s="363">
        <f t="shared" si="4"/>
        <v>1</v>
      </c>
      <c r="BB28" s="363">
        <f t="shared" si="4"/>
        <v>0</v>
      </c>
      <c r="BC28" s="363">
        <f t="shared" si="5"/>
        <v>0</v>
      </c>
      <c r="BD28" s="363">
        <f t="shared" si="5"/>
        <v>1</v>
      </c>
      <c r="BE28" s="363">
        <f t="shared" si="5"/>
        <v>1</v>
      </c>
      <c r="BF28" s="363">
        <f t="shared" si="5"/>
        <v>1</v>
      </c>
      <c r="BG28" s="363">
        <f t="shared" si="5"/>
        <v>1</v>
      </c>
      <c r="BH28" s="363"/>
      <c r="BI28" s="363"/>
      <c r="BJ28" s="363"/>
      <c r="BK28" s="363"/>
      <c r="BL28" s="363"/>
      <c r="BM28" s="363"/>
      <c r="BQ28" s="351" t="str">
        <f t="shared" si="6"/>
        <v/>
      </c>
      <c r="BR28" s="351" t="str">
        <f t="shared" si="6"/>
        <v/>
      </c>
      <c r="BS28" s="351" t="str">
        <f t="shared" si="6"/>
        <v/>
      </c>
      <c r="BT28" s="351" t="str">
        <f t="shared" si="6"/>
        <v/>
      </c>
      <c r="BU28" s="351" t="str">
        <f t="shared" si="6"/>
        <v/>
      </c>
    </row>
    <row r="29" spans="1:73" x14ac:dyDescent="0.25">
      <c r="A29" s="379"/>
      <c r="B29" s="379" t="str">
        <f t="shared" si="7"/>
        <v/>
      </c>
      <c r="C29" s="380"/>
      <c r="D29" s="380"/>
      <c r="E29" s="381"/>
      <c r="F29" s="385"/>
      <c r="G29" s="382"/>
      <c r="H29" s="383"/>
      <c r="I29" s="383"/>
      <c r="J29" s="383"/>
      <c r="K29" s="398" t="str">
        <f t="shared" si="8"/>
        <v/>
      </c>
      <c r="L29" s="383"/>
      <c r="M29" s="383"/>
      <c r="N29" s="383"/>
      <c r="O29" s="379" t="str">
        <f t="shared" si="9"/>
        <v/>
      </c>
      <c r="P29" s="383"/>
      <c r="Q29" s="382"/>
      <c r="R29" s="382"/>
      <c r="S29" s="382"/>
      <c r="T29" s="379" t="str">
        <f>IF(E29="","",IF(AI29&lt;&gt;1,$AJ$1,IF(AND(S29=1,R29=1,OR(H29&gt;=פרמטרים!$B$8,INDEX('תנאי סף'!$AF$11:$AF$50,MATCH($T$1,'תנאי סף'!$A$11:$A$50,0))),OR(O29&gt;=$H$8,INDEX('תנאי סף'!$AC$11:$AC$50,MATCH($T$1,'תנאי סף'!$A$11:$A$50,0))),INDEX('תנאי סף'!$AI$11:$AI$50,MATCH($T$1,'תנאי סף'!$A$11:$A$50,0)),COUNTA($E$15:$E$44)&gt;=$H$6),1,0)))</f>
        <v/>
      </c>
      <c r="U29" s="382"/>
      <c r="V29" s="382"/>
      <c r="W29" s="379"/>
      <c r="X29" s="382"/>
      <c r="Y29" s="379"/>
      <c r="Z29" s="385"/>
      <c r="AA29" s="385"/>
      <c r="AB29" s="382"/>
      <c r="AC29" s="384"/>
      <c r="AD29" s="386"/>
      <c r="AE29" s="386"/>
      <c r="AF29" s="386"/>
      <c r="AG29" s="386"/>
      <c r="AI29" s="351">
        <f t="shared" si="10"/>
        <v>0</v>
      </c>
      <c r="AJ29" s="351" t="str">
        <f t="shared" si="11"/>
        <v/>
      </c>
      <c r="AK29" s="351" t="str">
        <f t="shared" si="11"/>
        <v/>
      </c>
      <c r="AL29" s="363">
        <f t="shared" si="12"/>
        <v>0</v>
      </c>
      <c r="AM29" s="363">
        <f t="shared" si="4"/>
        <v>0</v>
      </c>
      <c r="AN29" s="363">
        <f t="shared" si="4"/>
        <v>1</v>
      </c>
      <c r="AO29" s="363">
        <f t="shared" si="4"/>
        <v>0</v>
      </c>
      <c r="AP29" s="363">
        <f t="shared" si="4"/>
        <v>0</v>
      </c>
      <c r="AQ29" s="363">
        <f t="shared" si="4"/>
        <v>0</v>
      </c>
      <c r="AR29" s="363">
        <f t="shared" si="4"/>
        <v>1</v>
      </c>
      <c r="AS29" s="363">
        <f t="shared" si="4"/>
        <v>0</v>
      </c>
      <c r="AT29" s="363">
        <f t="shared" si="4"/>
        <v>0</v>
      </c>
      <c r="AU29" s="363">
        <f t="shared" si="4"/>
        <v>0</v>
      </c>
      <c r="AV29" s="363">
        <f t="shared" si="4"/>
        <v>1</v>
      </c>
      <c r="AW29" s="363">
        <f t="shared" si="4"/>
        <v>0</v>
      </c>
      <c r="AX29" s="363">
        <f t="shared" si="4"/>
        <v>0</v>
      </c>
      <c r="AY29" s="363">
        <f t="shared" si="4"/>
        <v>0</v>
      </c>
      <c r="AZ29" s="363">
        <f t="shared" si="4"/>
        <v>0</v>
      </c>
      <c r="BA29" s="363">
        <f t="shared" si="4"/>
        <v>1</v>
      </c>
      <c r="BB29" s="363">
        <f t="shared" si="4"/>
        <v>0</v>
      </c>
      <c r="BC29" s="363">
        <f t="shared" si="5"/>
        <v>0</v>
      </c>
      <c r="BD29" s="363">
        <f t="shared" si="5"/>
        <v>1</v>
      </c>
      <c r="BE29" s="363">
        <f t="shared" si="5"/>
        <v>1</v>
      </c>
      <c r="BF29" s="363">
        <f t="shared" si="5"/>
        <v>1</v>
      </c>
      <c r="BG29" s="363">
        <f t="shared" si="5"/>
        <v>1</v>
      </c>
      <c r="BH29" s="363"/>
      <c r="BI29" s="363"/>
      <c r="BJ29" s="363"/>
      <c r="BK29" s="363"/>
      <c r="BL29" s="363"/>
      <c r="BM29" s="363"/>
      <c r="BQ29" s="351" t="str">
        <f t="shared" si="6"/>
        <v/>
      </c>
      <c r="BR29" s="351" t="str">
        <f t="shared" si="6"/>
        <v/>
      </c>
      <c r="BS29" s="351" t="str">
        <f t="shared" si="6"/>
        <v/>
      </c>
      <c r="BT29" s="351" t="str">
        <f t="shared" si="6"/>
        <v/>
      </c>
      <c r="BU29" s="351" t="str">
        <f t="shared" si="6"/>
        <v/>
      </c>
    </row>
    <row r="30" spans="1:73" x14ac:dyDescent="0.25">
      <c r="A30" s="379"/>
      <c r="B30" s="379" t="str">
        <f t="shared" si="7"/>
        <v/>
      </c>
      <c r="C30" s="380"/>
      <c r="D30" s="380"/>
      <c r="E30" s="381"/>
      <c r="F30" s="385"/>
      <c r="G30" s="382"/>
      <c r="H30" s="383"/>
      <c r="I30" s="383"/>
      <c r="J30" s="383"/>
      <c r="K30" s="398" t="str">
        <f t="shared" si="8"/>
        <v/>
      </c>
      <c r="L30" s="383"/>
      <c r="M30" s="383"/>
      <c r="N30" s="383"/>
      <c r="O30" s="379" t="str">
        <f t="shared" si="9"/>
        <v/>
      </c>
      <c r="P30" s="383"/>
      <c r="Q30" s="382"/>
      <c r="R30" s="382"/>
      <c r="S30" s="382"/>
      <c r="T30" s="379" t="str">
        <f>IF(E30="","",IF(AI30&lt;&gt;1,$AJ$1,IF(AND(S30=1,R30=1,OR(H30&gt;=פרמטרים!$B$8,INDEX('תנאי סף'!$AF$11:$AF$50,MATCH($T$1,'תנאי סף'!$A$11:$A$50,0))),OR(O30&gt;=$H$8,INDEX('תנאי סף'!$AC$11:$AC$50,MATCH($T$1,'תנאי סף'!$A$11:$A$50,0))),INDEX('תנאי סף'!$AI$11:$AI$50,MATCH($T$1,'תנאי סף'!$A$11:$A$50,0)),COUNTA($E$15:$E$44)&gt;=$H$6),1,0)))</f>
        <v/>
      </c>
      <c r="U30" s="382"/>
      <c r="V30" s="382"/>
      <c r="W30" s="379"/>
      <c r="X30" s="382"/>
      <c r="Y30" s="379"/>
      <c r="Z30" s="385"/>
      <c r="AA30" s="385"/>
      <c r="AB30" s="382"/>
      <c r="AC30" s="384"/>
      <c r="AD30" s="386"/>
      <c r="AE30" s="386"/>
      <c r="AF30" s="386"/>
      <c r="AG30" s="386"/>
      <c r="AI30" s="351">
        <f t="shared" si="10"/>
        <v>0</v>
      </c>
      <c r="AJ30" s="351" t="str">
        <f t="shared" si="11"/>
        <v/>
      </c>
      <c r="AK30" s="351" t="str">
        <f t="shared" si="11"/>
        <v/>
      </c>
      <c r="AL30" s="363">
        <f t="shared" si="12"/>
        <v>0</v>
      </c>
      <c r="AM30" s="363">
        <f t="shared" si="4"/>
        <v>0</v>
      </c>
      <c r="AN30" s="363">
        <f t="shared" si="4"/>
        <v>1</v>
      </c>
      <c r="AO30" s="363">
        <f t="shared" si="4"/>
        <v>0</v>
      </c>
      <c r="AP30" s="363">
        <f t="shared" si="4"/>
        <v>0</v>
      </c>
      <c r="AQ30" s="363">
        <f t="shared" si="4"/>
        <v>0</v>
      </c>
      <c r="AR30" s="363">
        <f t="shared" si="4"/>
        <v>1</v>
      </c>
      <c r="AS30" s="363">
        <f t="shared" si="4"/>
        <v>0</v>
      </c>
      <c r="AT30" s="363">
        <f t="shared" si="4"/>
        <v>0</v>
      </c>
      <c r="AU30" s="363">
        <f t="shared" si="4"/>
        <v>0</v>
      </c>
      <c r="AV30" s="363">
        <f t="shared" si="4"/>
        <v>1</v>
      </c>
      <c r="AW30" s="363">
        <f t="shared" si="4"/>
        <v>0</v>
      </c>
      <c r="AX30" s="363">
        <f t="shared" si="4"/>
        <v>0</v>
      </c>
      <c r="AY30" s="363">
        <f t="shared" si="4"/>
        <v>0</v>
      </c>
      <c r="AZ30" s="363">
        <f t="shared" si="4"/>
        <v>0</v>
      </c>
      <c r="BA30" s="363">
        <f t="shared" si="4"/>
        <v>1</v>
      </c>
      <c r="BB30" s="363">
        <f t="shared" ref="BB30:BG44" si="13">IF(U$14="",1,IF(U30="",0,IF(ISNA(U30),0,1)))</f>
        <v>0</v>
      </c>
      <c r="BC30" s="363">
        <f t="shared" si="5"/>
        <v>0</v>
      </c>
      <c r="BD30" s="363">
        <f t="shared" si="5"/>
        <v>1</v>
      </c>
      <c r="BE30" s="363">
        <f t="shared" si="5"/>
        <v>1</v>
      </c>
      <c r="BF30" s="363">
        <f t="shared" si="5"/>
        <v>1</v>
      </c>
      <c r="BG30" s="363">
        <f t="shared" si="5"/>
        <v>1</v>
      </c>
      <c r="BH30" s="363"/>
      <c r="BI30" s="363"/>
      <c r="BJ30" s="363"/>
      <c r="BK30" s="363"/>
      <c r="BL30" s="363"/>
      <c r="BM30" s="363"/>
      <c r="BQ30" s="351" t="str">
        <f t="shared" si="6"/>
        <v/>
      </c>
      <c r="BR30" s="351" t="str">
        <f t="shared" si="6"/>
        <v/>
      </c>
      <c r="BS30" s="351" t="str">
        <f t="shared" si="6"/>
        <v/>
      </c>
      <c r="BT30" s="351" t="str">
        <f t="shared" si="6"/>
        <v/>
      </c>
      <c r="BU30" s="351" t="str">
        <f t="shared" si="6"/>
        <v/>
      </c>
    </row>
    <row r="31" spans="1:73" x14ac:dyDescent="0.25">
      <c r="A31" s="379"/>
      <c r="B31" s="379" t="str">
        <f t="shared" si="7"/>
        <v/>
      </c>
      <c r="C31" s="380"/>
      <c r="D31" s="380"/>
      <c r="E31" s="381"/>
      <c r="F31" s="385"/>
      <c r="G31" s="382"/>
      <c r="H31" s="383"/>
      <c r="I31" s="383"/>
      <c r="J31" s="383"/>
      <c r="K31" s="398" t="str">
        <f t="shared" si="8"/>
        <v/>
      </c>
      <c r="L31" s="383"/>
      <c r="M31" s="383"/>
      <c r="N31" s="383"/>
      <c r="O31" s="379" t="str">
        <f t="shared" si="9"/>
        <v/>
      </c>
      <c r="P31" s="383"/>
      <c r="Q31" s="382"/>
      <c r="R31" s="382"/>
      <c r="S31" s="382"/>
      <c r="T31" s="379" t="str">
        <f>IF(E31="","",IF(AI31&lt;&gt;1,$AJ$1,IF(AND(S31=1,R31=1,OR(H31&gt;=פרמטרים!$B$8,INDEX('תנאי סף'!$AF$11:$AF$50,MATCH($T$1,'תנאי סף'!$A$11:$A$50,0))),OR(O31&gt;=$H$8,INDEX('תנאי סף'!$AC$11:$AC$50,MATCH($T$1,'תנאי סף'!$A$11:$A$50,0))),INDEX('תנאי סף'!$AI$11:$AI$50,MATCH($T$1,'תנאי סף'!$A$11:$A$50,0)),COUNTA($E$15:$E$44)&gt;=$H$6),1,0)))</f>
        <v/>
      </c>
      <c r="U31" s="382"/>
      <c r="V31" s="382"/>
      <c r="W31" s="379"/>
      <c r="X31" s="382"/>
      <c r="Y31" s="379"/>
      <c r="Z31" s="385"/>
      <c r="AA31" s="385"/>
      <c r="AB31" s="382"/>
      <c r="AC31" s="384"/>
      <c r="AD31" s="386"/>
      <c r="AE31" s="386"/>
      <c r="AF31" s="386"/>
      <c r="AG31" s="386"/>
      <c r="AI31" s="351">
        <f t="shared" si="10"/>
        <v>0</v>
      </c>
      <c r="AJ31" s="351" t="str">
        <f t="shared" si="11"/>
        <v/>
      </c>
      <c r="AK31" s="351" t="str">
        <f t="shared" si="11"/>
        <v/>
      </c>
      <c r="AL31" s="363">
        <f t="shared" si="12"/>
        <v>0</v>
      </c>
      <c r="AM31" s="363">
        <f t="shared" si="12"/>
        <v>0</v>
      </c>
      <c r="AN31" s="363">
        <f t="shared" si="12"/>
        <v>1</v>
      </c>
      <c r="AO31" s="363">
        <f t="shared" si="12"/>
        <v>0</v>
      </c>
      <c r="AP31" s="363">
        <f t="shared" si="12"/>
        <v>0</v>
      </c>
      <c r="AQ31" s="363">
        <f t="shared" si="12"/>
        <v>0</v>
      </c>
      <c r="AR31" s="363">
        <f t="shared" si="12"/>
        <v>1</v>
      </c>
      <c r="AS31" s="363">
        <f t="shared" si="12"/>
        <v>0</v>
      </c>
      <c r="AT31" s="363">
        <f t="shared" si="12"/>
        <v>0</v>
      </c>
      <c r="AU31" s="363">
        <f t="shared" si="12"/>
        <v>0</v>
      </c>
      <c r="AV31" s="363">
        <f t="shared" si="12"/>
        <v>1</v>
      </c>
      <c r="AW31" s="363">
        <f t="shared" si="12"/>
        <v>0</v>
      </c>
      <c r="AX31" s="363">
        <f t="shared" si="12"/>
        <v>0</v>
      </c>
      <c r="AY31" s="363">
        <f t="shared" si="12"/>
        <v>0</v>
      </c>
      <c r="AZ31" s="363">
        <f t="shared" si="12"/>
        <v>0</v>
      </c>
      <c r="BA31" s="363">
        <f t="shared" si="12"/>
        <v>1</v>
      </c>
      <c r="BB31" s="363">
        <f t="shared" si="13"/>
        <v>0</v>
      </c>
      <c r="BC31" s="363">
        <f t="shared" si="13"/>
        <v>0</v>
      </c>
      <c r="BD31" s="363">
        <f t="shared" si="13"/>
        <v>1</v>
      </c>
      <c r="BE31" s="363">
        <f t="shared" si="13"/>
        <v>1</v>
      </c>
      <c r="BF31" s="363">
        <f t="shared" si="13"/>
        <v>1</v>
      </c>
      <c r="BG31" s="363">
        <f t="shared" si="13"/>
        <v>1</v>
      </c>
      <c r="BH31" s="363"/>
      <c r="BI31" s="363"/>
      <c r="BJ31" s="363"/>
      <c r="BK31" s="363"/>
      <c r="BL31" s="363"/>
      <c r="BM31" s="363"/>
      <c r="BQ31" s="351" t="str">
        <f t="shared" ref="BQ31:BU44" si="14">IF($F31="","",BQ$14)</f>
        <v/>
      </c>
      <c r="BR31" s="351" t="str">
        <f t="shared" si="14"/>
        <v/>
      </c>
      <c r="BS31" s="351" t="str">
        <f t="shared" si="14"/>
        <v/>
      </c>
      <c r="BT31" s="351" t="str">
        <f t="shared" si="14"/>
        <v/>
      </c>
      <c r="BU31" s="351" t="str">
        <f t="shared" si="14"/>
        <v/>
      </c>
    </row>
    <row r="32" spans="1:73" x14ac:dyDescent="0.25">
      <c r="A32" s="379"/>
      <c r="B32" s="379" t="str">
        <f t="shared" si="7"/>
        <v/>
      </c>
      <c r="C32" s="380"/>
      <c r="D32" s="380"/>
      <c r="E32" s="381"/>
      <c r="F32" s="385"/>
      <c r="G32" s="382"/>
      <c r="H32" s="383"/>
      <c r="I32" s="383"/>
      <c r="J32" s="383"/>
      <c r="K32" s="398" t="str">
        <f t="shared" si="8"/>
        <v/>
      </c>
      <c r="L32" s="383"/>
      <c r="M32" s="383"/>
      <c r="N32" s="383"/>
      <c r="O32" s="379" t="str">
        <f t="shared" si="9"/>
        <v/>
      </c>
      <c r="P32" s="383"/>
      <c r="Q32" s="382"/>
      <c r="R32" s="382"/>
      <c r="S32" s="382"/>
      <c r="T32" s="379" t="str">
        <f>IF(E32="","",IF(AI32&lt;&gt;1,$AJ$1,IF(AND(S32=1,R32=1,OR(H32&gt;=פרמטרים!$B$8,INDEX('תנאי סף'!$AF$11:$AF$50,MATCH($T$1,'תנאי סף'!$A$11:$A$50,0))),OR(O32&gt;=$H$8,INDEX('תנאי סף'!$AC$11:$AC$50,MATCH($T$1,'תנאי סף'!$A$11:$A$50,0))),INDEX('תנאי סף'!$AI$11:$AI$50,MATCH($T$1,'תנאי סף'!$A$11:$A$50,0)),COUNTA($E$15:$E$44)&gt;=$H$6),1,0)))</f>
        <v/>
      </c>
      <c r="U32" s="382"/>
      <c r="V32" s="382"/>
      <c r="W32" s="379"/>
      <c r="X32" s="382"/>
      <c r="Y32" s="379"/>
      <c r="Z32" s="385"/>
      <c r="AA32" s="385"/>
      <c r="AB32" s="382"/>
      <c r="AC32" s="384"/>
      <c r="AD32" s="386"/>
      <c r="AE32" s="386"/>
      <c r="AF32" s="386"/>
      <c r="AG32" s="386"/>
      <c r="AI32" s="351">
        <f t="shared" si="10"/>
        <v>0</v>
      </c>
      <c r="AJ32" s="351" t="str">
        <f t="shared" si="11"/>
        <v/>
      </c>
      <c r="AK32" s="351" t="str">
        <f t="shared" si="11"/>
        <v/>
      </c>
      <c r="AL32" s="363">
        <f t="shared" si="12"/>
        <v>0</v>
      </c>
      <c r="AM32" s="363">
        <f t="shared" si="12"/>
        <v>0</v>
      </c>
      <c r="AN32" s="363">
        <f t="shared" si="12"/>
        <v>1</v>
      </c>
      <c r="AO32" s="363">
        <f t="shared" si="12"/>
        <v>0</v>
      </c>
      <c r="AP32" s="363">
        <f t="shared" si="12"/>
        <v>0</v>
      </c>
      <c r="AQ32" s="363">
        <f t="shared" si="12"/>
        <v>0</v>
      </c>
      <c r="AR32" s="363">
        <f t="shared" si="12"/>
        <v>1</v>
      </c>
      <c r="AS32" s="363">
        <f t="shared" si="12"/>
        <v>0</v>
      </c>
      <c r="AT32" s="363">
        <f t="shared" si="12"/>
        <v>0</v>
      </c>
      <c r="AU32" s="363">
        <f t="shared" si="12"/>
        <v>0</v>
      </c>
      <c r="AV32" s="363">
        <f t="shared" si="12"/>
        <v>1</v>
      </c>
      <c r="AW32" s="363">
        <f t="shared" si="12"/>
        <v>0</v>
      </c>
      <c r="AX32" s="363">
        <f t="shared" si="12"/>
        <v>0</v>
      </c>
      <c r="AY32" s="363">
        <f t="shared" si="12"/>
        <v>0</v>
      </c>
      <c r="AZ32" s="363">
        <f t="shared" si="12"/>
        <v>0</v>
      </c>
      <c r="BA32" s="363">
        <f t="shared" si="12"/>
        <v>1</v>
      </c>
      <c r="BB32" s="363">
        <f t="shared" si="13"/>
        <v>0</v>
      </c>
      <c r="BC32" s="363">
        <f t="shared" si="13"/>
        <v>0</v>
      </c>
      <c r="BD32" s="363">
        <f t="shared" si="13"/>
        <v>1</v>
      </c>
      <c r="BE32" s="363">
        <f t="shared" si="13"/>
        <v>1</v>
      </c>
      <c r="BF32" s="363">
        <f t="shared" si="13"/>
        <v>1</v>
      </c>
      <c r="BG32" s="363">
        <f t="shared" si="13"/>
        <v>1</v>
      </c>
      <c r="BH32" s="363"/>
      <c r="BI32" s="363"/>
      <c r="BJ32" s="363"/>
      <c r="BK32" s="363"/>
      <c r="BL32" s="363"/>
      <c r="BM32" s="363"/>
      <c r="BQ32" s="351" t="str">
        <f t="shared" si="14"/>
        <v/>
      </c>
      <c r="BR32" s="351" t="str">
        <f t="shared" si="14"/>
        <v/>
      </c>
      <c r="BS32" s="351" t="str">
        <f t="shared" si="14"/>
        <v/>
      </c>
      <c r="BT32" s="351" t="str">
        <f t="shared" si="14"/>
        <v/>
      </c>
      <c r="BU32" s="351" t="str">
        <f t="shared" si="14"/>
        <v/>
      </c>
    </row>
    <row r="33" spans="1:73" x14ac:dyDescent="0.25">
      <c r="A33" s="379"/>
      <c r="B33" s="379" t="str">
        <f t="shared" si="7"/>
        <v/>
      </c>
      <c r="C33" s="380"/>
      <c r="D33" s="380"/>
      <c r="E33" s="381"/>
      <c r="F33" s="385"/>
      <c r="G33" s="382"/>
      <c r="H33" s="383"/>
      <c r="I33" s="383"/>
      <c r="J33" s="383"/>
      <c r="K33" s="398" t="str">
        <f t="shared" si="8"/>
        <v/>
      </c>
      <c r="L33" s="383"/>
      <c r="M33" s="383"/>
      <c r="N33" s="383"/>
      <c r="O33" s="379" t="str">
        <f t="shared" si="9"/>
        <v/>
      </c>
      <c r="P33" s="383"/>
      <c r="Q33" s="382"/>
      <c r="R33" s="382"/>
      <c r="S33" s="382"/>
      <c r="T33" s="379" t="str">
        <f>IF(E33="","",IF(AI33&lt;&gt;1,$AJ$1,IF(AND(S33=1,R33=1,OR(H33&gt;=פרמטרים!$B$8,INDEX('תנאי סף'!$AF$11:$AF$50,MATCH($T$1,'תנאי סף'!$A$11:$A$50,0))),OR(O33&gt;=$H$8,INDEX('תנאי סף'!$AC$11:$AC$50,MATCH($T$1,'תנאי סף'!$A$11:$A$50,0))),INDEX('תנאי סף'!$AI$11:$AI$50,MATCH($T$1,'תנאי סף'!$A$11:$A$50,0)),COUNTA($E$15:$E$44)&gt;=$H$6),1,0)))</f>
        <v/>
      </c>
      <c r="U33" s="382"/>
      <c r="V33" s="382"/>
      <c r="W33" s="379"/>
      <c r="X33" s="382"/>
      <c r="Y33" s="379"/>
      <c r="Z33" s="385"/>
      <c r="AA33" s="385"/>
      <c r="AB33" s="382"/>
      <c r="AC33" s="384"/>
      <c r="AD33" s="386"/>
      <c r="AE33" s="386"/>
      <c r="AF33" s="386"/>
      <c r="AG33" s="386"/>
      <c r="AI33" s="351">
        <f t="shared" si="10"/>
        <v>0</v>
      </c>
      <c r="AJ33" s="351" t="str">
        <f t="shared" si="11"/>
        <v/>
      </c>
      <c r="AK33" s="351" t="str">
        <f t="shared" si="11"/>
        <v/>
      </c>
      <c r="AL33" s="363">
        <f t="shared" si="12"/>
        <v>0</v>
      </c>
      <c r="AM33" s="363">
        <f t="shared" si="12"/>
        <v>0</v>
      </c>
      <c r="AN33" s="363">
        <f t="shared" si="12"/>
        <v>1</v>
      </c>
      <c r="AO33" s="363">
        <f t="shared" si="12"/>
        <v>0</v>
      </c>
      <c r="AP33" s="363">
        <f t="shared" si="12"/>
        <v>0</v>
      </c>
      <c r="AQ33" s="363">
        <f t="shared" si="12"/>
        <v>0</v>
      </c>
      <c r="AR33" s="363">
        <f t="shared" si="12"/>
        <v>1</v>
      </c>
      <c r="AS33" s="363">
        <f t="shared" si="12"/>
        <v>0</v>
      </c>
      <c r="AT33" s="363">
        <f t="shared" si="12"/>
        <v>0</v>
      </c>
      <c r="AU33" s="363">
        <f t="shared" si="12"/>
        <v>0</v>
      </c>
      <c r="AV33" s="363">
        <f t="shared" si="12"/>
        <v>1</v>
      </c>
      <c r="AW33" s="363">
        <f t="shared" si="12"/>
        <v>0</v>
      </c>
      <c r="AX33" s="363">
        <f t="shared" si="12"/>
        <v>0</v>
      </c>
      <c r="AY33" s="363">
        <f t="shared" si="12"/>
        <v>0</v>
      </c>
      <c r="AZ33" s="363">
        <f t="shared" si="12"/>
        <v>0</v>
      </c>
      <c r="BA33" s="363">
        <f t="shared" si="12"/>
        <v>1</v>
      </c>
      <c r="BB33" s="363">
        <f t="shared" si="13"/>
        <v>0</v>
      </c>
      <c r="BC33" s="363">
        <f t="shared" si="13"/>
        <v>0</v>
      </c>
      <c r="BD33" s="363">
        <f t="shared" si="13"/>
        <v>1</v>
      </c>
      <c r="BE33" s="363">
        <f t="shared" si="13"/>
        <v>1</v>
      </c>
      <c r="BF33" s="363">
        <f t="shared" si="13"/>
        <v>1</v>
      </c>
      <c r="BG33" s="363">
        <f t="shared" si="13"/>
        <v>1</v>
      </c>
      <c r="BH33" s="363"/>
      <c r="BI33" s="363"/>
      <c r="BJ33" s="363"/>
      <c r="BK33" s="363"/>
      <c r="BL33" s="363"/>
      <c r="BM33" s="363"/>
      <c r="BQ33" s="351" t="str">
        <f t="shared" si="14"/>
        <v/>
      </c>
      <c r="BR33" s="351" t="str">
        <f t="shared" si="14"/>
        <v/>
      </c>
      <c r="BS33" s="351" t="str">
        <f t="shared" si="14"/>
        <v/>
      </c>
      <c r="BT33" s="351" t="str">
        <f t="shared" si="14"/>
        <v/>
      </c>
      <c r="BU33" s="351" t="str">
        <f t="shared" si="14"/>
        <v/>
      </c>
    </row>
    <row r="34" spans="1:73" x14ac:dyDescent="0.25">
      <c r="A34" s="379"/>
      <c r="B34" s="379" t="str">
        <f t="shared" si="7"/>
        <v/>
      </c>
      <c r="C34" s="380"/>
      <c r="D34" s="380"/>
      <c r="E34" s="381"/>
      <c r="F34" s="385"/>
      <c r="G34" s="382"/>
      <c r="H34" s="383"/>
      <c r="I34" s="383"/>
      <c r="J34" s="383"/>
      <c r="K34" s="398" t="str">
        <f t="shared" si="8"/>
        <v/>
      </c>
      <c r="L34" s="383"/>
      <c r="M34" s="383"/>
      <c r="N34" s="383"/>
      <c r="O34" s="379" t="str">
        <f t="shared" si="9"/>
        <v/>
      </c>
      <c r="P34" s="383"/>
      <c r="Q34" s="382"/>
      <c r="R34" s="382"/>
      <c r="S34" s="382"/>
      <c r="T34" s="379" t="str">
        <f>IF(E34="","",IF(AI34&lt;&gt;1,$AJ$1,IF(AND(S34=1,R34=1,OR(H34&gt;=פרמטרים!$B$8,INDEX('תנאי סף'!$AF$11:$AF$50,MATCH($T$1,'תנאי סף'!$A$11:$A$50,0))),OR(O34&gt;=$H$8,INDEX('תנאי סף'!$AC$11:$AC$50,MATCH($T$1,'תנאי סף'!$A$11:$A$50,0))),INDEX('תנאי סף'!$AI$11:$AI$50,MATCH($T$1,'תנאי סף'!$A$11:$A$50,0)),COUNTA($E$15:$E$44)&gt;=$H$6),1,0)))</f>
        <v/>
      </c>
      <c r="U34" s="382"/>
      <c r="V34" s="382"/>
      <c r="W34" s="379"/>
      <c r="X34" s="382"/>
      <c r="Y34" s="379"/>
      <c r="Z34" s="385"/>
      <c r="AA34" s="385"/>
      <c r="AB34" s="382"/>
      <c r="AC34" s="384"/>
      <c r="AD34" s="386"/>
      <c r="AE34" s="386"/>
      <c r="AF34" s="386"/>
      <c r="AG34" s="386"/>
      <c r="AI34" s="351">
        <f t="shared" si="10"/>
        <v>0</v>
      </c>
      <c r="AJ34" s="351" t="str">
        <f t="shared" si="11"/>
        <v/>
      </c>
      <c r="AK34" s="351" t="str">
        <f t="shared" si="11"/>
        <v/>
      </c>
      <c r="AL34" s="363">
        <f t="shared" si="12"/>
        <v>0</v>
      </c>
      <c r="AM34" s="363">
        <f t="shared" si="12"/>
        <v>0</v>
      </c>
      <c r="AN34" s="363">
        <f t="shared" si="12"/>
        <v>1</v>
      </c>
      <c r="AO34" s="363">
        <f t="shared" si="12"/>
        <v>0</v>
      </c>
      <c r="AP34" s="363">
        <f t="shared" si="12"/>
        <v>0</v>
      </c>
      <c r="AQ34" s="363">
        <f t="shared" si="12"/>
        <v>0</v>
      </c>
      <c r="AR34" s="363">
        <f t="shared" si="12"/>
        <v>1</v>
      </c>
      <c r="AS34" s="363">
        <f t="shared" si="12"/>
        <v>0</v>
      </c>
      <c r="AT34" s="363">
        <f t="shared" si="12"/>
        <v>0</v>
      </c>
      <c r="AU34" s="363">
        <f t="shared" si="12"/>
        <v>0</v>
      </c>
      <c r="AV34" s="363">
        <f t="shared" si="12"/>
        <v>1</v>
      </c>
      <c r="AW34" s="363">
        <f t="shared" si="12"/>
        <v>0</v>
      </c>
      <c r="AX34" s="363">
        <f t="shared" si="12"/>
        <v>0</v>
      </c>
      <c r="AY34" s="363">
        <f t="shared" si="12"/>
        <v>0</v>
      </c>
      <c r="AZ34" s="363">
        <f t="shared" si="12"/>
        <v>0</v>
      </c>
      <c r="BA34" s="363">
        <f t="shared" si="12"/>
        <v>1</v>
      </c>
      <c r="BB34" s="363">
        <f t="shared" si="13"/>
        <v>0</v>
      </c>
      <c r="BC34" s="363">
        <f t="shared" si="13"/>
        <v>0</v>
      </c>
      <c r="BD34" s="363">
        <f t="shared" si="13"/>
        <v>1</v>
      </c>
      <c r="BE34" s="363">
        <f t="shared" si="13"/>
        <v>1</v>
      </c>
      <c r="BF34" s="363">
        <f t="shared" si="13"/>
        <v>1</v>
      </c>
      <c r="BG34" s="363">
        <f t="shared" si="13"/>
        <v>1</v>
      </c>
      <c r="BH34" s="363"/>
      <c r="BI34" s="363"/>
      <c r="BJ34" s="363"/>
      <c r="BK34" s="363"/>
      <c r="BL34" s="363"/>
      <c r="BM34" s="363"/>
      <c r="BQ34" s="351" t="str">
        <f t="shared" si="14"/>
        <v/>
      </c>
      <c r="BR34" s="351" t="str">
        <f t="shared" si="14"/>
        <v/>
      </c>
      <c r="BS34" s="351" t="str">
        <f t="shared" si="14"/>
        <v/>
      </c>
      <c r="BT34" s="351" t="str">
        <f t="shared" si="14"/>
        <v/>
      </c>
      <c r="BU34" s="351" t="str">
        <f t="shared" si="14"/>
        <v/>
      </c>
    </row>
    <row r="35" spans="1:73" x14ac:dyDescent="0.25">
      <c r="A35" s="379"/>
      <c r="B35" s="379" t="str">
        <f t="shared" si="7"/>
        <v/>
      </c>
      <c r="C35" s="380"/>
      <c r="D35" s="380"/>
      <c r="E35" s="381"/>
      <c r="F35" s="385"/>
      <c r="G35" s="382"/>
      <c r="H35" s="383"/>
      <c r="I35" s="383"/>
      <c r="J35" s="383"/>
      <c r="K35" s="398" t="str">
        <f t="shared" si="8"/>
        <v/>
      </c>
      <c r="L35" s="383"/>
      <c r="M35" s="383"/>
      <c r="N35" s="383"/>
      <c r="O35" s="379" t="str">
        <f t="shared" si="9"/>
        <v/>
      </c>
      <c r="P35" s="383"/>
      <c r="Q35" s="382"/>
      <c r="R35" s="382"/>
      <c r="S35" s="382"/>
      <c r="T35" s="379" t="str">
        <f>IF(E35="","",IF(AI35&lt;&gt;1,$AJ$1,IF(AND(S35=1,R35=1,OR(H35&gt;=פרמטרים!$B$8,INDEX('תנאי סף'!$AF$11:$AF$50,MATCH($T$1,'תנאי סף'!$A$11:$A$50,0))),OR(O35&gt;=$H$8,INDEX('תנאי סף'!$AC$11:$AC$50,MATCH($T$1,'תנאי סף'!$A$11:$A$50,0))),INDEX('תנאי סף'!$AI$11:$AI$50,MATCH($T$1,'תנאי סף'!$A$11:$A$50,0)),COUNTA($E$15:$E$44)&gt;=$H$6),1,0)))</f>
        <v/>
      </c>
      <c r="U35" s="382"/>
      <c r="V35" s="382"/>
      <c r="W35" s="379"/>
      <c r="X35" s="382"/>
      <c r="Y35" s="379"/>
      <c r="Z35" s="385"/>
      <c r="AA35" s="385"/>
      <c r="AB35" s="382"/>
      <c r="AC35" s="384"/>
      <c r="AD35" s="386"/>
      <c r="AE35" s="386"/>
      <c r="AF35" s="386"/>
      <c r="AG35" s="386"/>
      <c r="AI35" s="351">
        <f t="shared" si="10"/>
        <v>0</v>
      </c>
      <c r="AJ35" s="351" t="str">
        <f t="shared" si="11"/>
        <v/>
      </c>
      <c r="AK35" s="351" t="str">
        <f t="shared" si="11"/>
        <v/>
      </c>
      <c r="AL35" s="363">
        <f t="shared" si="12"/>
        <v>0</v>
      </c>
      <c r="AM35" s="363">
        <f t="shared" si="12"/>
        <v>0</v>
      </c>
      <c r="AN35" s="363">
        <f t="shared" si="12"/>
        <v>1</v>
      </c>
      <c r="AO35" s="363">
        <f t="shared" si="12"/>
        <v>0</v>
      </c>
      <c r="AP35" s="363">
        <f t="shared" si="12"/>
        <v>0</v>
      </c>
      <c r="AQ35" s="363">
        <f t="shared" si="12"/>
        <v>0</v>
      </c>
      <c r="AR35" s="363">
        <f t="shared" si="12"/>
        <v>1</v>
      </c>
      <c r="AS35" s="363">
        <f t="shared" si="12"/>
        <v>0</v>
      </c>
      <c r="AT35" s="363">
        <f t="shared" si="12"/>
        <v>0</v>
      </c>
      <c r="AU35" s="363">
        <f t="shared" si="12"/>
        <v>0</v>
      </c>
      <c r="AV35" s="363">
        <f t="shared" si="12"/>
        <v>1</v>
      </c>
      <c r="AW35" s="363">
        <f t="shared" si="12"/>
        <v>0</v>
      </c>
      <c r="AX35" s="363">
        <f t="shared" si="12"/>
        <v>0</v>
      </c>
      <c r="AY35" s="363">
        <f t="shared" si="12"/>
        <v>0</v>
      </c>
      <c r="AZ35" s="363">
        <f t="shared" si="12"/>
        <v>0</v>
      </c>
      <c r="BA35" s="363">
        <f t="shared" si="12"/>
        <v>1</v>
      </c>
      <c r="BB35" s="363">
        <f t="shared" si="13"/>
        <v>0</v>
      </c>
      <c r="BC35" s="363">
        <f t="shared" si="13"/>
        <v>0</v>
      </c>
      <c r="BD35" s="363">
        <f t="shared" si="13"/>
        <v>1</v>
      </c>
      <c r="BE35" s="363">
        <f t="shared" si="13"/>
        <v>1</v>
      </c>
      <c r="BF35" s="363">
        <f t="shared" si="13"/>
        <v>1</v>
      </c>
      <c r="BG35" s="363">
        <f t="shared" si="13"/>
        <v>1</v>
      </c>
      <c r="BH35" s="363"/>
      <c r="BI35" s="363"/>
      <c r="BJ35" s="363"/>
      <c r="BK35" s="363"/>
      <c r="BL35" s="363"/>
      <c r="BM35" s="363"/>
      <c r="BQ35" s="351" t="str">
        <f t="shared" si="14"/>
        <v/>
      </c>
      <c r="BR35" s="351" t="str">
        <f t="shared" si="14"/>
        <v/>
      </c>
      <c r="BS35" s="351" t="str">
        <f t="shared" si="14"/>
        <v/>
      </c>
      <c r="BT35" s="351" t="str">
        <f t="shared" si="14"/>
        <v/>
      </c>
      <c r="BU35" s="351" t="str">
        <f t="shared" si="14"/>
        <v/>
      </c>
    </row>
    <row r="36" spans="1:73" x14ac:dyDescent="0.25">
      <c r="A36" s="379"/>
      <c r="B36" s="379" t="str">
        <f t="shared" si="7"/>
        <v/>
      </c>
      <c r="C36" s="380"/>
      <c r="D36" s="380"/>
      <c r="E36" s="381"/>
      <c r="F36" s="385"/>
      <c r="G36" s="382"/>
      <c r="H36" s="383"/>
      <c r="I36" s="383"/>
      <c r="J36" s="383"/>
      <c r="K36" s="398" t="str">
        <f t="shared" si="8"/>
        <v/>
      </c>
      <c r="L36" s="383"/>
      <c r="M36" s="383"/>
      <c r="N36" s="383"/>
      <c r="O36" s="379" t="str">
        <f t="shared" si="9"/>
        <v/>
      </c>
      <c r="P36" s="383"/>
      <c r="Q36" s="382"/>
      <c r="R36" s="382"/>
      <c r="S36" s="382"/>
      <c r="T36" s="379" t="str">
        <f>IF(E36="","",IF(AI36&lt;&gt;1,$AJ$1,IF(AND(S36=1,R36=1,OR(H36&gt;=פרמטרים!$B$8,INDEX('תנאי סף'!$AF$11:$AF$50,MATCH($T$1,'תנאי סף'!$A$11:$A$50,0))),OR(O36&gt;=$H$8,INDEX('תנאי סף'!$AC$11:$AC$50,MATCH($T$1,'תנאי סף'!$A$11:$A$50,0))),INDEX('תנאי סף'!$AI$11:$AI$50,MATCH($T$1,'תנאי סף'!$A$11:$A$50,0)),COUNTA($E$15:$E$44)&gt;=$H$6),1,0)))</f>
        <v/>
      </c>
      <c r="U36" s="382"/>
      <c r="V36" s="382"/>
      <c r="W36" s="379"/>
      <c r="X36" s="382"/>
      <c r="Y36" s="379"/>
      <c r="Z36" s="385"/>
      <c r="AA36" s="385"/>
      <c r="AB36" s="382"/>
      <c r="AC36" s="384"/>
      <c r="AD36" s="386"/>
      <c r="AE36" s="386"/>
      <c r="AF36" s="386"/>
      <c r="AG36" s="386"/>
      <c r="AI36" s="351">
        <f t="shared" si="10"/>
        <v>0</v>
      </c>
      <c r="AJ36" s="351" t="str">
        <f t="shared" si="11"/>
        <v/>
      </c>
      <c r="AK36" s="351" t="str">
        <f t="shared" si="11"/>
        <v/>
      </c>
      <c r="AL36" s="363">
        <f t="shared" si="12"/>
        <v>0</v>
      </c>
      <c r="AM36" s="363">
        <f t="shared" si="12"/>
        <v>0</v>
      </c>
      <c r="AN36" s="363">
        <f t="shared" si="12"/>
        <v>1</v>
      </c>
      <c r="AO36" s="363">
        <f t="shared" si="12"/>
        <v>0</v>
      </c>
      <c r="AP36" s="363">
        <f t="shared" si="12"/>
        <v>0</v>
      </c>
      <c r="AQ36" s="363">
        <f t="shared" si="12"/>
        <v>0</v>
      </c>
      <c r="AR36" s="363">
        <f t="shared" si="12"/>
        <v>1</v>
      </c>
      <c r="AS36" s="363">
        <f t="shared" si="12"/>
        <v>0</v>
      </c>
      <c r="AT36" s="363">
        <f t="shared" si="12"/>
        <v>0</v>
      </c>
      <c r="AU36" s="363">
        <f t="shared" si="12"/>
        <v>0</v>
      </c>
      <c r="AV36" s="363">
        <f t="shared" si="12"/>
        <v>1</v>
      </c>
      <c r="AW36" s="363">
        <f t="shared" si="12"/>
        <v>0</v>
      </c>
      <c r="AX36" s="363">
        <f t="shared" si="12"/>
        <v>0</v>
      </c>
      <c r="AY36" s="363">
        <f t="shared" si="12"/>
        <v>0</v>
      </c>
      <c r="AZ36" s="363">
        <f t="shared" si="12"/>
        <v>0</v>
      </c>
      <c r="BA36" s="363">
        <f t="shared" si="12"/>
        <v>1</v>
      </c>
      <c r="BB36" s="363">
        <f t="shared" si="13"/>
        <v>0</v>
      </c>
      <c r="BC36" s="363">
        <f t="shared" si="13"/>
        <v>0</v>
      </c>
      <c r="BD36" s="363">
        <f t="shared" si="13"/>
        <v>1</v>
      </c>
      <c r="BE36" s="363">
        <f t="shared" si="13"/>
        <v>1</v>
      </c>
      <c r="BF36" s="363">
        <f t="shared" si="13"/>
        <v>1</v>
      </c>
      <c r="BG36" s="363">
        <f t="shared" si="13"/>
        <v>1</v>
      </c>
      <c r="BH36" s="363"/>
      <c r="BI36" s="363"/>
      <c r="BJ36" s="363"/>
      <c r="BK36" s="363"/>
      <c r="BL36" s="363"/>
      <c r="BM36" s="363"/>
      <c r="BQ36" s="351" t="str">
        <f t="shared" si="14"/>
        <v/>
      </c>
      <c r="BR36" s="351" t="str">
        <f t="shared" si="14"/>
        <v/>
      </c>
      <c r="BS36" s="351" t="str">
        <f t="shared" si="14"/>
        <v/>
      </c>
      <c r="BT36" s="351" t="str">
        <f t="shared" si="14"/>
        <v/>
      </c>
      <c r="BU36" s="351" t="str">
        <f t="shared" si="14"/>
        <v/>
      </c>
    </row>
    <row r="37" spans="1:73" x14ac:dyDescent="0.25">
      <c r="A37" s="379"/>
      <c r="B37" s="379" t="str">
        <f t="shared" si="7"/>
        <v/>
      </c>
      <c r="C37" s="380"/>
      <c r="D37" s="380"/>
      <c r="E37" s="381"/>
      <c r="F37" s="385"/>
      <c r="G37" s="382"/>
      <c r="H37" s="383"/>
      <c r="I37" s="383"/>
      <c r="J37" s="383"/>
      <c r="K37" s="398" t="str">
        <f t="shared" si="8"/>
        <v/>
      </c>
      <c r="L37" s="383"/>
      <c r="M37" s="383"/>
      <c r="N37" s="383"/>
      <c r="O37" s="379" t="str">
        <f t="shared" si="9"/>
        <v/>
      </c>
      <c r="P37" s="383"/>
      <c r="Q37" s="382"/>
      <c r="R37" s="382"/>
      <c r="S37" s="382"/>
      <c r="T37" s="379" t="str">
        <f>IF(E37="","",IF(AI37&lt;&gt;1,$AJ$1,IF(AND(S37=1,R37=1,OR(H37&gt;=פרמטרים!$B$8,INDEX('תנאי סף'!$AF$11:$AF$50,MATCH($T$1,'תנאי סף'!$A$11:$A$50,0))),OR(O37&gt;=$H$8,INDEX('תנאי סף'!$AC$11:$AC$50,MATCH($T$1,'תנאי סף'!$A$11:$A$50,0))),INDEX('תנאי סף'!$AI$11:$AI$50,MATCH($T$1,'תנאי סף'!$A$11:$A$50,0)),COUNTA($E$15:$E$44)&gt;=$H$6),1,0)))</f>
        <v/>
      </c>
      <c r="U37" s="382"/>
      <c r="V37" s="382"/>
      <c r="W37" s="379"/>
      <c r="X37" s="382"/>
      <c r="Y37" s="379"/>
      <c r="Z37" s="385"/>
      <c r="AA37" s="385"/>
      <c r="AB37" s="382"/>
      <c r="AC37" s="384"/>
      <c r="AD37" s="386"/>
      <c r="AE37" s="386"/>
      <c r="AF37" s="386"/>
      <c r="AG37" s="386"/>
      <c r="AI37" s="351">
        <f t="shared" si="10"/>
        <v>0</v>
      </c>
      <c r="AJ37" s="351" t="str">
        <f t="shared" si="11"/>
        <v/>
      </c>
      <c r="AK37" s="351" t="str">
        <f t="shared" si="11"/>
        <v/>
      </c>
      <c r="AL37" s="363">
        <f t="shared" si="12"/>
        <v>0</v>
      </c>
      <c r="AM37" s="363">
        <f t="shared" si="12"/>
        <v>0</v>
      </c>
      <c r="AN37" s="363">
        <f t="shared" si="12"/>
        <v>1</v>
      </c>
      <c r="AO37" s="363">
        <f t="shared" si="12"/>
        <v>0</v>
      </c>
      <c r="AP37" s="363">
        <f t="shared" si="12"/>
        <v>0</v>
      </c>
      <c r="AQ37" s="363">
        <f t="shared" si="12"/>
        <v>0</v>
      </c>
      <c r="AR37" s="363">
        <f t="shared" si="12"/>
        <v>1</v>
      </c>
      <c r="AS37" s="363">
        <f t="shared" si="12"/>
        <v>0</v>
      </c>
      <c r="AT37" s="363">
        <f t="shared" si="12"/>
        <v>0</v>
      </c>
      <c r="AU37" s="363">
        <f t="shared" si="12"/>
        <v>0</v>
      </c>
      <c r="AV37" s="363">
        <f t="shared" si="12"/>
        <v>1</v>
      </c>
      <c r="AW37" s="363">
        <f t="shared" si="12"/>
        <v>0</v>
      </c>
      <c r="AX37" s="363">
        <f t="shared" si="12"/>
        <v>0</v>
      </c>
      <c r="AY37" s="363">
        <f t="shared" si="12"/>
        <v>0</v>
      </c>
      <c r="AZ37" s="363">
        <f t="shared" si="12"/>
        <v>0</v>
      </c>
      <c r="BA37" s="363">
        <f t="shared" si="12"/>
        <v>1</v>
      </c>
      <c r="BB37" s="363">
        <f t="shared" si="13"/>
        <v>0</v>
      </c>
      <c r="BC37" s="363">
        <f t="shared" si="13"/>
        <v>0</v>
      </c>
      <c r="BD37" s="363">
        <f t="shared" si="13"/>
        <v>1</v>
      </c>
      <c r="BE37" s="363">
        <f t="shared" si="13"/>
        <v>1</v>
      </c>
      <c r="BF37" s="363">
        <f t="shared" si="13"/>
        <v>1</v>
      </c>
      <c r="BG37" s="363">
        <f t="shared" si="13"/>
        <v>1</v>
      </c>
      <c r="BH37" s="363"/>
      <c r="BI37" s="363"/>
      <c r="BJ37" s="363"/>
      <c r="BK37" s="363"/>
      <c r="BL37" s="363"/>
      <c r="BM37" s="363"/>
      <c r="BQ37" s="351" t="str">
        <f t="shared" si="14"/>
        <v/>
      </c>
      <c r="BR37" s="351" t="str">
        <f t="shared" si="14"/>
        <v/>
      </c>
      <c r="BS37" s="351" t="str">
        <f t="shared" si="14"/>
        <v/>
      </c>
      <c r="BT37" s="351" t="str">
        <f t="shared" si="14"/>
        <v/>
      </c>
      <c r="BU37" s="351" t="str">
        <f t="shared" si="14"/>
        <v/>
      </c>
    </row>
    <row r="38" spans="1:73" x14ac:dyDescent="0.25">
      <c r="A38" s="379"/>
      <c r="B38" s="379" t="str">
        <f t="shared" si="7"/>
        <v/>
      </c>
      <c r="C38" s="380"/>
      <c r="D38" s="380"/>
      <c r="E38" s="381"/>
      <c r="F38" s="385"/>
      <c r="G38" s="382"/>
      <c r="H38" s="383"/>
      <c r="I38" s="383"/>
      <c r="J38" s="383"/>
      <c r="K38" s="398" t="str">
        <f t="shared" si="8"/>
        <v/>
      </c>
      <c r="L38" s="383"/>
      <c r="M38" s="383"/>
      <c r="N38" s="383"/>
      <c r="O38" s="379" t="str">
        <f t="shared" si="9"/>
        <v/>
      </c>
      <c r="P38" s="383"/>
      <c r="Q38" s="382"/>
      <c r="R38" s="382"/>
      <c r="S38" s="382"/>
      <c r="T38" s="379" t="str">
        <f>IF(E38="","",IF(AI38&lt;&gt;1,$AJ$1,IF(AND(S38=1,R38=1,OR(H38&gt;=פרמטרים!$B$8,INDEX('תנאי סף'!$AF$11:$AF$50,MATCH($T$1,'תנאי סף'!$A$11:$A$50,0))),OR(O38&gt;=$H$8,INDEX('תנאי סף'!$AC$11:$AC$50,MATCH($T$1,'תנאי סף'!$A$11:$A$50,0))),INDEX('תנאי סף'!$AI$11:$AI$50,MATCH($T$1,'תנאי סף'!$A$11:$A$50,0)),COUNTA($E$15:$E$44)&gt;=$H$6),1,0)))</f>
        <v/>
      </c>
      <c r="U38" s="382"/>
      <c r="V38" s="382"/>
      <c r="W38" s="379"/>
      <c r="X38" s="382"/>
      <c r="Y38" s="379"/>
      <c r="Z38" s="385"/>
      <c r="AA38" s="385"/>
      <c r="AB38" s="382"/>
      <c r="AC38" s="384"/>
      <c r="AD38" s="386"/>
      <c r="AE38" s="386"/>
      <c r="AF38" s="386"/>
      <c r="AG38" s="386"/>
      <c r="AI38" s="351">
        <f t="shared" si="10"/>
        <v>0</v>
      </c>
      <c r="AJ38" s="351" t="str">
        <f t="shared" si="11"/>
        <v/>
      </c>
      <c r="AK38" s="351" t="str">
        <f t="shared" si="11"/>
        <v/>
      </c>
      <c r="AL38" s="363">
        <f t="shared" si="12"/>
        <v>0</v>
      </c>
      <c r="AM38" s="363">
        <f t="shared" si="12"/>
        <v>0</v>
      </c>
      <c r="AN38" s="363">
        <f t="shared" si="12"/>
        <v>1</v>
      </c>
      <c r="AO38" s="363">
        <f t="shared" si="12"/>
        <v>0</v>
      </c>
      <c r="AP38" s="363">
        <f t="shared" si="12"/>
        <v>0</v>
      </c>
      <c r="AQ38" s="363">
        <f t="shared" si="12"/>
        <v>0</v>
      </c>
      <c r="AR38" s="363">
        <f t="shared" si="12"/>
        <v>1</v>
      </c>
      <c r="AS38" s="363">
        <f t="shared" si="12"/>
        <v>0</v>
      </c>
      <c r="AT38" s="363">
        <f t="shared" si="12"/>
        <v>0</v>
      </c>
      <c r="AU38" s="363">
        <f t="shared" si="12"/>
        <v>0</v>
      </c>
      <c r="AV38" s="363">
        <f t="shared" si="12"/>
        <v>1</v>
      </c>
      <c r="AW38" s="363">
        <f t="shared" si="12"/>
        <v>0</v>
      </c>
      <c r="AX38" s="363">
        <f t="shared" si="12"/>
        <v>0</v>
      </c>
      <c r="AY38" s="363">
        <f t="shared" si="12"/>
        <v>0</v>
      </c>
      <c r="AZ38" s="363">
        <f t="shared" si="12"/>
        <v>0</v>
      </c>
      <c r="BA38" s="363">
        <f t="shared" si="12"/>
        <v>1</v>
      </c>
      <c r="BB38" s="363">
        <f t="shared" si="13"/>
        <v>0</v>
      </c>
      <c r="BC38" s="363">
        <f t="shared" si="13"/>
        <v>0</v>
      </c>
      <c r="BD38" s="363">
        <f t="shared" si="13"/>
        <v>1</v>
      </c>
      <c r="BE38" s="363">
        <f t="shared" si="13"/>
        <v>1</v>
      </c>
      <c r="BF38" s="363">
        <f t="shared" si="13"/>
        <v>1</v>
      </c>
      <c r="BG38" s="363">
        <f t="shared" si="13"/>
        <v>1</v>
      </c>
      <c r="BH38" s="363"/>
      <c r="BI38" s="363"/>
      <c r="BJ38" s="363"/>
      <c r="BK38" s="363"/>
      <c r="BL38" s="363"/>
      <c r="BM38" s="363"/>
      <c r="BQ38" s="351" t="str">
        <f t="shared" si="14"/>
        <v/>
      </c>
      <c r="BR38" s="351" t="str">
        <f t="shared" si="14"/>
        <v/>
      </c>
      <c r="BS38" s="351" t="str">
        <f t="shared" si="14"/>
        <v/>
      </c>
      <c r="BT38" s="351" t="str">
        <f t="shared" si="14"/>
        <v/>
      </c>
      <c r="BU38" s="351" t="str">
        <f t="shared" si="14"/>
        <v/>
      </c>
    </row>
    <row r="39" spans="1:73" x14ac:dyDescent="0.25">
      <c r="A39" s="379"/>
      <c r="B39" s="379" t="str">
        <f t="shared" si="7"/>
        <v/>
      </c>
      <c r="C39" s="380"/>
      <c r="D39" s="380"/>
      <c r="E39" s="381"/>
      <c r="F39" s="385"/>
      <c r="G39" s="382"/>
      <c r="H39" s="383"/>
      <c r="I39" s="383"/>
      <c r="J39" s="383"/>
      <c r="K39" s="398" t="str">
        <f t="shared" si="8"/>
        <v/>
      </c>
      <c r="L39" s="383"/>
      <c r="M39" s="383"/>
      <c r="N39" s="383"/>
      <c r="O39" s="379" t="str">
        <f t="shared" si="9"/>
        <v/>
      </c>
      <c r="P39" s="383"/>
      <c r="Q39" s="382"/>
      <c r="R39" s="382"/>
      <c r="S39" s="382"/>
      <c r="T39" s="379" t="str">
        <f>IF(E39="","",IF(AI39&lt;&gt;1,$AJ$1,IF(AND(S39=1,R39=1,OR(H39&gt;=פרמטרים!$B$8,INDEX('תנאי סף'!$AF$11:$AF$50,MATCH($T$1,'תנאי סף'!$A$11:$A$50,0))),OR(O39&gt;=$H$8,INDEX('תנאי סף'!$AC$11:$AC$50,MATCH($T$1,'תנאי סף'!$A$11:$A$50,0))),INDEX('תנאי סף'!$AI$11:$AI$50,MATCH($T$1,'תנאי סף'!$A$11:$A$50,0)),COUNTA($E$15:$E$44)&gt;=$H$6),1,0)))</f>
        <v/>
      </c>
      <c r="U39" s="382"/>
      <c r="V39" s="382"/>
      <c r="W39" s="379"/>
      <c r="X39" s="382"/>
      <c r="Y39" s="379"/>
      <c r="Z39" s="385"/>
      <c r="AA39" s="385"/>
      <c r="AB39" s="382"/>
      <c r="AC39" s="384"/>
      <c r="AD39" s="386"/>
      <c r="AE39" s="386"/>
      <c r="AF39" s="386"/>
      <c r="AG39" s="386"/>
      <c r="AI39" s="351">
        <f t="shared" si="10"/>
        <v>0</v>
      </c>
      <c r="AJ39" s="351" t="str">
        <f t="shared" si="11"/>
        <v/>
      </c>
      <c r="AK39" s="351" t="str">
        <f t="shared" si="11"/>
        <v/>
      </c>
      <c r="AL39" s="363">
        <f t="shared" si="12"/>
        <v>0</v>
      </c>
      <c r="AM39" s="363">
        <f t="shared" si="12"/>
        <v>0</v>
      </c>
      <c r="AN39" s="363">
        <f t="shared" si="12"/>
        <v>1</v>
      </c>
      <c r="AO39" s="363">
        <f t="shared" si="12"/>
        <v>0</v>
      </c>
      <c r="AP39" s="363">
        <f t="shared" si="12"/>
        <v>0</v>
      </c>
      <c r="AQ39" s="363">
        <f t="shared" si="12"/>
        <v>0</v>
      </c>
      <c r="AR39" s="363">
        <f t="shared" si="12"/>
        <v>1</v>
      </c>
      <c r="AS39" s="363">
        <f t="shared" si="12"/>
        <v>0</v>
      </c>
      <c r="AT39" s="363">
        <f t="shared" si="12"/>
        <v>0</v>
      </c>
      <c r="AU39" s="363">
        <f t="shared" si="12"/>
        <v>0</v>
      </c>
      <c r="AV39" s="363">
        <f t="shared" si="12"/>
        <v>1</v>
      </c>
      <c r="AW39" s="363">
        <f t="shared" si="12"/>
        <v>0</v>
      </c>
      <c r="AX39" s="363">
        <f t="shared" si="12"/>
        <v>0</v>
      </c>
      <c r="AY39" s="363">
        <f t="shared" si="12"/>
        <v>0</v>
      </c>
      <c r="AZ39" s="363">
        <f t="shared" si="12"/>
        <v>0</v>
      </c>
      <c r="BA39" s="363">
        <f t="shared" si="12"/>
        <v>1</v>
      </c>
      <c r="BB39" s="363">
        <f t="shared" si="13"/>
        <v>0</v>
      </c>
      <c r="BC39" s="363">
        <f t="shared" si="13"/>
        <v>0</v>
      </c>
      <c r="BD39" s="363">
        <f t="shared" si="13"/>
        <v>1</v>
      </c>
      <c r="BE39" s="363">
        <f t="shared" si="13"/>
        <v>1</v>
      </c>
      <c r="BF39" s="363">
        <f t="shared" si="13"/>
        <v>1</v>
      </c>
      <c r="BG39" s="363">
        <f t="shared" si="13"/>
        <v>1</v>
      </c>
      <c r="BH39" s="363"/>
      <c r="BI39" s="363"/>
      <c r="BJ39" s="363"/>
      <c r="BK39" s="363"/>
      <c r="BL39" s="363"/>
      <c r="BM39" s="363"/>
      <c r="BQ39" s="351" t="str">
        <f t="shared" si="14"/>
        <v/>
      </c>
      <c r="BR39" s="351" t="str">
        <f t="shared" si="14"/>
        <v/>
      </c>
      <c r="BS39" s="351" t="str">
        <f t="shared" si="14"/>
        <v/>
      </c>
      <c r="BT39" s="351" t="str">
        <f t="shared" si="14"/>
        <v/>
      </c>
      <c r="BU39" s="351" t="str">
        <f t="shared" si="14"/>
        <v/>
      </c>
    </row>
    <row r="40" spans="1:73" x14ac:dyDescent="0.25">
      <c r="A40" s="379"/>
      <c r="B40" s="379" t="str">
        <f t="shared" si="7"/>
        <v/>
      </c>
      <c r="C40" s="380"/>
      <c r="D40" s="380"/>
      <c r="E40" s="381"/>
      <c r="F40" s="385"/>
      <c r="G40" s="382"/>
      <c r="H40" s="383"/>
      <c r="I40" s="383"/>
      <c r="J40" s="383"/>
      <c r="K40" s="398" t="str">
        <f t="shared" si="8"/>
        <v/>
      </c>
      <c r="L40" s="383"/>
      <c r="M40" s="383"/>
      <c r="N40" s="383"/>
      <c r="O40" s="379" t="str">
        <f t="shared" si="9"/>
        <v/>
      </c>
      <c r="P40" s="383"/>
      <c r="Q40" s="382"/>
      <c r="R40" s="382"/>
      <c r="S40" s="382"/>
      <c r="T40" s="379" t="str">
        <f>IF(E40="","",IF(AI40&lt;&gt;1,$AJ$1,IF(AND(S40=1,R40=1,OR(H40&gt;=פרמטרים!$B$8,INDEX('תנאי סף'!$AF$11:$AF$50,MATCH($T$1,'תנאי סף'!$A$11:$A$50,0))),OR(O40&gt;=$H$8,INDEX('תנאי סף'!$AC$11:$AC$50,MATCH($T$1,'תנאי סף'!$A$11:$A$50,0))),INDEX('תנאי סף'!$AI$11:$AI$50,MATCH($T$1,'תנאי סף'!$A$11:$A$50,0)),COUNTA($E$15:$E$44)&gt;=$H$6),1,0)))</f>
        <v/>
      </c>
      <c r="U40" s="382"/>
      <c r="V40" s="382"/>
      <c r="W40" s="379"/>
      <c r="X40" s="382"/>
      <c r="Y40" s="379"/>
      <c r="Z40" s="385"/>
      <c r="AA40" s="385"/>
      <c r="AB40" s="382"/>
      <c r="AC40" s="384"/>
      <c r="AD40" s="386"/>
      <c r="AE40" s="386"/>
      <c r="AF40" s="386"/>
      <c r="AG40" s="386"/>
      <c r="AI40" s="351">
        <f t="shared" si="10"/>
        <v>0</v>
      </c>
      <c r="AJ40" s="351" t="str">
        <f t="shared" si="11"/>
        <v/>
      </c>
      <c r="AK40" s="351" t="str">
        <f t="shared" si="11"/>
        <v/>
      </c>
      <c r="AL40" s="363">
        <f t="shared" si="12"/>
        <v>0</v>
      </c>
      <c r="AM40" s="363">
        <f t="shared" si="12"/>
        <v>0</v>
      </c>
      <c r="AN40" s="363">
        <f t="shared" si="12"/>
        <v>1</v>
      </c>
      <c r="AO40" s="363">
        <f t="shared" si="12"/>
        <v>0</v>
      </c>
      <c r="AP40" s="363">
        <f t="shared" si="12"/>
        <v>0</v>
      </c>
      <c r="AQ40" s="363">
        <f t="shared" si="12"/>
        <v>0</v>
      </c>
      <c r="AR40" s="363">
        <f t="shared" si="12"/>
        <v>1</v>
      </c>
      <c r="AS40" s="363">
        <f t="shared" si="12"/>
        <v>0</v>
      </c>
      <c r="AT40" s="363">
        <f t="shared" si="12"/>
        <v>0</v>
      </c>
      <c r="AU40" s="363">
        <f t="shared" si="12"/>
        <v>0</v>
      </c>
      <c r="AV40" s="363">
        <f t="shared" si="12"/>
        <v>1</v>
      </c>
      <c r="AW40" s="363">
        <f t="shared" si="12"/>
        <v>0</v>
      </c>
      <c r="AX40" s="363">
        <f t="shared" si="12"/>
        <v>0</v>
      </c>
      <c r="AY40" s="363">
        <f t="shared" si="12"/>
        <v>0</v>
      </c>
      <c r="AZ40" s="363">
        <f t="shared" si="12"/>
        <v>0</v>
      </c>
      <c r="BA40" s="363">
        <f t="shared" si="12"/>
        <v>1</v>
      </c>
      <c r="BB40" s="363">
        <f t="shared" si="13"/>
        <v>0</v>
      </c>
      <c r="BC40" s="363">
        <f t="shared" si="13"/>
        <v>0</v>
      </c>
      <c r="BD40" s="363">
        <f t="shared" si="13"/>
        <v>1</v>
      </c>
      <c r="BE40" s="363">
        <f t="shared" si="13"/>
        <v>1</v>
      </c>
      <c r="BF40" s="363">
        <f t="shared" si="13"/>
        <v>1</v>
      </c>
      <c r="BG40" s="363">
        <f t="shared" si="13"/>
        <v>1</v>
      </c>
      <c r="BH40" s="363"/>
      <c r="BI40" s="363"/>
      <c r="BJ40" s="363"/>
      <c r="BK40" s="363"/>
      <c r="BL40" s="363"/>
      <c r="BM40" s="363"/>
      <c r="BQ40" s="351" t="str">
        <f t="shared" si="14"/>
        <v/>
      </c>
      <c r="BR40" s="351" t="str">
        <f t="shared" si="14"/>
        <v/>
      </c>
      <c r="BS40" s="351" t="str">
        <f t="shared" si="14"/>
        <v/>
      </c>
      <c r="BT40" s="351" t="str">
        <f t="shared" si="14"/>
        <v/>
      </c>
      <c r="BU40" s="351" t="str">
        <f t="shared" si="14"/>
        <v/>
      </c>
    </row>
    <row r="41" spans="1:73" x14ac:dyDescent="0.25">
      <c r="A41" s="379"/>
      <c r="B41" s="379" t="str">
        <f t="shared" si="7"/>
        <v/>
      </c>
      <c r="C41" s="380"/>
      <c r="D41" s="380"/>
      <c r="E41" s="381"/>
      <c r="F41" s="385"/>
      <c r="G41" s="382"/>
      <c r="H41" s="383"/>
      <c r="I41" s="383"/>
      <c r="J41" s="383"/>
      <c r="K41" s="398" t="str">
        <f t="shared" si="8"/>
        <v/>
      </c>
      <c r="L41" s="383"/>
      <c r="M41" s="383"/>
      <c r="N41" s="383"/>
      <c r="O41" s="379" t="str">
        <f t="shared" si="9"/>
        <v/>
      </c>
      <c r="P41" s="383"/>
      <c r="Q41" s="382"/>
      <c r="R41" s="382"/>
      <c r="S41" s="382"/>
      <c r="T41" s="379" t="str">
        <f>IF(E41="","",IF(AI41&lt;&gt;1,$AJ$1,IF(AND(S41=1,R41=1,OR(H41&gt;=פרמטרים!$B$8,INDEX('תנאי סף'!$AF$11:$AF$50,MATCH($T$1,'תנאי סף'!$A$11:$A$50,0))),OR(O41&gt;=$H$8,INDEX('תנאי סף'!$AC$11:$AC$50,MATCH($T$1,'תנאי סף'!$A$11:$A$50,0))),INDEX('תנאי סף'!$AI$11:$AI$50,MATCH($T$1,'תנאי סף'!$A$11:$A$50,0)),COUNTA($E$15:$E$44)&gt;=$H$6),1,0)))</f>
        <v/>
      </c>
      <c r="U41" s="382"/>
      <c r="V41" s="382"/>
      <c r="W41" s="379"/>
      <c r="X41" s="382"/>
      <c r="Y41" s="379"/>
      <c r="Z41" s="385"/>
      <c r="AA41" s="385"/>
      <c r="AB41" s="382"/>
      <c r="AC41" s="384"/>
      <c r="AD41" s="386"/>
      <c r="AE41" s="386"/>
      <c r="AF41" s="386"/>
      <c r="AG41" s="386"/>
      <c r="AI41" s="351">
        <f t="shared" si="10"/>
        <v>0</v>
      </c>
      <c r="AJ41" s="351" t="str">
        <f t="shared" si="11"/>
        <v/>
      </c>
      <c r="AK41" s="351" t="str">
        <f t="shared" si="11"/>
        <v/>
      </c>
      <c r="AL41" s="363">
        <f t="shared" si="12"/>
        <v>0</v>
      </c>
      <c r="AM41" s="363">
        <f t="shared" si="12"/>
        <v>0</v>
      </c>
      <c r="AN41" s="363">
        <f t="shared" si="12"/>
        <v>1</v>
      </c>
      <c r="AO41" s="363">
        <f t="shared" si="12"/>
        <v>0</v>
      </c>
      <c r="AP41" s="363">
        <f t="shared" si="12"/>
        <v>0</v>
      </c>
      <c r="AQ41" s="363">
        <f t="shared" si="12"/>
        <v>0</v>
      </c>
      <c r="AR41" s="363">
        <f t="shared" si="12"/>
        <v>1</v>
      </c>
      <c r="AS41" s="363">
        <f t="shared" si="12"/>
        <v>0</v>
      </c>
      <c r="AT41" s="363">
        <f t="shared" si="12"/>
        <v>0</v>
      </c>
      <c r="AU41" s="363">
        <f t="shared" si="12"/>
        <v>0</v>
      </c>
      <c r="AV41" s="363">
        <f t="shared" si="12"/>
        <v>1</v>
      </c>
      <c r="AW41" s="363">
        <f t="shared" si="12"/>
        <v>0</v>
      </c>
      <c r="AX41" s="363">
        <f t="shared" si="12"/>
        <v>0</v>
      </c>
      <c r="AY41" s="363">
        <f t="shared" si="12"/>
        <v>0</v>
      </c>
      <c r="AZ41" s="363">
        <f t="shared" si="12"/>
        <v>0</v>
      </c>
      <c r="BA41" s="363">
        <f t="shared" si="12"/>
        <v>1</v>
      </c>
      <c r="BB41" s="363">
        <f t="shared" si="13"/>
        <v>0</v>
      </c>
      <c r="BC41" s="363">
        <f t="shared" si="13"/>
        <v>0</v>
      </c>
      <c r="BD41" s="363">
        <f t="shared" si="13"/>
        <v>1</v>
      </c>
      <c r="BE41" s="363">
        <f t="shared" si="13"/>
        <v>1</v>
      </c>
      <c r="BF41" s="363">
        <f t="shared" si="13"/>
        <v>1</v>
      </c>
      <c r="BG41" s="363">
        <f t="shared" si="13"/>
        <v>1</v>
      </c>
      <c r="BH41" s="363"/>
      <c r="BI41" s="363"/>
      <c r="BJ41" s="363"/>
      <c r="BK41" s="363"/>
      <c r="BL41" s="363"/>
      <c r="BM41" s="363"/>
      <c r="BQ41" s="351" t="str">
        <f t="shared" si="14"/>
        <v/>
      </c>
      <c r="BR41" s="351" t="str">
        <f t="shared" si="14"/>
        <v/>
      </c>
      <c r="BS41" s="351" t="str">
        <f t="shared" si="14"/>
        <v/>
      </c>
      <c r="BT41" s="351" t="str">
        <f t="shared" si="14"/>
        <v/>
      </c>
      <c r="BU41" s="351" t="str">
        <f t="shared" si="14"/>
        <v/>
      </c>
    </row>
    <row r="42" spans="1:73" x14ac:dyDescent="0.25">
      <c r="A42" s="379"/>
      <c r="B42" s="379" t="str">
        <f t="shared" si="7"/>
        <v/>
      </c>
      <c r="C42" s="380"/>
      <c r="D42" s="380"/>
      <c r="E42" s="381"/>
      <c r="F42" s="385"/>
      <c r="G42" s="382"/>
      <c r="H42" s="383"/>
      <c r="I42" s="383"/>
      <c r="J42" s="383"/>
      <c r="K42" s="398" t="str">
        <f t="shared" si="8"/>
        <v/>
      </c>
      <c r="L42" s="383"/>
      <c r="M42" s="383"/>
      <c r="N42" s="383"/>
      <c r="O42" s="379" t="str">
        <f t="shared" si="9"/>
        <v/>
      </c>
      <c r="P42" s="383"/>
      <c r="Q42" s="382"/>
      <c r="R42" s="382"/>
      <c r="S42" s="382"/>
      <c r="T42" s="379" t="str">
        <f>IF(E42="","",IF(AI42&lt;&gt;1,$AJ$1,IF(AND(S42=1,R42=1,OR(H42&gt;=פרמטרים!$B$8,INDEX('תנאי סף'!$AF$11:$AF$50,MATCH($T$1,'תנאי סף'!$A$11:$A$50,0))),OR(O42&gt;=$H$8,INDEX('תנאי סף'!$AC$11:$AC$50,MATCH($T$1,'תנאי סף'!$A$11:$A$50,0))),INDEX('תנאי סף'!$AI$11:$AI$50,MATCH($T$1,'תנאי סף'!$A$11:$A$50,0)),COUNTA($E$15:$E$44)&gt;=$H$6),1,0)))</f>
        <v/>
      </c>
      <c r="U42" s="382"/>
      <c r="V42" s="382"/>
      <c r="W42" s="379"/>
      <c r="X42" s="382"/>
      <c r="Y42" s="379"/>
      <c r="Z42" s="385"/>
      <c r="AA42" s="385"/>
      <c r="AB42" s="382"/>
      <c r="AC42" s="384"/>
      <c r="AD42" s="386"/>
      <c r="AE42" s="386"/>
      <c r="AF42" s="386"/>
      <c r="AG42" s="386"/>
      <c r="AI42" s="351">
        <f t="shared" si="10"/>
        <v>0</v>
      </c>
      <c r="AJ42" s="351" t="str">
        <f t="shared" si="11"/>
        <v/>
      </c>
      <c r="AK42" s="351" t="str">
        <f t="shared" si="11"/>
        <v/>
      </c>
      <c r="AL42" s="363">
        <f t="shared" si="12"/>
        <v>0</v>
      </c>
      <c r="AM42" s="363">
        <f t="shared" si="12"/>
        <v>0</v>
      </c>
      <c r="AN42" s="363">
        <f t="shared" si="12"/>
        <v>1</v>
      </c>
      <c r="AO42" s="363">
        <f t="shared" si="12"/>
        <v>0</v>
      </c>
      <c r="AP42" s="363">
        <f t="shared" si="12"/>
        <v>0</v>
      </c>
      <c r="AQ42" s="363">
        <f t="shared" si="12"/>
        <v>0</v>
      </c>
      <c r="AR42" s="363">
        <f t="shared" si="12"/>
        <v>1</v>
      </c>
      <c r="AS42" s="363">
        <f t="shared" si="12"/>
        <v>0</v>
      </c>
      <c r="AT42" s="363">
        <f t="shared" si="12"/>
        <v>0</v>
      </c>
      <c r="AU42" s="363">
        <f t="shared" si="12"/>
        <v>0</v>
      </c>
      <c r="AV42" s="363">
        <f t="shared" si="12"/>
        <v>1</v>
      </c>
      <c r="AW42" s="363">
        <f t="shared" si="12"/>
        <v>0</v>
      </c>
      <c r="AX42" s="363">
        <f t="shared" si="12"/>
        <v>0</v>
      </c>
      <c r="AY42" s="363">
        <f t="shared" si="12"/>
        <v>0</v>
      </c>
      <c r="AZ42" s="363">
        <f t="shared" si="12"/>
        <v>0</v>
      </c>
      <c r="BA42" s="363">
        <f t="shared" si="12"/>
        <v>1</v>
      </c>
      <c r="BB42" s="363">
        <f t="shared" si="13"/>
        <v>0</v>
      </c>
      <c r="BC42" s="363">
        <f t="shared" si="13"/>
        <v>0</v>
      </c>
      <c r="BD42" s="363">
        <f t="shared" si="13"/>
        <v>1</v>
      </c>
      <c r="BE42" s="363">
        <f t="shared" si="13"/>
        <v>1</v>
      </c>
      <c r="BF42" s="363">
        <f t="shared" si="13"/>
        <v>1</v>
      </c>
      <c r="BG42" s="363">
        <f t="shared" si="13"/>
        <v>1</v>
      </c>
      <c r="BH42" s="363"/>
      <c r="BI42" s="363"/>
      <c r="BJ42" s="363"/>
      <c r="BK42" s="363"/>
      <c r="BL42" s="363"/>
      <c r="BM42" s="363"/>
      <c r="BQ42" s="351" t="str">
        <f t="shared" si="14"/>
        <v/>
      </c>
      <c r="BR42" s="351" t="str">
        <f t="shared" si="14"/>
        <v/>
      </c>
      <c r="BS42" s="351" t="str">
        <f t="shared" si="14"/>
        <v/>
      </c>
      <c r="BT42" s="351" t="str">
        <f t="shared" si="14"/>
        <v/>
      </c>
      <c r="BU42" s="351" t="str">
        <f t="shared" si="14"/>
        <v/>
      </c>
    </row>
    <row r="43" spans="1:73" x14ac:dyDescent="0.25">
      <c r="A43" s="379"/>
      <c r="B43" s="379" t="str">
        <f t="shared" si="7"/>
        <v/>
      </c>
      <c r="C43" s="380"/>
      <c r="D43" s="380"/>
      <c r="E43" s="381"/>
      <c r="F43" s="385"/>
      <c r="G43" s="382"/>
      <c r="H43" s="383"/>
      <c r="I43" s="383"/>
      <c r="J43" s="383"/>
      <c r="K43" s="398" t="str">
        <f t="shared" si="8"/>
        <v/>
      </c>
      <c r="L43" s="383"/>
      <c r="M43" s="383"/>
      <c r="N43" s="383"/>
      <c r="O43" s="379" t="str">
        <f t="shared" si="9"/>
        <v/>
      </c>
      <c r="P43" s="383"/>
      <c r="Q43" s="382"/>
      <c r="R43" s="382"/>
      <c r="S43" s="382"/>
      <c r="T43" s="379" t="str">
        <f>IF(E43="","",IF(AI43&lt;&gt;1,$AJ$1,IF(AND(S43=1,R43=1,OR(H43&gt;=פרמטרים!$B$8,INDEX('תנאי סף'!$AF$11:$AF$50,MATCH($T$1,'תנאי סף'!$A$11:$A$50,0))),OR(O43&gt;=$H$8,INDEX('תנאי סף'!$AC$11:$AC$50,MATCH($T$1,'תנאי סף'!$A$11:$A$50,0))),INDEX('תנאי סף'!$AI$11:$AI$50,MATCH($T$1,'תנאי סף'!$A$11:$A$50,0)),COUNTA($E$15:$E$44)&gt;=$H$6),1,0)))</f>
        <v/>
      </c>
      <c r="U43" s="382"/>
      <c r="V43" s="382"/>
      <c r="W43" s="379"/>
      <c r="X43" s="382"/>
      <c r="Y43" s="379"/>
      <c r="Z43" s="385"/>
      <c r="AA43" s="385"/>
      <c r="AB43" s="382"/>
      <c r="AC43" s="384"/>
      <c r="AD43" s="386"/>
      <c r="AE43" s="386"/>
      <c r="AF43" s="386"/>
      <c r="AG43" s="386"/>
      <c r="AI43" s="351">
        <f t="shared" si="10"/>
        <v>0</v>
      </c>
      <c r="AJ43" s="351" t="str">
        <f t="shared" si="11"/>
        <v/>
      </c>
      <c r="AK43" s="351" t="str">
        <f t="shared" si="11"/>
        <v/>
      </c>
      <c r="AL43" s="363">
        <f t="shared" si="12"/>
        <v>0</v>
      </c>
      <c r="AM43" s="363">
        <f t="shared" si="12"/>
        <v>0</v>
      </c>
      <c r="AN43" s="363">
        <f t="shared" si="12"/>
        <v>1</v>
      </c>
      <c r="AO43" s="363">
        <f t="shared" si="12"/>
        <v>0</v>
      </c>
      <c r="AP43" s="363">
        <f t="shared" si="12"/>
        <v>0</v>
      </c>
      <c r="AQ43" s="363">
        <f t="shared" si="12"/>
        <v>0</v>
      </c>
      <c r="AR43" s="363">
        <f t="shared" si="12"/>
        <v>1</v>
      </c>
      <c r="AS43" s="363">
        <f t="shared" si="12"/>
        <v>0</v>
      </c>
      <c r="AT43" s="363">
        <f t="shared" si="12"/>
        <v>0</v>
      </c>
      <c r="AU43" s="363">
        <f t="shared" si="12"/>
        <v>0</v>
      </c>
      <c r="AV43" s="363">
        <f t="shared" si="12"/>
        <v>1</v>
      </c>
      <c r="AW43" s="363">
        <f t="shared" si="12"/>
        <v>0</v>
      </c>
      <c r="AX43" s="363">
        <f t="shared" si="12"/>
        <v>0</v>
      </c>
      <c r="AY43" s="363">
        <f t="shared" si="12"/>
        <v>0</v>
      </c>
      <c r="AZ43" s="363">
        <f t="shared" si="12"/>
        <v>0</v>
      </c>
      <c r="BA43" s="363">
        <f t="shared" si="12"/>
        <v>1</v>
      </c>
      <c r="BB43" s="363">
        <f t="shared" si="13"/>
        <v>0</v>
      </c>
      <c r="BC43" s="363">
        <f t="shared" si="13"/>
        <v>0</v>
      </c>
      <c r="BD43" s="363">
        <f t="shared" si="13"/>
        <v>1</v>
      </c>
      <c r="BE43" s="363">
        <f t="shared" si="13"/>
        <v>1</v>
      </c>
      <c r="BF43" s="363">
        <f t="shared" si="13"/>
        <v>1</v>
      </c>
      <c r="BG43" s="363">
        <f t="shared" si="13"/>
        <v>1</v>
      </c>
      <c r="BH43" s="363"/>
      <c r="BI43" s="363"/>
      <c r="BJ43" s="363"/>
      <c r="BK43" s="363"/>
      <c r="BL43" s="363"/>
      <c r="BM43" s="363"/>
      <c r="BQ43" s="351" t="str">
        <f t="shared" si="14"/>
        <v/>
      </c>
      <c r="BR43" s="351" t="str">
        <f t="shared" si="14"/>
        <v/>
      </c>
      <c r="BS43" s="351" t="str">
        <f t="shared" si="14"/>
        <v/>
      </c>
      <c r="BT43" s="351" t="str">
        <f t="shared" si="14"/>
        <v/>
      </c>
      <c r="BU43" s="351" t="str">
        <f t="shared" si="14"/>
        <v/>
      </c>
    </row>
    <row r="44" spans="1:73" ht="16.5" thickBot="1" x14ac:dyDescent="0.3">
      <c r="A44" s="379"/>
      <c r="B44" s="379" t="str">
        <f t="shared" si="7"/>
        <v/>
      </c>
      <c r="C44" s="380"/>
      <c r="D44" s="380"/>
      <c r="E44" s="381"/>
      <c r="F44" s="385"/>
      <c r="G44" s="382"/>
      <c r="H44" s="383"/>
      <c r="I44" s="383"/>
      <c r="J44" s="383"/>
      <c r="K44" s="398" t="str">
        <f t="shared" si="8"/>
        <v/>
      </c>
      <c r="L44" s="383"/>
      <c r="M44" s="383"/>
      <c r="N44" s="383"/>
      <c r="O44" s="379" t="str">
        <f t="shared" si="9"/>
        <v/>
      </c>
      <c r="P44" s="383"/>
      <c r="Q44" s="382"/>
      <c r="R44" s="382"/>
      <c r="S44" s="382"/>
      <c r="T44" s="379" t="str">
        <f>IF(E44="","",IF(AI44&lt;&gt;1,$AJ$1,IF(AND(S44=1,R44=1,OR(H44&gt;=פרמטרים!$B$8,INDEX('תנאי סף'!$AF$11:$AF$50,MATCH($T$1,'תנאי סף'!$A$11:$A$50,0))),OR(O44&gt;=$H$8,INDEX('תנאי סף'!$AC$11:$AC$50,MATCH($T$1,'תנאי סף'!$A$11:$A$50,0))),INDEX('תנאי סף'!$AI$11:$AI$50,MATCH($T$1,'תנאי סף'!$A$11:$A$50,0)),COUNTA($E$15:$E$44)&gt;=$H$6),1,0)))</f>
        <v/>
      </c>
      <c r="U44" s="382"/>
      <c r="V44" s="382"/>
      <c r="W44" s="379"/>
      <c r="X44" s="382"/>
      <c r="Y44" s="379"/>
      <c r="Z44" s="385"/>
      <c r="AA44" s="385"/>
      <c r="AB44" s="382"/>
      <c r="AC44" s="384"/>
      <c r="AD44" s="386"/>
      <c r="AE44" s="386"/>
      <c r="AF44" s="386"/>
      <c r="AG44" s="386"/>
      <c r="AI44" s="351">
        <f t="shared" si="10"/>
        <v>0</v>
      </c>
      <c r="AJ44" s="351" t="str">
        <f t="shared" si="11"/>
        <v/>
      </c>
      <c r="AK44" s="351" t="str">
        <f t="shared" si="11"/>
        <v/>
      </c>
      <c r="AL44" s="363">
        <f t="shared" si="12"/>
        <v>0</v>
      </c>
      <c r="AM44" s="363">
        <f t="shared" si="12"/>
        <v>0</v>
      </c>
      <c r="AN44" s="363">
        <f t="shared" si="12"/>
        <v>1</v>
      </c>
      <c r="AO44" s="363">
        <f t="shared" si="12"/>
        <v>0</v>
      </c>
      <c r="AP44" s="363">
        <f t="shared" si="12"/>
        <v>0</v>
      </c>
      <c r="AQ44" s="363">
        <f t="shared" si="12"/>
        <v>0</v>
      </c>
      <c r="AR44" s="363">
        <f t="shared" si="12"/>
        <v>1</v>
      </c>
      <c r="AS44" s="363">
        <f t="shared" si="12"/>
        <v>0</v>
      </c>
      <c r="AT44" s="363">
        <f t="shared" si="12"/>
        <v>0</v>
      </c>
      <c r="AU44" s="363">
        <f t="shared" si="12"/>
        <v>0</v>
      </c>
      <c r="AV44" s="363">
        <f t="shared" si="12"/>
        <v>1</v>
      </c>
      <c r="AW44" s="363">
        <f t="shared" si="12"/>
        <v>0</v>
      </c>
      <c r="AX44" s="363">
        <f t="shared" si="12"/>
        <v>0</v>
      </c>
      <c r="AY44" s="363">
        <f t="shared" si="12"/>
        <v>0</v>
      </c>
      <c r="AZ44" s="363">
        <f t="shared" si="12"/>
        <v>0</v>
      </c>
      <c r="BA44" s="363">
        <f t="shared" si="12"/>
        <v>1</v>
      </c>
      <c r="BB44" s="363">
        <f t="shared" si="13"/>
        <v>0</v>
      </c>
      <c r="BC44" s="363">
        <f t="shared" si="13"/>
        <v>0</v>
      </c>
      <c r="BD44" s="363">
        <f t="shared" si="13"/>
        <v>1</v>
      </c>
      <c r="BE44" s="363">
        <f t="shared" si="13"/>
        <v>1</v>
      </c>
      <c r="BF44" s="363">
        <f t="shared" si="13"/>
        <v>1</v>
      </c>
      <c r="BG44" s="363">
        <f t="shared" si="13"/>
        <v>1</v>
      </c>
      <c r="BH44" s="363"/>
      <c r="BI44" s="363"/>
      <c r="BJ44" s="363"/>
      <c r="BK44" s="363"/>
      <c r="BL44" s="363"/>
      <c r="BM44" s="363"/>
      <c r="BQ44" s="351" t="str">
        <f t="shared" si="14"/>
        <v/>
      </c>
      <c r="BR44" s="351" t="str">
        <f t="shared" si="14"/>
        <v/>
      </c>
      <c r="BS44" s="351" t="str">
        <f t="shared" si="14"/>
        <v/>
      </c>
      <c r="BT44" s="351" t="str">
        <f t="shared" si="14"/>
        <v/>
      </c>
      <c r="BU44" s="351" t="str">
        <f t="shared" si="14"/>
        <v/>
      </c>
    </row>
    <row r="45" spans="1:73" ht="19.5" thickBot="1" x14ac:dyDescent="0.35">
      <c r="B45" s="705" t="s">
        <v>54</v>
      </c>
      <c r="C45" s="706"/>
      <c r="D45" s="706"/>
      <c r="E45" s="706"/>
      <c r="F45" s="689"/>
      <c r="G45" s="387"/>
      <c r="H45" s="387">
        <f>SUM(H15:H44)</f>
        <v>0</v>
      </c>
      <c r="I45" s="387">
        <f>SUM(I15:I44)</f>
        <v>0</v>
      </c>
      <c r="J45" s="387">
        <f>SUM(J15:J44)</f>
        <v>0</v>
      </c>
      <c r="K45" s="387">
        <f>SUM(K15:K44)</f>
        <v>0</v>
      </c>
      <c r="L45" s="387">
        <f>SUM(L15:L44)</f>
        <v>0</v>
      </c>
      <c r="M45" s="387"/>
      <c r="N45" s="387">
        <f>SUM(N15:N44)</f>
        <v>0</v>
      </c>
      <c r="O45" s="387">
        <f>SUM(O15:O44)</f>
        <v>0</v>
      </c>
      <c r="P45" s="387">
        <f t="shared" ref="P45:T45" si="15">SUM(P15:P44)</f>
        <v>0</v>
      </c>
      <c r="Q45" s="387"/>
      <c r="R45" s="387">
        <f t="shared" si="15"/>
        <v>0</v>
      </c>
      <c r="S45" s="387">
        <f t="shared" si="15"/>
        <v>0</v>
      </c>
      <c r="T45" s="387">
        <f t="shared" si="15"/>
        <v>0</v>
      </c>
      <c r="U45" s="387">
        <f>SUMIF($O$15:$O$44,1,U15:U44)</f>
        <v>0</v>
      </c>
      <c r="V45" s="387">
        <f>SUMIF($O$15:$O$44,1,V15:V44)</f>
        <v>0</v>
      </c>
      <c r="W45" s="387"/>
      <c r="X45" s="387"/>
      <c r="Y45" s="387"/>
      <c r="Z45" s="387"/>
      <c r="AA45" s="387"/>
      <c r="AB45" s="387"/>
      <c r="AC45" s="387"/>
      <c r="AD45" s="387"/>
      <c r="AE45" s="387"/>
      <c r="AF45" s="387"/>
      <c r="AG45" s="387"/>
    </row>
  </sheetData>
  <sheetProtection algorithmName="SHA-512" hashValue="LoU5OXNPcbzboobYk52GTLaxpN69NBB2cm5FSGtTV/i/YzDGbPFg5dXaVGLKJ6BdAPs0J2SKjdscn0enTIQCfA==" saltValue="i3AL7ja/22fwLj4MsOiLXw==" spinCount="100000" sheet="1" scenarios="1" formatColumns="0" formatRows="0"/>
  <mergeCells count="17">
    <mergeCell ref="F4:H4"/>
    <mergeCell ref="F10:H10"/>
    <mergeCell ref="F11:H11"/>
    <mergeCell ref="B13:B14"/>
    <mergeCell ref="C13:C14"/>
    <mergeCell ref="D13:D14"/>
    <mergeCell ref="AD13:AD14"/>
    <mergeCell ref="AE13:AE14"/>
    <mergeCell ref="AF13:AF14"/>
    <mergeCell ref="AG13:AG14"/>
    <mergeCell ref="B45:F45"/>
    <mergeCell ref="K13:K14"/>
    <mergeCell ref="O13:O14"/>
    <mergeCell ref="T13:T14"/>
    <mergeCell ref="W13:W14"/>
    <mergeCell ref="Y13:Y14"/>
    <mergeCell ref="AC13:AC14"/>
  </mergeCells>
  <conditionalFormatting sqref="A15:E15 B16:B44">
    <cfRule type="expression" dxfId="23" priority="47" stopIfTrue="1">
      <formula>AND($E15="",A15&lt;&gt;"")</formula>
    </cfRule>
    <cfRule type="expression" dxfId="22" priority="48">
      <formula>$E15=""</formula>
    </cfRule>
    <cfRule type="expression" dxfId="21" priority="49">
      <formula>A$14&lt;&gt;""</formula>
    </cfRule>
  </conditionalFormatting>
  <conditionalFormatting sqref="A16:E44 T15:AG44 G15:P44">
    <cfRule type="expression" dxfId="20" priority="51" stopIfTrue="1">
      <formula>AND($E15="",A15&lt;&gt;"")</formula>
    </cfRule>
  </conditionalFormatting>
  <conditionalFormatting sqref="F15:F44">
    <cfRule type="expression" dxfId="19" priority="13" stopIfTrue="1">
      <formula>AND($E15="",F15&lt;&gt;"")</formula>
    </cfRule>
    <cfRule type="expression" dxfId="18" priority="14">
      <formula>$E15=""</formula>
    </cfRule>
    <cfRule type="expression" dxfId="17" priority="15">
      <formula>F$14&lt;&gt;""</formula>
    </cfRule>
  </conditionalFormatting>
  <conditionalFormatting sqref="G15:P44 T15:AG44 A16:E44">
    <cfRule type="expression" dxfId="16" priority="53">
      <formula>A$14&lt;&gt;""</formula>
    </cfRule>
  </conditionalFormatting>
  <conditionalFormatting sqref="O15:O44">
    <cfRule type="expression" dxfId="15" priority="25">
      <formula>$E15=""</formula>
    </cfRule>
    <cfRule type="cellIs" dxfId="14" priority="27" operator="equal">
      <formula>0</formula>
    </cfRule>
  </conditionalFormatting>
  <conditionalFormatting sqref="Q15:S44">
    <cfRule type="expression" dxfId="13" priority="4" stopIfTrue="1">
      <formula>AND($E15="",Q15&lt;&gt;"")</formula>
    </cfRule>
    <cfRule type="expression" dxfId="12" priority="5">
      <formula>$E15=""</formula>
    </cfRule>
    <cfRule type="expression" dxfId="11" priority="6">
      <formula>Q$14&lt;&gt;""</formula>
    </cfRule>
  </conditionalFormatting>
  <conditionalFormatting sqref="Y15 G15:N44 P15:P44 T15:X44 AB15:AG44 A16:E44 Y16:AA44">
    <cfRule type="expression" dxfId="10" priority="52">
      <formula>$E15=""</formula>
    </cfRule>
  </conditionalFormatting>
  <conditionalFormatting sqref="Z15:AA15">
    <cfRule type="expression" dxfId="9" priority="21">
      <formula>$F15=""</formula>
    </cfRule>
  </conditionalFormatting>
  <dataValidations count="10">
    <dataValidation operator="greaterThanOrEqual" allowBlank="1" showInputMessage="1" showErrorMessage="1" errorTitle="נתון שגוי." error="ניתן להזין רק מספר שלם גדול או שווה ל-0." sqref="O15:O44" xr:uid="{00000000-0002-0000-4200-000000000000}"/>
    <dataValidation type="list" allowBlank="1" showInputMessage="1" showErrorMessage="1" errorTitle="טעות הזנה" error="ניתן להזין רק טקסט מתוך הרשימה הסגורה אשר מופיע כאשר לוחצים על החץ משמאל לתא" sqref="Z15:AA44" xr:uid="{00000000-0002-0000-4200-000001000000}">
      <formula1>$CA$2:$CA$10</formula1>
    </dataValidation>
    <dataValidation type="list" allowBlank="1" showInputMessage="1" showErrorMessage="1" errorTitle="נתון שגוי." error="ניתן להזין רק 0 או 1._x000a_0 = לא עומד בתנאי._x000a_1 = עומד בתנאי." sqref="U15:V44 X15:X44 AB15:AB44" xr:uid="{00000000-0002-0000-4200-000002000000}">
      <formula1>$AJ$15:$AK$15</formula1>
    </dataValidation>
    <dataValidation type="list" allowBlank="1" showInputMessage="1" showErrorMessage="1" sqref="F14" xr:uid="{00000000-0002-0000-4200-000003000000}">
      <formula1>$AO$1:$BP$1</formula1>
    </dataValidation>
    <dataValidation type="list" allowBlank="1" showInputMessage="1" showErrorMessage="1" sqref="E14 Z14:AB14 L14:N14 U14:V14 X14 G14:J14 P14:S14" xr:uid="{00000000-0002-0000-4200-000004000000}">
      <formula1>$AN$1:$BP$1</formula1>
    </dataValidation>
    <dataValidation allowBlank="1" showInputMessage="1" showErrorMessage="1" errorTitle="נתון שגוי." error="ניתן להזין רק 0 או 1._x000a_0 = לא עומד בתנאי._x000a_1 = עומד בתנאי." sqref="C15:E44 K15:K44" xr:uid="{00000000-0002-0000-4200-000005000000}"/>
    <dataValidation type="whole" operator="greaterThanOrEqual" allowBlank="1" showInputMessage="1" showErrorMessage="1" errorTitle="נתון שגוי." error="ניתן להזין רק מספר שלם גדול או שווה ל-0." sqref="H15:J44 L15:N44" xr:uid="{00000000-0002-0000-4200-000006000000}">
      <formula1>0</formula1>
    </dataValidation>
    <dataValidation type="list" allowBlank="1" showInputMessage="1" showErrorMessage="1" errorTitle="נתון שגוי." error="ניתן לבחור מרשימה._x000a_לא נאותה = לא עומד בתנאי._x000a_נאותה = עומד בתנאי." sqref="G15:G44" xr:uid="{00000000-0002-0000-4200-000007000000}">
      <formula1>$AN$4:$AO$4</formula1>
    </dataValidation>
    <dataValidation type="decimal" operator="greaterThanOrEqual" allowBlank="1" showInputMessage="1" showErrorMessage="1" errorTitle="נתון שגוי." error="ניתן להזין רק מספר חיובי." sqref="P15:P44" xr:uid="{00000000-0002-0000-4200-000008000000}">
      <formula1>0</formula1>
    </dataValidation>
    <dataValidation type="list" allowBlank="1" showInputMessage="1" showErrorMessage="1" errorTitle="נתון שגוי." error="ניתן להזין רק 0 או 1._x000a_0 = לא עומד בתנאי._x000a_1 = עומד בתנאי." sqref="Q15:S44" xr:uid="{00000000-0002-0000-4200-000009000000}">
      <formula1>$AJ$14:$AK$14</formula1>
    </dataValidation>
  </dataValidations>
  <printOptions horizontalCentered="1"/>
  <pageMargins left="0.51181102362204722" right="0.51181102362204722" top="0.74803149606299213" bottom="0.74803149606299213" header="0.31496062992125984" footer="0.31496062992125984"/>
  <pageSetup paperSize="9" scale="45" fitToHeight="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50" operator="containsText" id="{43460566-CFAB-4440-AA52-91E8518D6703}">
            <xm:f>NOT(ISERROR(SEARCH($AJ$1,A15)))</xm:f>
            <xm:f>$AJ$1</xm:f>
            <x14:dxf>
              <fill>
                <patternFill>
                  <bgColor rgb="FFFF0000"/>
                </patternFill>
              </fill>
            </x14:dxf>
          </x14:cfRule>
          <xm:sqref>A15:E44</xm:sqref>
        </x14:conditionalFormatting>
        <x14:conditionalFormatting xmlns:xm="http://schemas.microsoft.com/office/excel/2006/main">
          <x14:cfRule type="containsText" priority="12" operator="containsText" id="{68912CB7-2C64-490D-84C5-42931CD418BC}">
            <xm:f>NOT(ISERROR(SEARCH($AJ$1,F15)))</xm:f>
            <xm:f>$AJ$1</xm:f>
            <x14:dxf>
              <fill>
                <patternFill>
                  <bgColor rgb="FFFF0000"/>
                </patternFill>
              </fill>
            </x14:dxf>
          </x14:cfRule>
          <xm:sqref>F15:J44</xm:sqref>
        </x14:conditionalFormatting>
        <x14:conditionalFormatting xmlns:xm="http://schemas.microsoft.com/office/excel/2006/main">
          <x14:cfRule type="containsText" priority="26" operator="containsText" id="{889CFC57-BE90-42F5-AC3E-E31BB58146E8}">
            <xm:f>NOT(ISERROR(SEARCH($AJ$1,I15)))</xm:f>
            <xm:f>$AJ$1</xm:f>
            <x14:dxf>
              <fill>
                <patternFill>
                  <bgColor rgb="FFFF0000"/>
                </patternFill>
              </fill>
            </x14:dxf>
          </x14:cfRule>
          <xm:sqref>I15:P44</xm:sqref>
        </x14:conditionalFormatting>
        <x14:conditionalFormatting xmlns:xm="http://schemas.microsoft.com/office/excel/2006/main">
          <x14:cfRule type="containsText" priority="19" operator="containsText" id="{FAD64F10-E51F-431B-AF06-B2ECD330499F}">
            <xm:f>NOT(ISERROR(SEARCH($AJ$1,L15)))</xm:f>
            <xm:f>$AJ$1</xm:f>
            <x14:dxf>
              <fill>
                <patternFill>
                  <bgColor rgb="FFFF0000"/>
                </patternFill>
              </fill>
            </x14:dxf>
          </x14:cfRule>
          <xm:sqref>L15:M44</xm:sqref>
        </x14:conditionalFormatting>
        <x14:conditionalFormatting xmlns:xm="http://schemas.microsoft.com/office/excel/2006/main">
          <x14:cfRule type="containsText" priority="1" operator="containsText" id="{95BA8534-9268-4823-BF88-C3A4AC1B53B8}">
            <xm:f>NOT(ISERROR(SEARCH($AJ$1,P15)))</xm:f>
            <xm:f>$AJ$1</xm:f>
            <x14:dxf>
              <fill>
                <patternFill>
                  <bgColor rgb="FFFF0000"/>
                </patternFill>
              </fill>
            </x14:dxf>
          </x14:cfRule>
          <xm:sqref>P15:Y44</xm:sqref>
        </x14:conditionalFormatting>
        <x14:conditionalFormatting xmlns:xm="http://schemas.microsoft.com/office/excel/2006/main">
          <x14:cfRule type="containsText" priority="22" operator="containsText" id="{240DE258-D7D9-4675-BB0C-80C8921DCF94}">
            <xm:f>NOT(ISERROR(SEARCH($AJ$1,Z15)))</xm:f>
            <xm:f>$AJ$1</xm:f>
            <x14:dxf>
              <fill>
                <patternFill>
                  <bgColor rgb="FFFF0000"/>
                </patternFill>
              </fill>
            </x14:dxf>
          </x14:cfRule>
          <xm:sqref>Z15:AA15</xm:sqref>
        </x14:conditionalFormatting>
        <x14:conditionalFormatting xmlns:xm="http://schemas.microsoft.com/office/excel/2006/main">
          <x14:cfRule type="containsText" priority="20" operator="containsText" id="{DB4158ED-D973-4298-956D-AAE5213455DB}">
            <xm:f>NOT(ISERROR(SEARCH($AJ$1,Z16)))</xm:f>
            <xm:f>$AJ$1</xm:f>
            <x14:dxf>
              <fill>
                <patternFill>
                  <bgColor rgb="FFFF0000"/>
                </patternFill>
              </fill>
            </x14:dxf>
          </x14:cfRule>
          <xm:sqref>Z16:AA44</xm:sqref>
        </x14:conditionalFormatting>
        <x14:conditionalFormatting xmlns:xm="http://schemas.microsoft.com/office/excel/2006/main">
          <x14:cfRule type="containsText" priority="34" operator="containsText" id="{1865817B-F14B-463A-ACDC-E07C48DF1574}">
            <xm:f>NOT(ISERROR(SEARCH($AJ$1,AB15)))</xm:f>
            <xm:f>$AJ$1</xm:f>
            <x14:dxf>
              <fill>
                <patternFill>
                  <bgColor rgb="FFFF0000"/>
                </patternFill>
              </fill>
            </x14:dxf>
          </x14:cfRule>
          <xm:sqref>AB15:AC44</xm:sqref>
        </x14:conditionalFormatting>
        <x14:conditionalFormatting xmlns:xm="http://schemas.microsoft.com/office/excel/2006/main">
          <x14:cfRule type="containsText" priority="54" operator="containsText" id="{4FEE5446-34BE-4FBE-9220-0C438FFB1B9B}">
            <xm:f>NOT(ISERROR(SEARCH($AJ$1,Y15)))</xm:f>
            <xm:f>$AJ$1</xm:f>
            <x14:dxf>
              <fill>
                <patternFill>
                  <bgColor rgb="FFFF0000"/>
                </patternFill>
              </fill>
            </x14:dxf>
          </x14:cfRule>
          <xm:sqref>AD15:AG44 Y16:Y44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8AA96A946BC9DE42A81967A6D8625098" ma:contentTypeVersion="18" ma:contentTypeDescription="צור מסמך חדש." ma:contentTypeScope="" ma:versionID="a03d73898847ba546582acbf3caa29fe">
  <xsd:schema xmlns:xsd="http://www.w3.org/2001/XMLSchema" xmlns:xs="http://www.w3.org/2001/XMLSchema" xmlns:p="http://schemas.microsoft.com/office/2006/metadata/properties" xmlns:ns2="2254ba46-2b42-46e2-b1fb-c0e93dfa82a1" xmlns:ns3="ca106635-b9a8-4f0b-bbd7-d236a8880032" targetNamespace="http://schemas.microsoft.com/office/2006/metadata/properties" ma:root="true" ma:fieldsID="101afad9f2b7c3155d16c3fe4aa61cb4" ns2:_="" ns3:_="">
    <xsd:import namespace="2254ba46-2b42-46e2-b1fb-c0e93dfa82a1"/>
    <xsd:import namespace="ca106635-b9a8-4f0b-bbd7-d236a888003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54ba46-2b42-46e2-b1fb-c0e93dfa82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249542c6-2124-448a-992c-07e7ad66b3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106635-b9a8-4f0b-bbd7-d236a8880032" elementFormDefault="qualified">
    <xsd:import namespace="http://schemas.microsoft.com/office/2006/documentManagement/types"/>
    <xsd:import namespace="http://schemas.microsoft.com/office/infopath/2007/PartnerControls"/>
    <xsd:element name="SharedWithUsers" ma:index="1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a1d6ccc7-f785-47c1-8d8a-9e47eee2506d}" ma:internalName="TaxCatchAll" ma:showField="CatchAllData" ma:web="ca106635-b9a8-4f0b-bbd7-d236a8880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a106635-b9a8-4f0b-bbd7-d236a8880032" xsi:nil="true"/>
    <lcf76f155ced4ddcb4097134ff3c332f xmlns="2254ba46-2b42-46e2-b1fb-c0e93dfa82a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C13042-A6F3-4C3D-9082-ACE7476DF0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54ba46-2b42-46e2-b1fb-c0e93dfa82a1"/>
    <ds:schemaRef ds:uri="ca106635-b9a8-4f0b-bbd7-d236a88800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4DFE58-9DC4-472F-A906-B571F1C0BB70}">
  <ds:schemaRefs>
    <ds:schemaRef ds:uri="http://purl.org/dc/terms/"/>
    <ds:schemaRef ds:uri="http://schemas.microsoft.com/office/2006/documentManagement/types"/>
    <ds:schemaRef ds:uri="2254ba46-2b42-46e2-b1fb-c0e93dfa82a1"/>
    <ds:schemaRef ds:uri="http://purl.org/dc/elements/1.1/"/>
    <ds:schemaRef ds:uri="ca106635-b9a8-4f0b-bbd7-d236a8880032"/>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A9571A7-3C82-47A6-9539-614C1B5BD8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67</vt:i4>
      </vt:variant>
      <vt:variant>
        <vt:lpstr>טווחים בעלי שם</vt:lpstr>
      </vt:variant>
      <vt:variant>
        <vt:i4>113</vt:i4>
      </vt:variant>
    </vt:vector>
  </HeadingPairs>
  <TitlesOfParts>
    <vt:vector size="180" baseType="lpstr">
      <vt:lpstr>הדרכה למשתמש</vt:lpstr>
      <vt:lpstr>פרמטרים</vt:lpstr>
      <vt:lpstr>תנאי סף</vt:lpstr>
      <vt:lpstr>סיווג</vt:lpstr>
      <vt:lpstr>היקף החוברות</vt:lpstr>
      <vt:lpstr>רמה הפקתית</vt:lpstr>
      <vt:lpstr>תמורה ליוצרים</vt:lpstr>
      <vt:lpstr>הפצת כתב העת</vt:lpstr>
      <vt:lpstr>הפצה</vt:lpstr>
      <vt:lpstr>וותק</vt:lpstr>
      <vt:lpstr>התחשיב הבסיסי</vt:lpstr>
      <vt:lpstr>ייצוב</vt:lpstr>
      <vt:lpstr>הגנה</vt:lpstr>
      <vt:lpstr>חריגות שכר</vt:lpstr>
      <vt:lpstr>הרכב חברי וועדה</vt:lpstr>
      <vt:lpstr>גירעון</vt:lpstr>
      <vt:lpstr>סכום מבוקש</vt:lpstr>
      <vt:lpstr>סיכום</vt:lpstr>
      <vt:lpstr>הגבלה לסכום מבוקש (1)</vt:lpstr>
      <vt:lpstr>קיזוזים בגין איחורים</vt:lpstr>
      <vt:lpstr>קיזוזים- החלטות ועדה</vt:lpstr>
      <vt:lpstr>הגבלה לסכום מבוקש (2)</vt:lpstr>
      <vt:lpstr>סיכום לועדה- הזנת נתונים</vt:lpstr>
      <vt:lpstr>סיכום לועדה - תוצאות</vt:lpstr>
      <vt:lpstr>ריכוז גיליונות עזר</vt:lpstr>
      <vt:lpstr>מרכבה</vt:lpstr>
      <vt:lpstr>1280 מעלות (אמנים יוצרים)</vt:lpstr>
      <vt:lpstr>יהי (אורי צבי גרינברג)</vt:lpstr>
      <vt:lpstr>3</vt:lpstr>
      <vt:lpstr>דעות (ברית נאמני תורה ועבודה)</vt:lpstr>
      <vt:lpstr>הליקון</vt:lpstr>
      <vt:lpstr>6</vt:lpstr>
      <vt:lpstr>7</vt:lpstr>
      <vt:lpstr>ננפואטיקה (עמותת מקום לשירה)</vt:lpstr>
      <vt:lpstr>מאזניים (אגודת הסופרים העבריים)</vt:lpstr>
      <vt:lpstr>משיב הרוח</vt:lpstr>
      <vt:lpstr>עמדה (עמותת מונטן)</vt:lpstr>
      <vt:lpstr>עתון 77 (אגודת סופרים ואמנים)</vt:lpstr>
      <vt:lpstr>13</vt:lpstr>
      <vt:lpstr>פסיפס</vt:lpstr>
      <vt:lpstr>קתרזיס ( עמותת מצרף)</vt:lpstr>
      <vt:lpstr>16</vt:lpstr>
      <vt:lpstr>הכיוון מזרח (עמותת אחותי)</vt:lpstr>
      <vt:lpstr>18</vt:lpstr>
      <vt:lpstr>הו</vt:lpstr>
      <vt:lpstr>הבא להבא (עמותת מקום לשירה)</vt:lpstr>
      <vt:lpstr>היסטוריה (החברה ההיסטורית הישרא</vt:lpstr>
      <vt:lpstr>מחול עכשיו (תמונע)</vt:lpstr>
      <vt:lpstr>קול אישה שירה (תואר)</vt:lpstr>
      <vt:lpstr>האיגוד העולמי למדעי היהדות</vt:lpstr>
      <vt:lpstr>25</vt:lpstr>
      <vt:lpstr>26</vt:lpstr>
      <vt:lpstr>27</vt:lpstr>
      <vt:lpstr>28</vt:lpstr>
      <vt:lpstr>גופא (נתיב האומן )</vt:lpstr>
      <vt:lpstr>ערב רב (בר קיימא)</vt:lpstr>
      <vt:lpstr>31</vt:lpstr>
      <vt:lpstr>מעלה</vt:lpstr>
      <vt:lpstr>33</vt:lpstr>
      <vt:lpstr>כתב עת ירושלמי</vt:lpstr>
      <vt:lpstr>35</vt:lpstr>
      <vt:lpstr>העמותה ליצירה פנטסטית- אוטופיה</vt:lpstr>
      <vt:lpstr>גיליון1</vt:lpstr>
      <vt:lpstr>37</vt:lpstr>
      <vt:lpstr>38</vt:lpstr>
      <vt:lpstr>39</vt:lpstr>
      <vt:lpstr>40</vt:lpstr>
      <vt:lpstr>'1280 מעלות (אמנים יוצרים)'!WPrint_Area_W</vt:lpstr>
      <vt:lpstr>'13'!WPrint_Area_W</vt:lpstr>
      <vt:lpstr>'16'!WPrint_Area_W</vt:lpstr>
      <vt:lpstr>'18'!WPrint_Area_W</vt:lpstr>
      <vt:lpstr>'25'!WPrint_Area_W</vt:lpstr>
      <vt:lpstr>'26'!WPrint_Area_W</vt:lpstr>
      <vt:lpstr>'27'!WPrint_Area_W</vt:lpstr>
      <vt:lpstr>'28'!WPrint_Area_W</vt:lpstr>
      <vt:lpstr>'3'!WPrint_Area_W</vt:lpstr>
      <vt:lpstr>'31'!WPrint_Area_W</vt:lpstr>
      <vt:lpstr>'33'!WPrint_Area_W</vt:lpstr>
      <vt:lpstr>'35'!WPrint_Area_W</vt:lpstr>
      <vt:lpstr>'37'!WPrint_Area_W</vt:lpstr>
      <vt:lpstr>'38'!WPrint_Area_W</vt:lpstr>
      <vt:lpstr>'39'!WPrint_Area_W</vt:lpstr>
      <vt:lpstr>'40'!WPrint_Area_W</vt:lpstr>
      <vt:lpstr>'6'!WPrint_Area_W</vt:lpstr>
      <vt:lpstr>'7'!WPrint_Area_W</vt:lpstr>
      <vt:lpstr>'גופא (נתיב האומן )'!WPrint_Area_W</vt:lpstr>
      <vt:lpstr>גירעון!WPrint_Area_W</vt:lpstr>
      <vt:lpstr>'דעות (ברית נאמני תורה ועבודה)'!WPrint_Area_W</vt:lpstr>
      <vt:lpstr>'האיגוד העולמי למדעי היהדות'!WPrint_Area_W</vt:lpstr>
      <vt:lpstr>'הבא להבא (עמותת מקום לשירה)'!WPrint_Area_W</vt:lpstr>
      <vt:lpstr>'הגבלה לסכום מבוקש (1)'!WPrint_Area_W</vt:lpstr>
      <vt:lpstr>'הגבלה לסכום מבוקש (2)'!WPrint_Area_W</vt:lpstr>
      <vt:lpstr>הגנה!WPrint_Area_W</vt:lpstr>
      <vt:lpstr>'הדרכה למשתמש'!WPrint_Area_W</vt:lpstr>
      <vt:lpstr>הו!WPrint_Area_W</vt:lpstr>
      <vt:lpstr>'היסטוריה (החברה ההיסטורית הישרא'!WPrint_Area_W</vt:lpstr>
      <vt:lpstr>'היקף החוברות'!WPrint_Area_W</vt:lpstr>
      <vt:lpstr>'הכיוון מזרח (עמותת אחותי)'!WPrint_Area_W</vt:lpstr>
      <vt:lpstr>הליקון!WPrint_Area_W</vt:lpstr>
      <vt:lpstr>'העמותה ליצירה פנטסטית- אוטופיה'!WPrint_Area_W</vt:lpstr>
      <vt:lpstr>הפצה!WPrint_Area_W</vt:lpstr>
      <vt:lpstr>'הפצת כתב העת'!WPrint_Area_W</vt:lpstr>
      <vt:lpstr>'הרכב חברי וועדה'!WPrint_Area_W</vt:lpstr>
      <vt:lpstr>'התחשיב הבסיסי'!WPrint_Area_W</vt:lpstr>
      <vt:lpstr>וותק!WPrint_Area_W</vt:lpstr>
      <vt:lpstr>'חריגות שכר'!WPrint_Area_W</vt:lpstr>
      <vt:lpstr>'יהי (אורי צבי גרינברג)'!WPrint_Area_W</vt:lpstr>
      <vt:lpstr>ייצוב!WPrint_Area_W</vt:lpstr>
      <vt:lpstr>'כתב עת ירושלמי'!WPrint_Area_W</vt:lpstr>
      <vt:lpstr>'מאזניים (אגודת הסופרים העבריים)'!WPrint_Area_W</vt:lpstr>
      <vt:lpstr>'מחול עכשיו (תמונע)'!WPrint_Area_W</vt:lpstr>
      <vt:lpstr>מעלה!WPrint_Area_W</vt:lpstr>
      <vt:lpstr>'משיב הרוח'!WPrint_Area_W</vt:lpstr>
      <vt:lpstr>'ננפואטיקה (עמותת מקום לשירה)'!WPrint_Area_W</vt:lpstr>
      <vt:lpstr>סיווג!WPrint_Area_W</vt:lpstr>
      <vt:lpstr>סיכום!WPrint_Area_W</vt:lpstr>
      <vt:lpstr>'סיכום לועדה- הזנת נתונים'!WPrint_Area_W</vt:lpstr>
      <vt:lpstr>'סיכום לועדה - תוצאות'!WPrint_Area_W</vt:lpstr>
      <vt:lpstr>'סכום מבוקש'!WPrint_Area_W</vt:lpstr>
      <vt:lpstr>'עמדה (עמותת מונטן)'!WPrint_Area_W</vt:lpstr>
      <vt:lpstr>'ערב רב (בר קיימא)'!WPrint_Area_W</vt:lpstr>
      <vt:lpstr>'עתון 77 (אגודת סופרים ואמנים)'!WPrint_Area_W</vt:lpstr>
      <vt:lpstr>פסיפס!WPrint_Area_W</vt:lpstr>
      <vt:lpstr>פרמטרים!WPrint_Area_W</vt:lpstr>
      <vt:lpstr>'קול אישה שירה (תואר)'!WPrint_Area_W</vt:lpstr>
      <vt:lpstr>'קיזוזים- החלטות ועדה'!WPrint_Area_W</vt:lpstr>
      <vt:lpstr>'קיזוזים בגין איחורים'!WPrint_Area_W</vt:lpstr>
      <vt:lpstr>'קתרזיס ( עמותת מצרף)'!WPrint_Area_W</vt:lpstr>
      <vt:lpstr>'ריכוז גיליונות עזר'!WPrint_Area_W</vt:lpstr>
      <vt:lpstr>'רמה הפקתית'!WPrint_Area_W</vt:lpstr>
      <vt:lpstr>'תמורה ליוצרים'!WPrint_Area_W</vt:lpstr>
      <vt:lpstr>'תנאי סף'!WPrint_Area_W</vt:lpstr>
      <vt:lpstr>'1280 מעלות (אמנים יוצרים)'!WPrint_TitlesW</vt:lpstr>
      <vt:lpstr>'13'!WPrint_TitlesW</vt:lpstr>
      <vt:lpstr>'16'!WPrint_TitlesW</vt:lpstr>
      <vt:lpstr>'18'!WPrint_TitlesW</vt:lpstr>
      <vt:lpstr>'25'!WPrint_TitlesW</vt:lpstr>
      <vt:lpstr>'26'!WPrint_TitlesW</vt:lpstr>
      <vt:lpstr>'27'!WPrint_TitlesW</vt:lpstr>
      <vt:lpstr>'28'!WPrint_TitlesW</vt:lpstr>
      <vt:lpstr>'3'!WPrint_TitlesW</vt:lpstr>
      <vt:lpstr>'31'!WPrint_TitlesW</vt:lpstr>
      <vt:lpstr>'33'!WPrint_TitlesW</vt:lpstr>
      <vt:lpstr>'35'!WPrint_TitlesW</vt:lpstr>
      <vt:lpstr>'37'!WPrint_TitlesW</vt:lpstr>
      <vt:lpstr>'38'!WPrint_TitlesW</vt:lpstr>
      <vt:lpstr>'39'!WPrint_TitlesW</vt:lpstr>
      <vt:lpstr>'40'!WPrint_TitlesW</vt:lpstr>
      <vt:lpstr>'6'!WPrint_TitlesW</vt:lpstr>
      <vt:lpstr>'7'!WPrint_TitlesW</vt:lpstr>
      <vt:lpstr>'גופא (נתיב האומן )'!WPrint_TitlesW</vt:lpstr>
      <vt:lpstr>'דעות (ברית נאמני תורה ועבודה)'!WPrint_TitlesW</vt:lpstr>
      <vt:lpstr>'האיגוד העולמי למדעי היהדות'!WPrint_TitlesW</vt:lpstr>
      <vt:lpstr>'הבא להבא (עמותת מקום לשירה)'!WPrint_TitlesW</vt:lpstr>
      <vt:lpstr>'הגבלה לסכום מבוקש (1)'!WPrint_TitlesW</vt:lpstr>
      <vt:lpstr>'הגבלה לסכום מבוקש (2)'!WPrint_TitlesW</vt:lpstr>
      <vt:lpstr>הגנה!WPrint_TitlesW</vt:lpstr>
      <vt:lpstr>הו!WPrint_TitlesW</vt:lpstr>
      <vt:lpstr>'היסטוריה (החברה ההיסטורית הישרא'!WPrint_TitlesW</vt:lpstr>
      <vt:lpstr>'הכיוון מזרח (עמותת אחותי)'!WPrint_TitlesW</vt:lpstr>
      <vt:lpstr>הליקון!WPrint_TitlesW</vt:lpstr>
      <vt:lpstr>'העמותה ליצירה פנטסטית- אוטופיה'!WPrint_TitlesW</vt:lpstr>
      <vt:lpstr>'יהי (אורי צבי גרינברג)'!WPrint_TitlesW</vt:lpstr>
      <vt:lpstr>'כתב עת ירושלמי'!WPrint_TitlesW</vt:lpstr>
      <vt:lpstr>'מאזניים (אגודת הסופרים העבריים)'!WPrint_TitlesW</vt:lpstr>
      <vt:lpstr>'מחול עכשיו (תמונע)'!WPrint_TitlesW</vt:lpstr>
      <vt:lpstr>מעלה!WPrint_TitlesW</vt:lpstr>
      <vt:lpstr>'משיב הרוח'!WPrint_TitlesW</vt:lpstr>
      <vt:lpstr>'ננפואטיקה (עמותת מקום לשירה)'!WPrint_TitlesW</vt:lpstr>
      <vt:lpstr>'סיכום לועדה- הזנת נתונים'!WPrint_TitlesW</vt:lpstr>
      <vt:lpstr>'סיכום לועדה - תוצאות'!WPrint_TitlesW</vt:lpstr>
      <vt:lpstr>'עמדה (עמותת מונטן)'!WPrint_TitlesW</vt:lpstr>
      <vt:lpstr>'ערב רב (בר קיימא)'!WPrint_TitlesW</vt:lpstr>
      <vt:lpstr>'עתון 77 (אגודת סופרים ואמנים)'!WPrint_TitlesW</vt:lpstr>
      <vt:lpstr>פסיפס!WPrint_TitlesW</vt:lpstr>
      <vt:lpstr>'קול אישה שירה (תואר)'!WPrint_TitlesW</vt:lpstr>
      <vt:lpstr>'קיזוזים- החלטות ועדה'!WPrint_TitlesW</vt:lpstr>
      <vt:lpstr>'קיזוזים בגין איחורים'!WPrint_TitlesW</vt:lpstr>
      <vt:lpstr>'קתרזיס ( עמותת מצרף)'!WPrint_TitlesW</vt:lpstr>
      <vt:lpstr>'ריכוז גיליונות עזר'!WPrint_TitlesW</vt:lpstr>
    </vt:vector>
  </TitlesOfParts>
  <Manager/>
  <Company>HD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א. חפץ ושות'</dc:creator>
  <cp:keywords/>
  <dc:description/>
  <cp:lastModifiedBy>Shai Zabari</cp:lastModifiedBy>
  <cp:revision/>
  <dcterms:created xsi:type="dcterms:W3CDTF">2005-01-27T11:22:57Z</dcterms:created>
  <dcterms:modified xsi:type="dcterms:W3CDTF">2025-07-03T12:37:58Z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0x0101008AA96A946BC9DE42A81967A6D8625098</vt:lpwstr>
  </property>
  <property fmtid="{D5CDD505-2E9C-101B-9397-08002B2CF9AE}" pid="3" name="MediaServiceImageTags">
    <vt:lpwstr/>
  </property>
</Properties>
</file>