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updateLinks="never" defaultThemeVersion="166925"/>
  <mc:AlternateContent xmlns:mc="http://schemas.openxmlformats.org/markup-compatibility/2006">
    <mc:Choice Requires="x15">
      <x15ac:absPath xmlns:x15ac="http://schemas.microsoft.com/office/spreadsheetml/2010/11/ac" url="Y:\ועדות תמיכה\ועדת תמיכות 2024\ועדה ממליצה\תקנה 19420214 - מחקר איגודים מקצועיים איגודי מוסדות ומחקר תורני\מחקר תורני\"/>
    </mc:Choice>
  </mc:AlternateContent>
  <xr:revisionPtr revIDLastSave="0" documentId="13_ncr:1_{4DF3BE5F-BF68-4B8C-A9A7-76F896DAE2A1}" xr6:coauthVersionLast="47" xr6:coauthVersionMax="47" xr10:uidLastSave="{00000000-0000-0000-0000-000000000000}"/>
  <bookViews>
    <workbookView xWindow="7800" yWindow="1860" windowWidth="21600" windowHeight="11385" tabRatio="863" xr2:uid="{07B19810-C594-4389-84A5-EA1E3A082945}"/>
  </bookViews>
  <sheets>
    <sheet name="מודל תמיכה חלוקת 20,294,511 שח" sheetId="30" r:id="rId1"/>
    <sheet name="הגבלה לסכום מבוקש" sheetId="32" r:id="rId2"/>
    <sheet name="הגנה" sheetId="31" r:id="rId3"/>
    <sheet name="תנאי סף" sheetId="27" r:id="rId4"/>
  </sheets>
  <externalReferences>
    <externalReference r:id="rId5"/>
  </externalReferences>
  <definedNames>
    <definedName name="_xlnm._FilterDatabase" localSheetId="0" hidden="1">'מודל תמיכה חלוקת 20,294,511 שח'!$A$2:$AF$68</definedName>
    <definedName name="_xlnm._FilterDatabase" localSheetId="3" hidden="1">'תנאי סף'!$A$4:$Z$67</definedName>
    <definedName name="a" localSheetId="2">#REF!</definedName>
    <definedName name="a">#REF!</definedName>
    <definedName name="aa">#REF!</definedName>
    <definedName name="b">#REF!</definedName>
    <definedName name="DDDD">#REF!</definedName>
    <definedName name="ee">#REF!</definedName>
    <definedName name="ngf">#REF!</definedName>
    <definedName name="_xlnm.Print_Area" localSheetId="1">'הגבלה לסכום מבוקש'!$B$1:$Z$130</definedName>
    <definedName name="_xlnm.Print_Area" localSheetId="2">הגנה!$B$1:$AX$130</definedName>
    <definedName name="_xlnm.Print_Titles" localSheetId="1">'הגבלה לסכום מבוקש'!$29:$30</definedName>
    <definedName name="_xlnm.Print_Titles" localSheetId="2">הגנה!$29:$30</definedName>
    <definedName name="_xlnm.Print_Titles" localSheetId="0">'מודל תמיכה חלוקת 20,294,511 שח'!$1:$2</definedName>
    <definedName name="_xlnm.Print_Titles" localSheetId="3">'תנאי סף'!$4:$5</definedName>
    <definedName name="ג">#REF!</definedName>
    <definedName name="ד">#REF!</definedName>
    <definedName name="ע">#REF!</definedName>
    <definedName name="ש">#REF!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 i="30" l="1"/>
  <c r="C129" i="32"/>
  <c r="J128" i="32"/>
  <c r="C128" i="32"/>
  <c r="T128" i="32" s="1"/>
  <c r="T127" i="32"/>
  <c r="M127" i="32"/>
  <c r="F127" i="32"/>
  <c r="D127" i="32"/>
  <c r="C127" i="32"/>
  <c r="Q127" i="32" s="1"/>
  <c r="C126" i="32"/>
  <c r="B126" i="32" s="1"/>
  <c r="T125" i="32"/>
  <c r="M125" i="32"/>
  <c r="D125" i="32"/>
  <c r="C125" i="32"/>
  <c r="Z125" i="32" s="1"/>
  <c r="T124" i="32"/>
  <c r="D124" i="32"/>
  <c r="C124" i="32"/>
  <c r="J124" i="32" s="1"/>
  <c r="T123" i="32"/>
  <c r="N123" i="32"/>
  <c r="H123" i="32"/>
  <c r="D123" i="32"/>
  <c r="C123" i="32"/>
  <c r="Q123" i="32" s="1"/>
  <c r="B123" i="32"/>
  <c r="C122" i="32"/>
  <c r="B122" i="32" s="1"/>
  <c r="C121" i="32"/>
  <c r="T121" i="32" s="1"/>
  <c r="T120" i="32"/>
  <c r="C120" i="32"/>
  <c r="Z119" i="32"/>
  <c r="C119" i="32"/>
  <c r="U119" i="32" s="1"/>
  <c r="B119" i="32"/>
  <c r="C118" i="32"/>
  <c r="G118" i="32" s="1"/>
  <c r="Z117" i="32"/>
  <c r="C117" i="32"/>
  <c r="P117" i="32" s="1"/>
  <c r="B117" i="32"/>
  <c r="C116" i="32"/>
  <c r="T116" i="32" s="1"/>
  <c r="C115" i="32"/>
  <c r="Z115" i="32" s="1"/>
  <c r="C114" i="32"/>
  <c r="G114" i="32" s="1"/>
  <c r="B114" i="32"/>
  <c r="C113" i="32"/>
  <c r="K113" i="32" s="1"/>
  <c r="C112" i="32"/>
  <c r="T112" i="32" s="1"/>
  <c r="C111" i="32"/>
  <c r="C110" i="32"/>
  <c r="T110" i="32" s="1"/>
  <c r="C109" i="32"/>
  <c r="S109" i="32" s="1"/>
  <c r="C108" i="32"/>
  <c r="T108" i="32" s="1"/>
  <c r="F107" i="32"/>
  <c r="C107" i="32"/>
  <c r="Z107" i="32" s="1"/>
  <c r="U106" i="32"/>
  <c r="F106" i="32"/>
  <c r="C106" i="32"/>
  <c r="N106" i="32" s="1"/>
  <c r="C105" i="32"/>
  <c r="G105" i="32" s="1"/>
  <c r="F104" i="32"/>
  <c r="C104" i="32"/>
  <c r="T104" i="32" s="1"/>
  <c r="C103" i="32"/>
  <c r="P103" i="32" s="1"/>
  <c r="Z102" i="32"/>
  <c r="C102" i="32"/>
  <c r="T102" i="32" s="1"/>
  <c r="G101" i="32"/>
  <c r="C101" i="32"/>
  <c r="C100" i="32"/>
  <c r="T100" i="32" s="1"/>
  <c r="C99" i="32"/>
  <c r="P99" i="32" s="1"/>
  <c r="C98" i="32"/>
  <c r="Q98" i="32" s="1"/>
  <c r="C97" i="32"/>
  <c r="U97" i="32" s="1"/>
  <c r="C96" i="32"/>
  <c r="Z96" i="32" s="1"/>
  <c r="C95" i="32"/>
  <c r="C94" i="32"/>
  <c r="C93" i="32"/>
  <c r="C92" i="32"/>
  <c r="C91" i="32"/>
  <c r="C90" i="32"/>
  <c r="C89" i="32"/>
  <c r="C88" i="32"/>
  <c r="C87" i="32"/>
  <c r="C86" i="32"/>
  <c r="C85" i="32"/>
  <c r="C84" i="32"/>
  <c r="C83" i="32"/>
  <c r="C82" i="32"/>
  <c r="C81" i="32"/>
  <c r="C80" i="32"/>
  <c r="C79" i="32"/>
  <c r="C78" i="32"/>
  <c r="C77" i="32"/>
  <c r="C76" i="32"/>
  <c r="C75" i="32"/>
  <c r="C74" i="32"/>
  <c r="C73" i="32"/>
  <c r="C72" i="32"/>
  <c r="D72" i="32" s="1"/>
  <c r="C71" i="32"/>
  <c r="D71" i="32" s="1"/>
  <c r="C70" i="32"/>
  <c r="D70" i="32" s="1"/>
  <c r="C69" i="32"/>
  <c r="C68" i="32"/>
  <c r="D68" i="32" s="1"/>
  <c r="C67" i="32"/>
  <c r="B67" i="32" s="1"/>
  <c r="C66" i="32"/>
  <c r="D66" i="32" s="1"/>
  <c r="AC66" i="32" s="1"/>
  <c r="C65" i="32"/>
  <c r="D65" i="32" s="1"/>
  <c r="B65" i="32"/>
  <c r="C64" i="32"/>
  <c r="D64" i="32" s="1"/>
  <c r="AC64" i="32" s="1"/>
  <c r="C63" i="32"/>
  <c r="B63" i="32"/>
  <c r="C62" i="32"/>
  <c r="C61" i="32"/>
  <c r="B61" i="32" s="1"/>
  <c r="C60" i="32"/>
  <c r="B60" i="32" s="1"/>
  <c r="C59" i="32"/>
  <c r="B59" i="32" s="1"/>
  <c r="C58" i="32"/>
  <c r="B58" i="32" s="1"/>
  <c r="C57" i="32"/>
  <c r="C56" i="32"/>
  <c r="B56" i="32" s="1"/>
  <c r="C55" i="32"/>
  <c r="C54" i="32"/>
  <c r="B54" i="32" s="1"/>
  <c r="C53" i="32"/>
  <c r="C52" i="32"/>
  <c r="B52" i="32"/>
  <c r="C51" i="32"/>
  <c r="C50" i="32"/>
  <c r="B50" i="32" s="1"/>
  <c r="C49" i="32"/>
  <c r="C48" i="32"/>
  <c r="B48" i="32" s="1"/>
  <c r="C47" i="32"/>
  <c r="B47" i="32" s="1"/>
  <c r="C46" i="32"/>
  <c r="B46" i="32" s="1"/>
  <c r="C45" i="32"/>
  <c r="B45" i="32" s="1"/>
  <c r="C44" i="32"/>
  <c r="B44" i="32" s="1"/>
  <c r="C43" i="32"/>
  <c r="B43" i="32" s="1"/>
  <c r="C42" i="32"/>
  <c r="B42" i="32" s="1"/>
  <c r="C41" i="32"/>
  <c r="B41" i="32" s="1"/>
  <c r="C40" i="32"/>
  <c r="C39" i="32"/>
  <c r="B39" i="32" s="1"/>
  <c r="C38" i="32"/>
  <c r="B38" i="32" s="1"/>
  <c r="C37" i="32"/>
  <c r="B37" i="32" s="1"/>
  <c r="C36" i="32"/>
  <c r="B36" i="32" s="1"/>
  <c r="C35" i="32"/>
  <c r="B35" i="32" s="1"/>
  <c r="C34" i="32"/>
  <c r="C33" i="32"/>
  <c r="B33" i="32" s="1"/>
  <c r="C32" i="32"/>
  <c r="D32" i="32" s="1"/>
  <c r="C31" i="32"/>
  <c r="B28" i="32"/>
  <c r="C2" i="32"/>
  <c r="B2" i="32"/>
  <c r="C1" i="32"/>
  <c r="B1" i="32"/>
  <c r="H130" i="31"/>
  <c r="BF129" i="31"/>
  <c r="C129" i="31"/>
  <c r="BF128" i="31"/>
  <c r="C128" i="31"/>
  <c r="BD128" i="31" s="1"/>
  <c r="BF127" i="31"/>
  <c r="C127" i="31"/>
  <c r="AU127" i="31" s="1"/>
  <c r="BF126" i="31"/>
  <c r="C126" i="31"/>
  <c r="V126" i="31" s="1"/>
  <c r="BF125" i="31"/>
  <c r="C125" i="31"/>
  <c r="AC125" i="31" s="1"/>
  <c r="AF125" i="31" s="1"/>
  <c r="BF124" i="31"/>
  <c r="AQ124" i="31"/>
  <c r="C124" i="31"/>
  <c r="BC124" i="31" s="1"/>
  <c r="BF123" i="31"/>
  <c r="C123" i="31"/>
  <c r="AQ123" i="31" s="1"/>
  <c r="BF122" i="31"/>
  <c r="AX122" i="31"/>
  <c r="E122" i="32" s="1"/>
  <c r="C122" i="31"/>
  <c r="AS122" i="31" s="1"/>
  <c r="AV122" i="31" s="1"/>
  <c r="BF121" i="31"/>
  <c r="M121" i="31"/>
  <c r="P121" i="31" s="1"/>
  <c r="C121" i="31"/>
  <c r="AQ121" i="31" s="1"/>
  <c r="BF120" i="31"/>
  <c r="C120" i="31"/>
  <c r="AM120" i="31" s="1"/>
  <c r="BF119" i="31"/>
  <c r="I119" i="31"/>
  <c r="L119" i="31" s="1"/>
  <c r="C119" i="31"/>
  <c r="BD119" i="31" s="1"/>
  <c r="BF118" i="31"/>
  <c r="C118" i="31"/>
  <c r="V118" i="31" s="1"/>
  <c r="BF117" i="31"/>
  <c r="C117" i="31"/>
  <c r="U117" i="31" s="1"/>
  <c r="X117" i="31" s="1"/>
  <c r="BF116" i="31"/>
  <c r="C116" i="31"/>
  <c r="BF115" i="31"/>
  <c r="S115" i="31"/>
  <c r="C115" i="31"/>
  <c r="AO115" i="31" s="1"/>
  <c r="AR115" i="31" s="1"/>
  <c r="BF114" i="31"/>
  <c r="C114" i="31"/>
  <c r="BF113" i="31"/>
  <c r="C113" i="31"/>
  <c r="BF112" i="31"/>
  <c r="C112" i="31"/>
  <c r="R112" i="31" s="1"/>
  <c r="BF111" i="31"/>
  <c r="AS111" i="31"/>
  <c r="AV111" i="31" s="1"/>
  <c r="C111" i="31"/>
  <c r="AC111" i="31" s="1"/>
  <c r="AF111" i="31" s="1"/>
  <c r="BF110" i="31"/>
  <c r="C110" i="31"/>
  <c r="AX110" i="31" s="1"/>
  <c r="E110" i="32" s="1"/>
  <c r="BF109" i="31"/>
  <c r="C109" i="31"/>
  <c r="B109" i="31" s="1"/>
  <c r="BF108" i="31"/>
  <c r="N108" i="31"/>
  <c r="C108" i="31"/>
  <c r="AL108" i="31" s="1"/>
  <c r="B108" i="31"/>
  <c r="BF107" i="31"/>
  <c r="C107" i="31"/>
  <c r="Z107" i="31" s="1"/>
  <c r="BF106" i="31"/>
  <c r="C106" i="31"/>
  <c r="BC106" i="31" s="1"/>
  <c r="BF105" i="31"/>
  <c r="C105" i="31"/>
  <c r="AX105" i="31" s="1"/>
  <c r="E105" i="32" s="1"/>
  <c r="BF104" i="31"/>
  <c r="AA104" i="31"/>
  <c r="C104" i="31"/>
  <c r="AW104" i="31" s="1"/>
  <c r="BF103" i="31"/>
  <c r="C103" i="31"/>
  <c r="AQ103" i="31" s="1"/>
  <c r="BF102" i="31"/>
  <c r="C102" i="31"/>
  <c r="BC102" i="31" s="1"/>
  <c r="BF101" i="31"/>
  <c r="F101" i="31"/>
  <c r="C101" i="31"/>
  <c r="AA101" i="31" s="1"/>
  <c r="BF100" i="31"/>
  <c r="C100" i="31"/>
  <c r="AW100" i="31" s="1"/>
  <c r="BF99" i="31"/>
  <c r="C99" i="31"/>
  <c r="AM99" i="31" s="1"/>
  <c r="BF98" i="31"/>
  <c r="C98" i="31"/>
  <c r="AW98" i="31" s="1"/>
  <c r="BF97" i="31"/>
  <c r="C97" i="31"/>
  <c r="BD97" i="31" s="1"/>
  <c r="BF96" i="31"/>
  <c r="C96" i="31"/>
  <c r="AW96" i="31" s="1"/>
  <c r="BF95" i="31"/>
  <c r="C95" i="31"/>
  <c r="BF94" i="31"/>
  <c r="C94" i="31"/>
  <c r="BC94" i="31" s="1"/>
  <c r="BF93" i="31"/>
  <c r="C93" i="31"/>
  <c r="B93" i="31" s="1"/>
  <c r="BF92" i="31"/>
  <c r="C92" i="31"/>
  <c r="BD92" i="31" s="1"/>
  <c r="BF91" i="31"/>
  <c r="C91" i="31"/>
  <c r="BF90" i="31"/>
  <c r="C90" i="31"/>
  <c r="B90" i="31" s="1"/>
  <c r="BF89" i="31"/>
  <c r="C89" i="31"/>
  <c r="BF88" i="31"/>
  <c r="C88" i="31"/>
  <c r="BD88" i="31" s="1"/>
  <c r="BF87" i="31"/>
  <c r="C87" i="31"/>
  <c r="F87" i="31" s="1"/>
  <c r="BF86" i="31"/>
  <c r="C86" i="31"/>
  <c r="B86" i="31" s="1"/>
  <c r="BF85" i="31"/>
  <c r="C85" i="31"/>
  <c r="F85" i="31" s="1"/>
  <c r="BF84" i="31"/>
  <c r="C84" i="31"/>
  <c r="BF83" i="31"/>
  <c r="C83" i="31"/>
  <c r="B83" i="31" s="1"/>
  <c r="BF82" i="31"/>
  <c r="C82" i="31"/>
  <c r="F82" i="31" s="1"/>
  <c r="BF81" i="31"/>
  <c r="C81" i="31"/>
  <c r="F81" i="31" s="1"/>
  <c r="BF80" i="31"/>
  <c r="C80" i="31"/>
  <c r="BF79" i="31"/>
  <c r="C79" i="31"/>
  <c r="BF78" i="31"/>
  <c r="C78" i="31"/>
  <c r="B78" i="31" s="1"/>
  <c r="BF77" i="31"/>
  <c r="C77" i="31"/>
  <c r="BD77" i="31" s="1"/>
  <c r="BF76" i="31"/>
  <c r="C76" i="31"/>
  <c r="BF75" i="31"/>
  <c r="C75" i="31"/>
  <c r="B75" i="31" s="1"/>
  <c r="BF74" i="31"/>
  <c r="C74" i="31"/>
  <c r="BF73" i="31"/>
  <c r="C73" i="31"/>
  <c r="BD73" i="31" s="1"/>
  <c r="BF72" i="31"/>
  <c r="C72" i="31"/>
  <c r="BF71" i="31"/>
  <c r="C71" i="31"/>
  <c r="BF70" i="31"/>
  <c r="C70" i="31"/>
  <c r="BF69" i="31"/>
  <c r="C69" i="31"/>
  <c r="B69" i="31" s="1"/>
  <c r="BF68" i="31"/>
  <c r="C68" i="31"/>
  <c r="BF67" i="31"/>
  <c r="BC67" i="31"/>
  <c r="C67" i="31"/>
  <c r="B67" i="31" s="1"/>
  <c r="BF66" i="31"/>
  <c r="C66" i="31"/>
  <c r="F66" i="31" s="1"/>
  <c r="BF65" i="31"/>
  <c r="C65" i="31"/>
  <c r="BD65" i="31" s="1"/>
  <c r="BF64" i="31"/>
  <c r="C64" i="31"/>
  <c r="BF63" i="31"/>
  <c r="C63" i="31"/>
  <c r="BC63" i="31" s="1"/>
  <c r="BF62" i="31"/>
  <c r="C62" i="31"/>
  <c r="B62" i="31" s="1"/>
  <c r="BF61" i="31"/>
  <c r="C61" i="31"/>
  <c r="BD61" i="31" s="1"/>
  <c r="BF60" i="31"/>
  <c r="C60" i="31"/>
  <c r="BF59" i="31"/>
  <c r="C59" i="31"/>
  <c r="B59" i="31" s="1"/>
  <c r="BF58" i="31"/>
  <c r="C58" i="31"/>
  <c r="BF57" i="31"/>
  <c r="C57" i="31"/>
  <c r="BD57" i="31" s="1"/>
  <c r="BF56" i="31"/>
  <c r="C56" i="31"/>
  <c r="BF55" i="31"/>
  <c r="C55" i="31"/>
  <c r="BD55" i="31" s="1"/>
  <c r="BF54" i="31"/>
  <c r="C54" i="31"/>
  <c r="BC54" i="31" s="1"/>
  <c r="BF53" i="31"/>
  <c r="C53" i="31"/>
  <c r="B53" i="31" s="1"/>
  <c r="BF52" i="31"/>
  <c r="C52" i="31"/>
  <c r="BF51" i="31"/>
  <c r="C51" i="31"/>
  <c r="BD51" i="31" s="1"/>
  <c r="BF50" i="31"/>
  <c r="C50" i="31"/>
  <c r="BF49" i="31"/>
  <c r="C49" i="31"/>
  <c r="BF48" i="31"/>
  <c r="C48" i="31"/>
  <c r="BF47" i="31"/>
  <c r="C47" i="31"/>
  <c r="BD47" i="31" s="1"/>
  <c r="BF46" i="31"/>
  <c r="C46" i="31"/>
  <c r="BF45" i="31"/>
  <c r="C45" i="31"/>
  <c r="BC45" i="31" s="1"/>
  <c r="BF44" i="31"/>
  <c r="C44" i="31"/>
  <c r="BF43" i="31"/>
  <c r="C43" i="31"/>
  <c r="BF42" i="31"/>
  <c r="C42" i="31"/>
  <c r="BF41" i="31"/>
  <c r="C41" i="31"/>
  <c r="BF40" i="31"/>
  <c r="C40" i="31"/>
  <c r="BC40" i="31" s="1"/>
  <c r="BF39" i="31"/>
  <c r="C39" i="31"/>
  <c r="BF38" i="31"/>
  <c r="C38" i="31"/>
  <c r="BC38" i="31" s="1"/>
  <c r="BF37" i="31"/>
  <c r="C37" i="31"/>
  <c r="BF36" i="31"/>
  <c r="C36" i="31"/>
  <c r="BF35" i="31"/>
  <c r="C35" i="31"/>
  <c r="BD35" i="31" s="1"/>
  <c r="BF34" i="31"/>
  <c r="C34" i="31"/>
  <c r="BC34" i="31" s="1"/>
  <c r="BF33" i="31"/>
  <c r="C33" i="31"/>
  <c r="BF32" i="31"/>
  <c r="C32" i="31"/>
  <c r="B32" i="31" s="1"/>
  <c r="BF31" i="31"/>
  <c r="C31" i="31"/>
  <c r="BD31" i="31" s="1"/>
  <c r="F29" i="31"/>
  <c r="B28" i="31"/>
  <c r="D6" i="31"/>
  <c r="D2" i="31"/>
  <c r="C2" i="31"/>
  <c r="D1" i="31"/>
  <c r="C1" i="31"/>
  <c r="W68" i="30"/>
  <c r="U67" i="30"/>
  <c r="U66" i="30"/>
  <c r="U65" i="30"/>
  <c r="U64" i="30"/>
  <c r="U63" i="30"/>
  <c r="U62" i="30"/>
  <c r="U61" i="30"/>
  <c r="U60" i="30"/>
  <c r="U59" i="30"/>
  <c r="U58" i="30"/>
  <c r="U57" i="30"/>
  <c r="U56" i="30"/>
  <c r="U55" i="30"/>
  <c r="U54" i="30"/>
  <c r="U53" i="30"/>
  <c r="U52" i="30"/>
  <c r="U51" i="30"/>
  <c r="U50" i="30"/>
  <c r="U49" i="30"/>
  <c r="U48" i="30"/>
  <c r="U47" i="30"/>
  <c r="U46" i="30"/>
  <c r="U45" i="30"/>
  <c r="U44" i="30"/>
  <c r="U43" i="30"/>
  <c r="U42" i="30"/>
  <c r="U41" i="30"/>
  <c r="U40" i="30"/>
  <c r="U39" i="30"/>
  <c r="U38" i="30"/>
  <c r="U37" i="30"/>
  <c r="U36" i="30"/>
  <c r="U35" i="30"/>
  <c r="U34" i="30"/>
  <c r="U33" i="30"/>
  <c r="U32" i="30"/>
  <c r="U31" i="30"/>
  <c r="U30" i="30"/>
  <c r="U29" i="30"/>
  <c r="U28" i="30"/>
  <c r="U27" i="30"/>
  <c r="U26" i="30"/>
  <c r="U25" i="30"/>
  <c r="U24" i="30"/>
  <c r="U23" i="30"/>
  <c r="U22" i="30"/>
  <c r="U21" i="30"/>
  <c r="U20" i="30"/>
  <c r="U19" i="30"/>
  <c r="U18" i="30"/>
  <c r="U17" i="30"/>
  <c r="U16" i="30"/>
  <c r="U15" i="30"/>
  <c r="U14" i="30"/>
  <c r="U13" i="30"/>
  <c r="U12" i="30"/>
  <c r="U11" i="30"/>
  <c r="U10" i="30"/>
  <c r="U9" i="30"/>
  <c r="U8" i="30"/>
  <c r="U7" i="30"/>
  <c r="U6" i="30"/>
  <c r="U5" i="30"/>
  <c r="U4" i="30"/>
  <c r="U3" i="30"/>
  <c r="AH99" i="31" l="1"/>
  <c r="D99" i="31"/>
  <c r="AO99" i="31"/>
  <c r="AR99" i="31" s="1"/>
  <c r="K105" i="31"/>
  <c r="S109" i="31"/>
  <c r="AL112" i="31"/>
  <c r="B124" i="31"/>
  <c r="B96" i="32"/>
  <c r="D97" i="32"/>
  <c r="AC97" i="32" s="1"/>
  <c r="F100" i="32"/>
  <c r="U100" i="32"/>
  <c r="B102" i="32"/>
  <c r="J104" i="32"/>
  <c r="J106" i="32"/>
  <c r="Z106" i="32"/>
  <c r="K107" i="32"/>
  <c r="H108" i="32"/>
  <c r="D112" i="32"/>
  <c r="N112" i="32"/>
  <c r="Z112" i="32"/>
  <c r="B118" i="32"/>
  <c r="D121" i="32"/>
  <c r="N121" i="32"/>
  <c r="Z121" i="32"/>
  <c r="M123" i="32"/>
  <c r="U123" i="32"/>
  <c r="F125" i="32"/>
  <c r="U125" i="32"/>
  <c r="U127" i="32"/>
  <c r="U121" i="32"/>
  <c r="M99" i="31"/>
  <c r="P99" i="31" s="1"/>
  <c r="AQ105" i="31"/>
  <c r="G97" i="32"/>
  <c r="U99" i="32"/>
  <c r="J100" i="32"/>
  <c r="Z100" i="32"/>
  <c r="Q104" i="32"/>
  <c r="B106" i="32"/>
  <c r="M106" i="32"/>
  <c r="P107" i="32"/>
  <c r="P108" i="32"/>
  <c r="F112" i="32"/>
  <c r="P112" i="32"/>
  <c r="H117" i="32"/>
  <c r="I117" i="32" s="1"/>
  <c r="H119" i="32"/>
  <c r="F121" i="32"/>
  <c r="P121" i="32"/>
  <c r="Z123" i="32"/>
  <c r="Q100" i="32"/>
  <c r="M112" i="32"/>
  <c r="U112" i="32"/>
  <c r="M121" i="32"/>
  <c r="Y99" i="31"/>
  <c r="AB99" i="31" s="1"/>
  <c r="AU101" i="31"/>
  <c r="AD118" i="31"/>
  <c r="AD119" i="31"/>
  <c r="M122" i="31"/>
  <c r="P122" i="31" s="1"/>
  <c r="Q123" i="31"/>
  <c r="T123" i="31" s="1"/>
  <c r="K124" i="31"/>
  <c r="AS125" i="31"/>
  <c r="AV125" i="31" s="1"/>
  <c r="M96" i="32"/>
  <c r="Q97" i="32"/>
  <c r="B100" i="32"/>
  <c r="M100" i="32"/>
  <c r="M102" i="32"/>
  <c r="U104" i="32"/>
  <c r="Q106" i="32"/>
  <c r="D107" i="32"/>
  <c r="AC107" i="32" s="1"/>
  <c r="B108" i="32"/>
  <c r="Z108" i="32"/>
  <c r="B112" i="32"/>
  <c r="H112" i="32"/>
  <c r="I112" i="32" s="1"/>
  <c r="P119" i="32"/>
  <c r="B121" i="32"/>
  <c r="H121" i="32"/>
  <c r="G122" i="32"/>
  <c r="F123" i="32"/>
  <c r="P123" i="32"/>
  <c r="N125" i="32"/>
  <c r="N127" i="32"/>
  <c r="D128" i="32"/>
  <c r="BC47" i="31"/>
  <c r="D38" i="32"/>
  <c r="B45" i="31"/>
  <c r="F57" i="31"/>
  <c r="B65" i="31"/>
  <c r="BC75" i="31"/>
  <c r="B77" i="31"/>
  <c r="D46" i="32"/>
  <c r="AC46" i="32" s="1"/>
  <c r="D67" i="32"/>
  <c r="D61" i="32"/>
  <c r="B71" i="32"/>
  <c r="B57" i="31"/>
  <c r="BC65" i="31"/>
  <c r="B87" i="31"/>
  <c r="Q110" i="32"/>
  <c r="J115" i="32"/>
  <c r="F98" i="32"/>
  <c r="N102" i="32"/>
  <c r="T103" i="32"/>
  <c r="Q108" i="32"/>
  <c r="D110" i="32"/>
  <c r="M110" i="32"/>
  <c r="D115" i="32"/>
  <c r="AC115" i="32" s="1"/>
  <c r="M115" i="32"/>
  <c r="T115" i="32"/>
  <c r="D116" i="32"/>
  <c r="J117" i="32"/>
  <c r="Q117" i="32"/>
  <c r="J119" i="32"/>
  <c r="Q119" i="32"/>
  <c r="G126" i="32"/>
  <c r="D129" i="32"/>
  <c r="AC129" i="32" s="1"/>
  <c r="M129" i="32"/>
  <c r="T129" i="32"/>
  <c r="AC110" i="32"/>
  <c r="Q129" i="32"/>
  <c r="D69" i="32"/>
  <c r="AC69" i="32" s="1"/>
  <c r="J108" i="32"/>
  <c r="D34" i="32"/>
  <c r="AC34" i="32" s="1"/>
  <c r="D42" i="32"/>
  <c r="AC42" i="32" s="1"/>
  <c r="D59" i="32"/>
  <c r="AC59" i="32" s="1"/>
  <c r="G96" i="32"/>
  <c r="T97" i="32"/>
  <c r="K98" i="32"/>
  <c r="K99" i="32"/>
  <c r="N100" i="32"/>
  <c r="F102" i="32"/>
  <c r="Q102" i="32"/>
  <c r="D103" i="32"/>
  <c r="AC103" i="32" s="1"/>
  <c r="B104" i="32"/>
  <c r="M104" i="32"/>
  <c r="Z104" i="32"/>
  <c r="B107" i="32"/>
  <c r="G107" i="32"/>
  <c r="T107" i="32"/>
  <c r="D108" i="32"/>
  <c r="AC108" i="32" s="1"/>
  <c r="M108" i="32"/>
  <c r="K109" i="32"/>
  <c r="F110" i="32"/>
  <c r="N110" i="32"/>
  <c r="U110" i="32"/>
  <c r="AC112" i="32"/>
  <c r="J112" i="32"/>
  <c r="Q112" i="32"/>
  <c r="F115" i="32"/>
  <c r="N115" i="32"/>
  <c r="U115" i="32"/>
  <c r="J116" i="32"/>
  <c r="D117" i="32"/>
  <c r="AC117" i="32" s="1"/>
  <c r="M117" i="32"/>
  <c r="T117" i="32"/>
  <c r="D119" i="32"/>
  <c r="M119" i="32"/>
  <c r="T119" i="32"/>
  <c r="D120" i="32"/>
  <c r="AC120" i="32" s="1"/>
  <c r="AC121" i="32"/>
  <c r="J121" i="32"/>
  <c r="Q121" i="32"/>
  <c r="J123" i="32"/>
  <c r="AC124" i="32"/>
  <c r="B125" i="32"/>
  <c r="H125" i="32"/>
  <c r="I125" i="32" s="1"/>
  <c r="P125" i="32"/>
  <c r="B127" i="32"/>
  <c r="H127" i="32"/>
  <c r="I127" i="32" s="1"/>
  <c r="P127" i="32"/>
  <c r="Z127" i="32"/>
  <c r="F129" i="32"/>
  <c r="N129" i="32"/>
  <c r="U129" i="32"/>
  <c r="Z98" i="32"/>
  <c r="J110" i="32"/>
  <c r="Q115" i="32"/>
  <c r="J129" i="32"/>
  <c r="D40" i="32"/>
  <c r="AC40" i="32" s="1"/>
  <c r="U96" i="32"/>
  <c r="D36" i="32"/>
  <c r="AC36" i="32" s="1"/>
  <c r="AC38" i="32"/>
  <c r="B40" i="32"/>
  <c r="D44" i="32"/>
  <c r="AC44" i="32" s="1"/>
  <c r="AC67" i="32"/>
  <c r="B69" i="32"/>
  <c r="AC72" i="32"/>
  <c r="J96" i="32"/>
  <c r="J102" i="32"/>
  <c r="U102" i="32"/>
  <c r="H103" i="32"/>
  <c r="N104" i="32"/>
  <c r="J107" i="32"/>
  <c r="F108" i="32"/>
  <c r="N108" i="32"/>
  <c r="U108" i="32"/>
  <c r="B110" i="32"/>
  <c r="H110" i="32"/>
  <c r="P110" i="32"/>
  <c r="Z110" i="32"/>
  <c r="B115" i="32"/>
  <c r="H115" i="32"/>
  <c r="P115" i="32"/>
  <c r="F117" i="32"/>
  <c r="N117" i="32"/>
  <c r="U117" i="32"/>
  <c r="F119" i="32"/>
  <c r="N119" i="32"/>
  <c r="J120" i="32"/>
  <c r="AC125" i="32"/>
  <c r="J125" i="32"/>
  <c r="Q125" i="32"/>
  <c r="J127" i="32"/>
  <c r="AC128" i="32"/>
  <c r="B129" i="32"/>
  <c r="H129" i="32"/>
  <c r="I129" i="32" s="1"/>
  <c r="P129" i="32"/>
  <c r="Z129" i="32"/>
  <c r="B35" i="31"/>
  <c r="F55" i="31"/>
  <c r="F61" i="31"/>
  <c r="BC92" i="31"/>
  <c r="K99" i="31"/>
  <c r="AA99" i="31"/>
  <c r="AW99" i="31"/>
  <c r="B104" i="31"/>
  <c r="BC104" i="31"/>
  <c r="W105" i="31"/>
  <c r="AH115" i="31"/>
  <c r="R119" i="31"/>
  <c r="AP119" i="31"/>
  <c r="AA121" i="31"/>
  <c r="AE123" i="31"/>
  <c r="O127" i="31"/>
  <c r="BC55" i="31"/>
  <c r="BC61" i="31"/>
  <c r="S119" i="31"/>
  <c r="AS119" i="31"/>
  <c r="AV119" i="31" s="1"/>
  <c r="AI121" i="31"/>
  <c r="AL123" i="31"/>
  <c r="S127" i="31"/>
  <c r="BC66" i="31"/>
  <c r="F75" i="31"/>
  <c r="B88" i="31"/>
  <c r="S99" i="31"/>
  <c r="S104" i="31"/>
  <c r="N111" i="31"/>
  <c r="D115" i="31"/>
  <c r="F119" i="31"/>
  <c r="AC119" i="31"/>
  <c r="AF119" i="31" s="1"/>
  <c r="F121" i="31"/>
  <c r="AW121" i="31"/>
  <c r="R122" i="31"/>
  <c r="J123" i="31"/>
  <c r="W124" i="31"/>
  <c r="Q125" i="31"/>
  <c r="T125" i="31" s="1"/>
  <c r="BC127" i="31"/>
  <c r="BD39" i="31"/>
  <c r="BC39" i="31"/>
  <c r="F39" i="31"/>
  <c r="F49" i="31"/>
  <c r="BC49" i="31"/>
  <c r="BC36" i="31"/>
  <c r="F36" i="31"/>
  <c r="B82" i="31"/>
  <c r="BC82" i="31"/>
  <c r="BD99" i="31"/>
  <c r="BC99" i="31"/>
  <c r="AS99" i="31"/>
  <c r="AV99" i="31" s="1"/>
  <c r="AL99" i="31"/>
  <c r="AD99" i="31"/>
  <c r="W99" i="31"/>
  <c r="Q99" i="31"/>
  <c r="T99" i="31" s="1"/>
  <c r="I99" i="31"/>
  <c r="L99" i="31" s="1"/>
  <c r="B99" i="31"/>
  <c r="AX99" i="31"/>
  <c r="E99" i="32" s="1"/>
  <c r="AQ99" i="31"/>
  <c r="AI99" i="31"/>
  <c r="AC99" i="31"/>
  <c r="AF99" i="31" s="1"/>
  <c r="V99" i="31"/>
  <c r="N99" i="31"/>
  <c r="F99" i="31"/>
  <c r="R99" i="31"/>
  <c r="AG99" i="31"/>
  <c r="AJ99" i="31" s="1"/>
  <c r="AT99" i="31"/>
  <c r="M103" i="31"/>
  <c r="P103" i="31" s="1"/>
  <c r="AH103" i="31"/>
  <c r="M115" i="31"/>
  <c r="P115" i="31" s="1"/>
  <c r="AA115" i="31"/>
  <c r="AX116" i="31"/>
  <c r="E116" i="32" s="1"/>
  <c r="G116" i="31"/>
  <c r="O117" i="31"/>
  <c r="AU117" i="31"/>
  <c r="Q126" i="31"/>
  <c r="T126" i="31" s="1"/>
  <c r="AW126" i="31"/>
  <c r="B49" i="31"/>
  <c r="BD69" i="31"/>
  <c r="BC69" i="31"/>
  <c r="F69" i="31"/>
  <c r="B79" i="31"/>
  <c r="BC79" i="31"/>
  <c r="F79" i="31"/>
  <c r="BD81" i="31"/>
  <c r="B81" i="31"/>
  <c r="BC81" i="31"/>
  <c r="B94" i="31"/>
  <c r="AX101" i="31"/>
  <c r="E101" i="32" s="1"/>
  <c r="AM101" i="31"/>
  <c r="O101" i="31"/>
  <c r="B101" i="31"/>
  <c r="AE101" i="31"/>
  <c r="K101" i="31"/>
  <c r="AQ101" i="31"/>
  <c r="V103" i="31"/>
  <c r="AX111" i="31"/>
  <c r="E111" i="32" s="1"/>
  <c r="AK111" i="31"/>
  <c r="AN111" i="31" s="1"/>
  <c r="W111" i="31"/>
  <c r="I111" i="31"/>
  <c r="L111" i="31" s="1"/>
  <c r="AI111" i="31"/>
  <c r="U111" i="31"/>
  <c r="X111" i="31" s="1"/>
  <c r="F111" i="31"/>
  <c r="AD111" i="31"/>
  <c r="BD115" i="31"/>
  <c r="BC115" i="31"/>
  <c r="AS115" i="31"/>
  <c r="AV115" i="31" s="1"/>
  <c r="AL115" i="31"/>
  <c r="AD115" i="31"/>
  <c r="W115" i="31"/>
  <c r="Q115" i="31"/>
  <c r="T115" i="31" s="1"/>
  <c r="I115" i="31"/>
  <c r="L115" i="31" s="1"/>
  <c r="B115" i="31"/>
  <c r="AX115" i="31"/>
  <c r="E115" i="32" s="1"/>
  <c r="AQ115" i="31"/>
  <c r="AI115" i="31"/>
  <c r="AC115" i="31"/>
  <c r="AF115" i="31" s="1"/>
  <c r="V115" i="31"/>
  <c r="N115" i="31"/>
  <c r="F115" i="31"/>
  <c r="R115" i="31"/>
  <c r="AG115" i="31"/>
  <c r="AJ115" i="31" s="1"/>
  <c r="AT115" i="31"/>
  <c r="BD103" i="31"/>
  <c r="AX103" i="31"/>
  <c r="E103" i="32" s="1"/>
  <c r="AM103" i="31"/>
  <c r="AC103" i="31"/>
  <c r="AF103" i="31" s="1"/>
  <c r="R103" i="31"/>
  <c r="F103" i="31"/>
  <c r="AW103" i="31"/>
  <c r="AL103" i="31"/>
  <c r="AA103" i="31"/>
  <c r="Q103" i="31"/>
  <c r="T103" i="31" s="1"/>
  <c r="D103" i="31"/>
  <c r="W103" i="31"/>
  <c r="AS103" i="31"/>
  <c r="AV103" i="31" s="1"/>
  <c r="AW115" i="31"/>
  <c r="AX117" i="31"/>
  <c r="E117" i="32" s="1"/>
  <c r="AS117" i="31"/>
  <c r="AV117" i="31" s="1"/>
  <c r="AC117" i="31"/>
  <c r="AF117" i="31" s="1"/>
  <c r="M117" i="31"/>
  <c r="P117" i="31" s="1"/>
  <c r="AM117" i="31"/>
  <c r="W117" i="31"/>
  <c r="F117" i="31"/>
  <c r="AE117" i="31"/>
  <c r="BD126" i="31"/>
  <c r="AT126" i="31"/>
  <c r="AD126" i="31"/>
  <c r="N126" i="31"/>
  <c r="AO126" i="31"/>
  <c r="AR126" i="31" s="1"/>
  <c r="Y126" i="31"/>
  <c r="AB126" i="31" s="1"/>
  <c r="I126" i="31"/>
  <c r="L126" i="31" s="1"/>
  <c r="AG126" i="31"/>
  <c r="AJ126" i="31" s="1"/>
  <c r="BD43" i="31"/>
  <c r="B43" i="31"/>
  <c r="B36" i="31"/>
  <c r="BC43" i="31"/>
  <c r="B70" i="31"/>
  <c r="BC70" i="31"/>
  <c r="F70" i="31"/>
  <c r="BC74" i="31"/>
  <c r="B74" i="31"/>
  <c r="BC78" i="31"/>
  <c r="F78" i="31"/>
  <c r="BD85" i="31"/>
  <c r="BC85" i="31"/>
  <c r="W101" i="31"/>
  <c r="K103" i="31"/>
  <c r="AG103" i="31"/>
  <c r="AJ103" i="31" s="1"/>
  <c r="O111" i="31"/>
  <c r="AT111" i="31"/>
  <c r="K115" i="31"/>
  <c r="Y115" i="31"/>
  <c r="AB115" i="31" s="1"/>
  <c r="AM115" i="31"/>
  <c r="D117" i="31"/>
  <c r="AK117" i="31"/>
  <c r="AN117" i="31" s="1"/>
  <c r="AH120" i="31"/>
  <c r="R120" i="31"/>
  <c r="F120" i="31"/>
  <c r="D126" i="31"/>
  <c r="AL126" i="31"/>
  <c r="B51" i="31"/>
  <c r="AI104" i="31"/>
  <c r="AA105" i="31"/>
  <c r="B119" i="31"/>
  <c r="M119" i="31"/>
  <c r="P119" i="31" s="1"/>
  <c r="W119" i="31"/>
  <c r="AI119" i="31"/>
  <c r="AX119" i="31"/>
  <c r="E119" i="32" s="1"/>
  <c r="Q121" i="31"/>
  <c r="T121" i="31" s="1"/>
  <c r="AK121" i="31"/>
  <c r="AN121" i="31" s="1"/>
  <c r="AH122" i="31"/>
  <c r="U123" i="31"/>
  <c r="X123" i="31" s="1"/>
  <c r="AP123" i="31"/>
  <c r="AA124" i="31"/>
  <c r="AW125" i="31"/>
  <c r="B127" i="31"/>
  <c r="AE127" i="31"/>
  <c r="F47" i="31"/>
  <c r="F65" i="31"/>
  <c r="F67" i="31"/>
  <c r="F92" i="31"/>
  <c r="K104" i="31"/>
  <c r="AQ104" i="31"/>
  <c r="F105" i="31"/>
  <c r="AM105" i="31"/>
  <c r="N119" i="31"/>
  <c r="Y119" i="31"/>
  <c r="AB119" i="31" s="1"/>
  <c r="AK119" i="31"/>
  <c r="AN119" i="31" s="1"/>
  <c r="BC119" i="31"/>
  <c r="D121" i="31"/>
  <c r="W121" i="31"/>
  <c r="AS121" i="31"/>
  <c r="AV121" i="31" s="1"/>
  <c r="D122" i="31"/>
  <c r="D123" i="31"/>
  <c r="AA123" i="31"/>
  <c r="AW123" i="31"/>
  <c r="G124" i="31"/>
  <c r="AM124" i="31"/>
  <c r="M125" i="31"/>
  <c r="P125" i="31" s="1"/>
  <c r="N96" i="31"/>
  <c r="AT96" i="31"/>
  <c r="N100" i="31"/>
  <c r="AL100" i="31"/>
  <c r="BD107" i="31"/>
  <c r="BC107" i="31"/>
  <c r="AT107" i="31"/>
  <c r="AO107" i="31"/>
  <c r="AR107" i="31" s="1"/>
  <c r="AI107" i="31"/>
  <c r="AD107" i="31"/>
  <c r="Y107" i="31"/>
  <c r="AB107" i="31" s="1"/>
  <c r="S107" i="31"/>
  <c r="N107" i="31"/>
  <c r="I107" i="31"/>
  <c r="L107" i="31" s="1"/>
  <c r="R107" i="31"/>
  <c r="AM107" i="31"/>
  <c r="BC113" i="31"/>
  <c r="W113" i="31"/>
  <c r="Q113" i="31"/>
  <c r="T113" i="31" s="1"/>
  <c r="BD129" i="31"/>
  <c r="AW129" i="31"/>
  <c r="AO129" i="31"/>
  <c r="AR129" i="31" s="1"/>
  <c r="AG129" i="31"/>
  <c r="AJ129" i="31" s="1"/>
  <c r="Y129" i="31"/>
  <c r="AB129" i="31" s="1"/>
  <c r="Q129" i="31"/>
  <c r="T129" i="31" s="1"/>
  <c r="I129" i="31"/>
  <c r="L129" i="31" s="1"/>
  <c r="AT129" i="31"/>
  <c r="AL129" i="31"/>
  <c r="AD129" i="31"/>
  <c r="V129" i="31"/>
  <c r="N129" i="31"/>
  <c r="D129" i="31"/>
  <c r="U129" i="31"/>
  <c r="X129" i="31" s="1"/>
  <c r="AK129" i="31"/>
  <c r="AN129" i="31" s="1"/>
  <c r="F32" i="31"/>
  <c r="F63" i="31"/>
  <c r="F83" i="31"/>
  <c r="F86" i="31"/>
  <c r="F90" i="31"/>
  <c r="F93" i="31"/>
  <c r="F96" i="31"/>
  <c r="O96" i="31"/>
  <c r="W96" i="31"/>
  <c r="AE96" i="31"/>
  <c r="AM96" i="31"/>
  <c r="AU96" i="31"/>
  <c r="G98" i="31"/>
  <c r="AG98" i="31"/>
  <c r="AJ98" i="31" s="1"/>
  <c r="F100" i="31"/>
  <c r="O100" i="31"/>
  <c r="W100" i="31"/>
  <c r="AE100" i="31"/>
  <c r="AM100" i="31"/>
  <c r="AU100" i="31"/>
  <c r="N104" i="31"/>
  <c r="V104" i="31"/>
  <c r="AD104" i="31"/>
  <c r="AL104" i="31"/>
  <c r="AT104" i="31"/>
  <c r="D107" i="31"/>
  <c r="M107" i="31"/>
  <c r="P107" i="31" s="1"/>
  <c r="U107" i="31"/>
  <c r="X107" i="31" s="1"/>
  <c r="AA107" i="31"/>
  <c r="AH107" i="31"/>
  <c r="AP107" i="31"/>
  <c r="AW107" i="31"/>
  <c r="AW108" i="31"/>
  <c r="AX108" i="31"/>
  <c r="E108" i="32" s="1"/>
  <c r="AH108" i="31"/>
  <c r="R108" i="31"/>
  <c r="F108" i="31"/>
  <c r="V108" i="31"/>
  <c r="AP108" i="31"/>
  <c r="AQ109" i="31"/>
  <c r="W109" i="31"/>
  <c r="F109" i="31"/>
  <c r="AA109" i="31"/>
  <c r="AQ112" i="31"/>
  <c r="AH112" i="31"/>
  <c r="V112" i="31"/>
  <c r="K112" i="31"/>
  <c r="B112" i="31"/>
  <c r="BC112" i="31"/>
  <c r="AM112" i="31"/>
  <c r="AD112" i="31"/>
  <c r="S112" i="31"/>
  <c r="G112" i="31"/>
  <c r="W112" i="31"/>
  <c r="AT112" i="31"/>
  <c r="F113" i="31"/>
  <c r="J129" i="31"/>
  <c r="Z129" i="31"/>
  <c r="AP129" i="31"/>
  <c r="V96" i="31"/>
  <c r="AD96" i="31"/>
  <c r="AL96" i="31"/>
  <c r="Y98" i="31"/>
  <c r="AB98" i="31" s="1"/>
  <c r="V100" i="31"/>
  <c r="AD100" i="31"/>
  <c r="AT100" i="31"/>
  <c r="K107" i="31"/>
  <c r="AG107" i="31"/>
  <c r="AJ107" i="31" s="1"/>
  <c r="AU107" i="31"/>
  <c r="F59" i="31"/>
  <c r="F62" i="31"/>
  <c r="F73" i="31"/>
  <c r="BC32" i="31"/>
  <c r="F35" i="31"/>
  <c r="B39" i="31"/>
  <c r="F45" i="31"/>
  <c r="B47" i="31"/>
  <c r="F51" i="31"/>
  <c r="BC53" i="31"/>
  <c r="B55" i="31"/>
  <c r="BC59" i="31"/>
  <c r="B61" i="31"/>
  <c r="BC62" i="31"/>
  <c r="BC73" i="31"/>
  <c r="F74" i="31"/>
  <c r="F77" i="31"/>
  <c r="BC83" i="31"/>
  <c r="B85" i="31"/>
  <c r="BC86" i="31"/>
  <c r="F88" i="31"/>
  <c r="BC90" i="31"/>
  <c r="B92" i="31"/>
  <c r="BC93" i="31"/>
  <c r="F94" i="31"/>
  <c r="J96" i="31"/>
  <c r="R96" i="31"/>
  <c r="Z96" i="31"/>
  <c r="AH96" i="31"/>
  <c r="AP96" i="31"/>
  <c r="AX96" i="31"/>
  <c r="E96" i="32" s="1"/>
  <c r="I98" i="31"/>
  <c r="L98" i="31" s="1"/>
  <c r="AO98" i="31"/>
  <c r="AR98" i="31" s="1"/>
  <c r="J99" i="31"/>
  <c r="O99" i="31"/>
  <c r="U99" i="31"/>
  <c r="X99" i="31" s="1"/>
  <c r="Z99" i="31"/>
  <c r="AE99" i="31"/>
  <c r="AK99" i="31"/>
  <c r="AN99" i="31" s="1"/>
  <c r="AP99" i="31"/>
  <c r="AU99" i="31"/>
  <c r="J100" i="31"/>
  <c r="R100" i="31"/>
  <c r="Z100" i="31"/>
  <c r="AH100" i="31"/>
  <c r="AP100" i="31"/>
  <c r="AX100" i="31"/>
  <c r="E100" i="32" s="1"/>
  <c r="S101" i="31"/>
  <c r="AI101" i="31"/>
  <c r="BC101" i="31"/>
  <c r="B103" i="31"/>
  <c r="I103" i="31"/>
  <c r="L103" i="31" s="1"/>
  <c r="N103" i="31"/>
  <c r="S103" i="31"/>
  <c r="Y103" i="31"/>
  <c r="AB103" i="31" s="1"/>
  <c r="AD103" i="31"/>
  <c r="AI103" i="31"/>
  <c r="AO103" i="31"/>
  <c r="AR103" i="31" s="1"/>
  <c r="AT103" i="31"/>
  <c r="BC103" i="31"/>
  <c r="F104" i="31"/>
  <c r="O104" i="31"/>
  <c r="W104" i="31"/>
  <c r="AE104" i="31"/>
  <c r="AM104" i="31"/>
  <c r="AU104" i="31"/>
  <c r="B105" i="31"/>
  <c r="O105" i="31"/>
  <c r="AE105" i="31"/>
  <c r="AU105" i="31"/>
  <c r="F107" i="31"/>
  <c r="O107" i="31"/>
  <c r="V107" i="31"/>
  <c r="AC107" i="31"/>
  <c r="AF107" i="31" s="1"/>
  <c r="AK107" i="31"/>
  <c r="AN107" i="31" s="1"/>
  <c r="AQ107" i="31"/>
  <c r="AX107" i="31"/>
  <c r="E107" i="32" s="1"/>
  <c r="J108" i="31"/>
  <c r="Z108" i="31"/>
  <c r="AT108" i="31"/>
  <c r="K109" i="31"/>
  <c r="AK109" i="31"/>
  <c r="AN109" i="31" s="1"/>
  <c r="B111" i="31"/>
  <c r="J111" i="31"/>
  <c r="R111" i="31"/>
  <c r="Y111" i="31"/>
  <c r="AB111" i="31" s="1"/>
  <c r="AE111" i="31"/>
  <c r="AM111" i="31"/>
  <c r="F112" i="31"/>
  <c r="AA112" i="31"/>
  <c r="AX112" i="31"/>
  <c r="E112" i="32" s="1"/>
  <c r="AG113" i="31"/>
  <c r="AJ113" i="31" s="1"/>
  <c r="AX118" i="31"/>
  <c r="E118" i="32" s="1"/>
  <c r="AT118" i="31"/>
  <c r="N118" i="31"/>
  <c r="AL118" i="31"/>
  <c r="G118" i="31"/>
  <c r="AP122" i="31"/>
  <c r="Z122" i="31"/>
  <c r="J122" i="31"/>
  <c r="AK122" i="31"/>
  <c r="AN122" i="31" s="1"/>
  <c r="U122" i="31"/>
  <c r="X122" i="31" s="1"/>
  <c r="G122" i="31"/>
  <c r="AC122" i="31"/>
  <c r="AF122" i="31" s="1"/>
  <c r="K123" i="31"/>
  <c r="V123" i="31"/>
  <c r="AG123" i="31"/>
  <c r="AJ123" i="31" s="1"/>
  <c r="AX127" i="31"/>
  <c r="E127" i="32" s="1"/>
  <c r="AQ127" i="31"/>
  <c r="AA127" i="31"/>
  <c r="K127" i="31"/>
  <c r="AM127" i="31"/>
  <c r="W127" i="31"/>
  <c r="F127" i="31"/>
  <c r="AI127" i="31"/>
  <c r="M129" i="31"/>
  <c r="P129" i="31" s="1"/>
  <c r="AC129" i="31"/>
  <c r="AF129" i="31" s="1"/>
  <c r="AS129" i="31"/>
  <c r="AV129" i="31" s="1"/>
  <c r="F53" i="31"/>
  <c r="BC35" i="31"/>
  <c r="F43" i="31"/>
  <c r="BC51" i="31"/>
  <c r="B73" i="31"/>
  <c r="BC77" i="31"/>
  <c r="BC88" i="31"/>
  <c r="B96" i="31"/>
  <c r="K96" i="31"/>
  <c r="S96" i="31"/>
  <c r="AA96" i="31"/>
  <c r="AI96" i="31"/>
  <c r="AQ96" i="31"/>
  <c r="BC96" i="31"/>
  <c r="Q98" i="31"/>
  <c r="T98" i="31" s="1"/>
  <c r="B100" i="31"/>
  <c r="K100" i="31"/>
  <c r="S100" i="31"/>
  <c r="AA100" i="31"/>
  <c r="AI100" i="31"/>
  <c r="AQ100" i="31"/>
  <c r="BC100" i="31"/>
  <c r="J103" i="31"/>
  <c r="O103" i="31"/>
  <c r="U103" i="31"/>
  <c r="X103" i="31" s="1"/>
  <c r="Z103" i="31"/>
  <c r="AE103" i="31"/>
  <c r="AK103" i="31"/>
  <c r="AN103" i="31" s="1"/>
  <c r="AP103" i="31"/>
  <c r="AU103" i="31"/>
  <c r="J104" i="31"/>
  <c r="R104" i="31"/>
  <c r="Z104" i="31"/>
  <c r="AH104" i="31"/>
  <c r="AP104" i="31"/>
  <c r="AX104" i="31"/>
  <c r="E104" i="32" s="1"/>
  <c r="S105" i="31"/>
  <c r="AI105" i="31"/>
  <c r="BC105" i="31"/>
  <c r="B107" i="31"/>
  <c r="J107" i="31"/>
  <c r="Q107" i="31"/>
  <c r="T107" i="31" s="1"/>
  <c r="W107" i="31"/>
  <c r="AE107" i="31"/>
  <c r="AL107" i="31"/>
  <c r="AS107" i="31"/>
  <c r="AV107" i="31" s="1"/>
  <c r="K108" i="31"/>
  <c r="AD108" i="31"/>
  <c r="O109" i="31"/>
  <c r="BD111" i="31"/>
  <c r="AW111" i="31"/>
  <c r="AQ111" i="31"/>
  <c r="AL111" i="31"/>
  <c r="AG111" i="31"/>
  <c r="AJ111" i="31" s="1"/>
  <c r="AA111" i="31"/>
  <c r="V111" i="31"/>
  <c r="Q111" i="31"/>
  <c r="T111" i="31" s="1"/>
  <c r="K111" i="31"/>
  <c r="D111" i="31"/>
  <c r="AU111" i="31"/>
  <c r="AP111" i="31"/>
  <c r="M111" i="31"/>
  <c r="P111" i="31" s="1"/>
  <c r="S111" i="31"/>
  <c r="Z111" i="31"/>
  <c r="AH111" i="31"/>
  <c r="AO111" i="31"/>
  <c r="AR111" i="31" s="1"/>
  <c r="BC111" i="31"/>
  <c r="N112" i="31"/>
  <c r="AI112" i="31"/>
  <c r="AM113" i="31"/>
  <c r="BD123" i="31"/>
  <c r="BC123" i="31"/>
  <c r="AT123" i="31"/>
  <c r="AO123" i="31"/>
  <c r="AR123" i="31" s="1"/>
  <c r="AI123" i="31"/>
  <c r="AD123" i="31"/>
  <c r="Y123" i="31"/>
  <c r="AB123" i="31" s="1"/>
  <c r="S123" i="31"/>
  <c r="N123" i="31"/>
  <c r="I123" i="31"/>
  <c r="L123" i="31" s="1"/>
  <c r="B123" i="31"/>
  <c r="AX123" i="31"/>
  <c r="E123" i="32" s="1"/>
  <c r="AS123" i="31"/>
  <c r="AV123" i="31" s="1"/>
  <c r="AM123" i="31"/>
  <c r="AH123" i="31"/>
  <c r="AC123" i="31"/>
  <c r="AF123" i="31" s="1"/>
  <c r="W123" i="31"/>
  <c r="R123" i="31"/>
  <c r="M123" i="31"/>
  <c r="P123" i="31" s="1"/>
  <c r="F123" i="31"/>
  <c r="O123" i="31"/>
  <c r="Z123" i="31"/>
  <c r="AK123" i="31"/>
  <c r="AN123" i="31" s="1"/>
  <c r="AU123" i="31"/>
  <c r="AO125" i="31"/>
  <c r="AR125" i="31" s="1"/>
  <c r="Y125" i="31"/>
  <c r="AB125" i="31" s="1"/>
  <c r="I125" i="31"/>
  <c r="L125" i="31" s="1"/>
  <c r="AK125" i="31"/>
  <c r="AN125" i="31" s="1"/>
  <c r="U125" i="31"/>
  <c r="X125" i="31" s="1"/>
  <c r="D125" i="31"/>
  <c r="AG125" i="31"/>
  <c r="AJ125" i="31" s="1"/>
  <c r="R129" i="31"/>
  <c r="AH129" i="31"/>
  <c r="AX129" i="31"/>
  <c r="E129" i="32" s="1"/>
  <c r="J115" i="31"/>
  <c r="O115" i="31"/>
  <c r="U115" i="31"/>
  <c r="X115" i="31" s="1"/>
  <c r="Z115" i="31"/>
  <c r="AE115" i="31"/>
  <c r="AK115" i="31"/>
  <c r="AN115" i="31" s="1"/>
  <c r="AP115" i="31"/>
  <c r="AU115" i="31"/>
  <c r="B117" i="31"/>
  <c r="I117" i="31"/>
  <c r="L117" i="31" s="1"/>
  <c r="Q117" i="31"/>
  <c r="T117" i="31" s="1"/>
  <c r="Y117" i="31"/>
  <c r="AB117" i="31" s="1"/>
  <c r="AG117" i="31"/>
  <c r="AJ117" i="31" s="1"/>
  <c r="AO117" i="31"/>
  <c r="AR117" i="31" s="1"/>
  <c r="AW117" i="31"/>
  <c r="J119" i="31"/>
  <c r="O119" i="31"/>
  <c r="U119" i="31"/>
  <c r="X119" i="31" s="1"/>
  <c r="Z119" i="31"/>
  <c r="AE119" i="31"/>
  <c r="AM119" i="31"/>
  <c r="AT119" i="31"/>
  <c r="W120" i="31"/>
  <c r="B121" i="31"/>
  <c r="G121" i="31"/>
  <c r="S121" i="31"/>
  <c r="AC121" i="31"/>
  <c r="AF121" i="31" s="1"/>
  <c r="AM121" i="31"/>
  <c r="BC121" i="31"/>
  <c r="O124" i="31"/>
  <c r="AE124" i="31"/>
  <c r="AU124" i="31"/>
  <c r="J126" i="31"/>
  <c r="R126" i="31"/>
  <c r="Z126" i="31"/>
  <c r="AH126" i="31"/>
  <c r="AP126" i="31"/>
  <c r="AX126" i="31"/>
  <c r="E126" i="32" s="1"/>
  <c r="K117" i="31"/>
  <c r="S117" i="31"/>
  <c r="AA117" i="31"/>
  <c r="AI117" i="31"/>
  <c r="AQ117" i="31"/>
  <c r="BC117" i="31"/>
  <c r="D119" i="31"/>
  <c r="K119" i="31"/>
  <c r="Q119" i="31"/>
  <c r="T119" i="31" s="1"/>
  <c r="V119" i="31"/>
  <c r="AA119" i="31"/>
  <c r="AH119" i="31"/>
  <c r="AO119" i="31"/>
  <c r="AR119" i="31" s="1"/>
  <c r="AU119" i="31"/>
  <c r="K121" i="31"/>
  <c r="U121" i="31"/>
  <c r="X121" i="31" s="1"/>
  <c r="AG121" i="31"/>
  <c r="AJ121" i="31" s="1"/>
  <c r="F124" i="31"/>
  <c r="S124" i="31"/>
  <c r="AI124" i="31"/>
  <c r="M126" i="31"/>
  <c r="P126" i="31" s="1"/>
  <c r="U126" i="31"/>
  <c r="X126" i="31" s="1"/>
  <c r="AC126" i="31"/>
  <c r="AF126" i="31" s="1"/>
  <c r="AK126" i="31"/>
  <c r="AN126" i="31" s="1"/>
  <c r="AS126" i="31"/>
  <c r="AV126" i="31" s="1"/>
  <c r="U68" i="30"/>
  <c r="V6" i="30" s="1"/>
  <c r="D34" i="31" s="1"/>
  <c r="I123" i="32"/>
  <c r="F31" i="31"/>
  <c r="BC31" i="31"/>
  <c r="I121" i="32"/>
  <c r="B31" i="31"/>
  <c r="B33" i="31"/>
  <c r="F33" i="31"/>
  <c r="BC33" i="31"/>
  <c r="BD34" i="31"/>
  <c r="B37" i="31"/>
  <c r="F37" i="31"/>
  <c r="BC37" i="31"/>
  <c r="BD38" i="31"/>
  <c r="B40" i="31"/>
  <c r="BD41" i="31"/>
  <c r="BD44" i="31"/>
  <c r="BC50" i="31"/>
  <c r="F50" i="31"/>
  <c r="B50" i="31"/>
  <c r="BD50" i="31"/>
  <c r="BD33" i="31"/>
  <c r="BD37" i="31"/>
  <c r="BD40" i="31"/>
  <c r="BC46" i="31"/>
  <c r="F46" i="31"/>
  <c r="B46" i="31"/>
  <c r="BD32" i="31"/>
  <c r="BD36" i="31"/>
  <c r="F41" i="31"/>
  <c r="BC42" i="31"/>
  <c r="F42" i="31"/>
  <c r="B42" i="31"/>
  <c r="BD42" i="31"/>
  <c r="F44" i="31"/>
  <c r="BD46" i="31"/>
  <c r="B34" i="31"/>
  <c r="F34" i="31"/>
  <c r="B38" i="31"/>
  <c r="F38" i="31"/>
  <c r="F40" i="31"/>
  <c r="B41" i="31"/>
  <c r="BC41" i="31"/>
  <c r="B44" i="31"/>
  <c r="BC44" i="31"/>
  <c r="BD45" i="31"/>
  <c r="BC48" i="31"/>
  <c r="F48" i="31"/>
  <c r="B48" i="31"/>
  <c r="BD48" i="31"/>
  <c r="BD54" i="31"/>
  <c r="BD58" i="31"/>
  <c r="BC64" i="31"/>
  <c r="F64" i="31"/>
  <c r="B64" i="31"/>
  <c r="BD64" i="31"/>
  <c r="BD71" i="31"/>
  <c r="BC80" i="31"/>
  <c r="F80" i="31"/>
  <c r="B80" i="31"/>
  <c r="BD80" i="31"/>
  <c r="BC89" i="31"/>
  <c r="B89" i="31"/>
  <c r="F89" i="31"/>
  <c r="BC95" i="31"/>
  <c r="F95" i="31"/>
  <c r="B95" i="31"/>
  <c r="BD95" i="31"/>
  <c r="BD49" i="31"/>
  <c r="B52" i="31"/>
  <c r="F52" i="31"/>
  <c r="BC52" i="31"/>
  <c r="BD53" i="31"/>
  <c r="B56" i="31"/>
  <c r="F56" i="31"/>
  <c r="BC56" i="31"/>
  <c r="BC57" i="31"/>
  <c r="BC60" i="31"/>
  <c r="F60" i="31"/>
  <c r="B60" i="31"/>
  <c r="BD60" i="31"/>
  <c r="B63" i="31"/>
  <c r="B66" i="31"/>
  <c r="BC68" i="31"/>
  <c r="F68" i="31"/>
  <c r="B68" i="31"/>
  <c r="BD68" i="31"/>
  <c r="F71" i="31"/>
  <c r="BD75" i="31"/>
  <c r="BD89" i="31"/>
  <c r="BD52" i="31"/>
  <c r="BD56" i="31"/>
  <c r="F58" i="31"/>
  <c r="BD63" i="31"/>
  <c r="BD66" i="31"/>
  <c r="BC72" i="31"/>
  <c r="F72" i="31"/>
  <c r="B72" i="31"/>
  <c r="BD72" i="31"/>
  <c r="AX97" i="31"/>
  <c r="E97" i="32" s="1"/>
  <c r="AT97" i="31"/>
  <c r="AP97" i="31"/>
  <c r="AL97" i="31"/>
  <c r="AH97" i="31"/>
  <c r="AD97" i="31"/>
  <c r="Z97" i="31"/>
  <c r="V97" i="31"/>
  <c r="R97" i="31"/>
  <c r="N97" i="31"/>
  <c r="J97" i="31"/>
  <c r="AW97" i="31"/>
  <c r="AS97" i="31"/>
  <c r="AV97" i="31" s="1"/>
  <c r="AO97" i="31"/>
  <c r="AR97" i="31" s="1"/>
  <c r="AK97" i="31"/>
  <c r="AN97" i="31" s="1"/>
  <c r="AG97" i="31"/>
  <c r="AJ97" i="31" s="1"/>
  <c r="AC97" i="31"/>
  <c r="AF97" i="31" s="1"/>
  <c r="Y97" i="31"/>
  <c r="AB97" i="31" s="1"/>
  <c r="U97" i="31"/>
  <c r="X97" i="31" s="1"/>
  <c r="Q97" i="31"/>
  <c r="T97" i="31" s="1"/>
  <c r="M97" i="31"/>
  <c r="P97" i="31" s="1"/>
  <c r="I97" i="31"/>
  <c r="L97" i="31" s="1"/>
  <c r="D97" i="31"/>
  <c r="BC97" i="31"/>
  <c r="AQ97" i="31"/>
  <c r="AI97" i="31"/>
  <c r="AA97" i="31"/>
  <c r="S97" i="31"/>
  <c r="K97" i="31"/>
  <c r="B97" i="31"/>
  <c r="G97" i="31"/>
  <c r="AU97" i="31"/>
  <c r="AM97" i="31"/>
  <c r="AE97" i="31"/>
  <c r="W97" i="31"/>
  <c r="O97" i="31"/>
  <c r="F97" i="31"/>
  <c r="B54" i="31"/>
  <c r="F54" i="31"/>
  <c r="B58" i="31"/>
  <c r="BC58" i="31"/>
  <c r="BD59" i="31"/>
  <c r="BD62" i="31"/>
  <c r="BD67" i="31"/>
  <c r="B71" i="31"/>
  <c r="BC71" i="31"/>
  <c r="BC76" i="31"/>
  <c r="F76" i="31"/>
  <c r="B76" i="31"/>
  <c r="BD76" i="31"/>
  <c r="BC84" i="31"/>
  <c r="F84" i="31"/>
  <c r="B84" i="31"/>
  <c r="BD84" i="31"/>
  <c r="BD79" i="31"/>
  <c r="BD83" i="31"/>
  <c r="BC87" i="31"/>
  <c r="BC91" i="31"/>
  <c r="F91" i="31"/>
  <c r="B91" i="31"/>
  <c r="BD91" i="31"/>
  <c r="BD70" i="31"/>
  <c r="BD74" i="31"/>
  <c r="BD78" i="31"/>
  <c r="BD82" i="31"/>
  <c r="BD86" i="31"/>
  <c r="BD87" i="31"/>
  <c r="BD94" i="31"/>
  <c r="BC98" i="31"/>
  <c r="AU98" i="31"/>
  <c r="AQ98" i="31"/>
  <c r="AM98" i="31"/>
  <c r="AI98" i="31"/>
  <c r="AE98" i="31"/>
  <c r="AA98" i="31"/>
  <c r="W98" i="31"/>
  <c r="S98" i="31"/>
  <c r="O98" i="31"/>
  <c r="K98" i="31"/>
  <c r="F98" i="31"/>
  <c r="B98" i="31"/>
  <c r="AX98" i="31"/>
  <c r="E98" i="32" s="1"/>
  <c r="AT98" i="31"/>
  <c r="AP98" i="31"/>
  <c r="AL98" i="31"/>
  <c r="AH98" i="31"/>
  <c r="AD98" i="31"/>
  <c r="Z98" i="31"/>
  <c r="V98" i="31"/>
  <c r="R98" i="31"/>
  <c r="N98" i="31"/>
  <c r="J98" i="31"/>
  <c r="BD98" i="31"/>
  <c r="BD90" i="31"/>
  <c r="BD93" i="31"/>
  <c r="D98" i="31"/>
  <c r="M98" i="31"/>
  <c r="P98" i="31" s="1"/>
  <c r="U98" i="31"/>
  <c r="X98" i="31" s="1"/>
  <c r="AC98" i="31"/>
  <c r="AF98" i="31" s="1"/>
  <c r="AK98" i="31"/>
  <c r="AN98" i="31" s="1"/>
  <c r="AS98" i="31"/>
  <c r="AV98" i="31" s="1"/>
  <c r="G102" i="31"/>
  <c r="BD102" i="31"/>
  <c r="G106" i="31"/>
  <c r="BD106" i="31"/>
  <c r="G110" i="31"/>
  <c r="M110" i="31"/>
  <c r="P110" i="31" s="1"/>
  <c r="R110" i="31"/>
  <c r="AC110" i="31"/>
  <c r="AF110" i="31" s="1"/>
  <c r="AH110" i="31"/>
  <c r="AS110" i="31"/>
  <c r="AV110" i="31" s="1"/>
  <c r="AW113" i="31"/>
  <c r="BC114" i="31"/>
  <c r="AU114" i="31"/>
  <c r="AQ114" i="31"/>
  <c r="AM114" i="31"/>
  <c r="AI114" i="31"/>
  <c r="AE114" i="31"/>
  <c r="AA114" i="31"/>
  <c r="W114" i="31"/>
  <c r="S114" i="31"/>
  <c r="O114" i="31"/>
  <c r="K114" i="31"/>
  <c r="F114" i="31"/>
  <c r="B114" i="31"/>
  <c r="AW114" i="31"/>
  <c r="AS114" i="31"/>
  <c r="AV114" i="31" s="1"/>
  <c r="I114" i="31"/>
  <c r="L114" i="31" s="1"/>
  <c r="N114" i="31"/>
  <c r="Y114" i="31"/>
  <c r="AB114" i="31" s="1"/>
  <c r="AD114" i="31"/>
  <c r="AO114" i="31"/>
  <c r="AR114" i="31" s="1"/>
  <c r="G101" i="31"/>
  <c r="BD101" i="31"/>
  <c r="D102" i="31"/>
  <c r="I102" i="31"/>
  <c r="L102" i="31" s="1"/>
  <c r="M102" i="31"/>
  <c r="P102" i="31" s="1"/>
  <c r="Q102" i="31"/>
  <c r="T102" i="31" s="1"/>
  <c r="U102" i="31"/>
  <c r="X102" i="31" s="1"/>
  <c r="Y102" i="31"/>
  <c r="AB102" i="31" s="1"/>
  <c r="AC102" i="31"/>
  <c r="AF102" i="31" s="1"/>
  <c r="AG102" i="31"/>
  <c r="AJ102" i="31" s="1"/>
  <c r="AK102" i="31"/>
  <c r="AN102" i="31" s="1"/>
  <c r="AO102" i="31"/>
  <c r="AR102" i="31" s="1"/>
  <c r="AS102" i="31"/>
  <c r="AV102" i="31" s="1"/>
  <c r="AW102" i="31"/>
  <c r="G105" i="31"/>
  <c r="BD105" i="31"/>
  <c r="D106" i="31"/>
  <c r="I106" i="31"/>
  <c r="L106" i="31" s="1"/>
  <c r="M106" i="31"/>
  <c r="P106" i="31" s="1"/>
  <c r="Q106" i="31"/>
  <c r="T106" i="31" s="1"/>
  <c r="U106" i="31"/>
  <c r="X106" i="31" s="1"/>
  <c r="Y106" i="31"/>
  <c r="AB106" i="31" s="1"/>
  <c r="AC106" i="31"/>
  <c r="AF106" i="31" s="1"/>
  <c r="AG106" i="31"/>
  <c r="AJ106" i="31" s="1"/>
  <c r="AK106" i="31"/>
  <c r="AN106" i="31" s="1"/>
  <c r="AO106" i="31"/>
  <c r="AR106" i="31" s="1"/>
  <c r="AS106" i="31"/>
  <c r="AV106" i="31" s="1"/>
  <c r="AW106" i="31"/>
  <c r="O108" i="31"/>
  <c r="S108" i="31"/>
  <c r="W108" i="31"/>
  <c r="AA108" i="31"/>
  <c r="AE108" i="31"/>
  <c r="AI108" i="31"/>
  <c r="AM108" i="31"/>
  <c r="AQ108" i="31"/>
  <c r="AU108" i="31"/>
  <c r="BC108" i="31"/>
  <c r="AX109" i="31"/>
  <c r="E109" i="32" s="1"/>
  <c r="AT109" i="31"/>
  <c r="AP109" i="31"/>
  <c r="AL109" i="31"/>
  <c r="AH109" i="31"/>
  <c r="AD109" i="31"/>
  <c r="G109" i="31"/>
  <c r="AG109" i="31"/>
  <c r="AJ109" i="31" s="1"/>
  <c r="AM109" i="31"/>
  <c r="AW109" i="31"/>
  <c r="BC110" i="31"/>
  <c r="AU110" i="31"/>
  <c r="AQ110" i="31"/>
  <c r="AM110" i="31"/>
  <c r="AI110" i="31"/>
  <c r="AE110" i="31"/>
  <c r="AA110" i="31"/>
  <c r="W110" i="31"/>
  <c r="S110" i="31"/>
  <c r="O110" i="31"/>
  <c r="K110" i="31"/>
  <c r="F110" i="31"/>
  <c r="B110" i="31"/>
  <c r="I110" i="31"/>
  <c r="L110" i="31" s="1"/>
  <c r="N110" i="31"/>
  <c r="Y110" i="31"/>
  <c r="AB110" i="31" s="1"/>
  <c r="AD110" i="31"/>
  <c r="AO110" i="31"/>
  <c r="AR110" i="31" s="1"/>
  <c r="AT110" i="31"/>
  <c r="BD110" i="31"/>
  <c r="B113" i="31"/>
  <c r="G113" i="31"/>
  <c r="M113" i="31"/>
  <c r="P113" i="31" s="1"/>
  <c r="S113" i="31"/>
  <c r="AC113" i="31"/>
  <c r="AF113" i="31" s="1"/>
  <c r="AI113" i="31"/>
  <c r="AS113" i="31"/>
  <c r="AV113" i="31" s="1"/>
  <c r="D114" i="31"/>
  <c r="J114" i="31"/>
  <c r="U114" i="31"/>
  <c r="X114" i="31" s="1"/>
  <c r="Z114" i="31"/>
  <c r="AK114" i="31"/>
  <c r="AN114" i="31" s="1"/>
  <c r="AP114" i="31"/>
  <c r="AX114" i="31"/>
  <c r="E114" i="32" s="1"/>
  <c r="J116" i="31"/>
  <c r="R116" i="31"/>
  <c r="Z116" i="31"/>
  <c r="AH116" i="31"/>
  <c r="AP116" i="31"/>
  <c r="G96" i="31"/>
  <c r="BD96" i="31"/>
  <c r="G100" i="31"/>
  <c r="BD100" i="31"/>
  <c r="D101" i="31"/>
  <c r="I101" i="31"/>
  <c r="L101" i="31" s="1"/>
  <c r="M101" i="31"/>
  <c r="P101" i="31" s="1"/>
  <c r="Q101" i="31"/>
  <c r="T101" i="31" s="1"/>
  <c r="U101" i="31"/>
  <c r="X101" i="31" s="1"/>
  <c r="Y101" i="31"/>
  <c r="AB101" i="31" s="1"/>
  <c r="AC101" i="31"/>
  <c r="AF101" i="31" s="1"/>
  <c r="AG101" i="31"/>
  <c r="AJ101" i="31" s="1"/>
  <c r="AK101" i="31"/>
  <c r="AN101" i="31" s="1"/>
  <c r="AO101" i="31"/>
  <c r="AR101" i="31" s="1"/>
  <c r="AS101" i="31"/>
  <c r="AV101" i="31" s="1"/>
  <c r="AW101" i="31"/>
  <c r="J102" i="31"/>
  <c r="N102" i="31"/>
  <c r="R102" i="31"/>
  <c r="V102" i="31"/>
  <c r="Z102" i="31"/>
  <c r="AD102" i="31"/>
  <c r="AH102" i="31"/>
  <c r="AL102" i="31"/>
  <c r="AP102" i="31"/>
  <c r="AT102" i="31"/>
  <c r="AX102" i="31"/>
  <c r="E102" i="32" s="1"/>
  <c r="G104" i="31"/>
  <c r="BD104" i="31"/>
  <c r="D105" i="31"/>
  <c r="I105" i="31"/>
  <c r="L105" i="31" s="1"/>
  <c r="M105" i="31"/>
  <c r="P105" i="31" s="1"/>
  <c r="Q105" i="31"/>
  <c r="T105" i="31" s="1"/>
  <c r="U105" i="31"/>
  <c r="X105" i="31" s="1"/>
  <c r="Y105" i="31"/>
  <c r="AB105" i="31" s="1"/>
  <c r="AC105" i="31"/>
  <c r="AF105" i="31" s="1"/>
  <c r="AG105" i="31"/>
  <c r="AJ105" i="31" s="1"/>
  <c r="AK105" i="31"/>
  <c r="AN105" i="31" s="1"/>
  <c r="AO105" i="31"/>
  <c r="AR105" i="31" s="1"/>
  <c r="AS105" i="31"/>
  <c r="AV105" i="31" s="1"/>
  <c r="AW105" i="31"/>
  <c r="J106" i="31"/>
  <c r="N106" i="31"/>
  <c r="R106" i="31"/>
  <c r="V106" i="31"/>
  <c r="Z106" i="31"/>
  <c r="AD106" i="31"/>
  <c r="AH106" i="31"/>
  <c r="AL106" i="31"/>
  <c r="AP106" i="31"/>
  <c r="AT106" i="31"/>
  <c r="AX106" i="31"/>
  <c r="E106" i="32" s="1"/>
  <c r="G108" i="31"/>
  <c r="BD108" i="31"/>
  <c r="D109" i="31"/>
  <c r="I109" i="31"/>
  <c r="L109" i="31" s="1"/>
  <c r="M109" i="31"/>
  <c r="P109" i="31" s="1"/>
  <c r="Q109" i="31"/>
  <c r="T109" i="31" s="1"/>
  <c r="U109" i="31"/>
  <c r="X109" i="31" s="1"/>
  <c r="Y109" i="31"/>
  <c r="AB109" i="31" s="1"/>
  <c r="AC109" i="31"/>
  <c r="AF109" i="31" s="1"/>
  <c r="AI109" i="31"/>
  <c r="AS109" i="31"/>
  <c r="AV109" i="31" s="1"/>
  <c r="BC109" i="31"/>
  <c r="D110" i="31"/>
  <c r="J110" i="31"/>
  <c r="U110" i="31"/>
  <c r="X110" i="31" s="1"/>
  <c r="Z110" i="31"/>
  <c r="AK110" i="31"/>
  <c r="AN110" i="31" s="1"/>
  <c r="AP110" i="31"/>
  <c r="AX113" i="31"/>
  <c r="E113" i="32" s="1"/>
  <c r="AT113" i="31"/>
  <c r="AP113" i="31"/>
  <c r="AL113" i="31"/>
  <c r="AH113" i="31"/>
  <c r="AD113" i="31"/>
  <c r="Z113" i="31"/>
  <c r="V113" i="31"/>
  <c r="R113" i="31"/>
  <c r="N113" i="31"/>
  <c r="J113" i="31"/>
  <c r="I113" i="31"/>
  <c r="L113" i="31" s="1"/>
  <c r="O113" i="31"/>
  <c r="Y113" i="31"/>
  <c r="AB113" i="31" s="1"/>
  <c r="AE113" i="31"/>
  <c r="AO113" i="31"/>
  <c r="AR113" i="31" s="1"/>
  <c r="AU113" i="31"/>
  <c r="BD113" i="31"/>
  <c r="Q114" i="31"/>
  <c r="T114" i="31" s="1"/>
  <c r="V114" i="31"/>
  <c r="AG114" i="31"/>
  <c r="AJ114" i="31" s="1"/>
  <c r="AL114" i="31"/>
  <c r="BD114" i="31"/>
  <c r="AW116" i="31"/>
  <c r="AS116" i="31"/>
  <c r="AV116" i="31" s="1"/>
  <c r="AO116" i="31"/>
  <c r="AR116" i="31" s="1"/>
  <c r="AK116" i="31"/>
  <c r="AN116" i="31" s="1"/>
  <c r="AG116" i="31"/>
  <c r="AJ116" i="31" s="1"/>
  <c r="AC116" i="31"/>
  <c r="AF116" i="31" s="1"/>
  <c r="Y116" i="31"/>
  <c r="AB116" i="31" s="1"/>
  <c r="U116" i="31"/>
  <c r="X116" i="31" s="1"/>
  <c r="Q116" i="31"/>
  <c r="T116" i="31" s="1"/>
  <c r="M116" i="31"/>
  <c r="P116" i="31" s="1"/>
  <c r="I116" i="31"/>
  <c r="L116" i="31" s="1"/>
  <c r="D116" i="31"/>
  <c r="BC116" i="31"/>
  <c r="AU116" i="31"/>
  <c r="AQ116" i="31"/>
  <c r="AM116" i="31"/>
  <c r="AI116" i="31"/>
  <c r="AE116" i="31"/>
  <c r="AA116" i="31"/>
  <c r="W116" i="31"/>
  <c r="S116" i="31"/>
  <c r="O116" i="31"/>
  <c r="K116" i="31"/>
  <c r="F116" i="31"/>
  <c r="B116" i="31"/>
  <c r="BD116" i="31"/>
  <c r="J118" i="31"/>
  <c r="R118" i="31"/>
  <c r="Z118" i="31"/>
  <c r="AH118" i="31"/>
  <c r="AP118" i="31"/>
  <c r="D96" i="31"/>
  <c r="I96" i="31"/>
  <c r="L96" i="31" s="1"/>
  <c r="M96" i="31"/>
  <c r="P96" i="31" s="1"/>
  <c r="Q96" i="31"/>
  <c r="T96" i="31" s="1"/>
  <c r="U96" i="31"/>
  <c r="X96" i="31" s="1"/>
  <c r="Y96" i="31"/>
  <c r="AB96" i="31" s="1"/>
  <c r="AC96" i="31"/>
  <c r="AF96" i="31" s="1"/>
  <c r="AG96" i="31"/>
  <c r="AJ96" i="31" s="1"/>
  <c r="AK96" i="31"/>
  <c r="AN96" i="31" s="1"/>
  <c r="AO96" i="31"/>
  <c r="AR96" i="31" s="1"/>
  <c r="AS96" i="31"/>
  <c r="AV96" i="31" s="1"/>
  <c r="G99" i="31"/>
  <c r="D100" i="31"/>
  <c r="I100" i="31"/>
  <c r="L100" i="31" s="1"/>
  <c r="M100" i="31"/>
  <c r="P100" i="31" s="1"/>
  <c r="Q100" i="31"/>
  <c r="T100" i="31" s="1"/>
  <c r="U100" i="31"/>
  <c r="X100" i="31" s="1"/>
  <c r="Y100" i="31"/>
  <c r="AB100" i="31" s="1"/>
  <c r="AC100" i="31"/>
  <c r="AF100" i="31" s="1"/>
  <c r="AG100" i="31"/>
  <c r="AJ100" i="31" s="1"/>
  <c r="AK100" i="31"/>
  <c r="AN100" i="31" s="1"/>
  <c r="AO100" i="31"/>
  <c r="AR100" i="31" s="1"/>
  <c r="AS100" i="31"/>
  <c r="AV100" i="31" s="1"/>
  <c r="J101" i="31"/>
  <c r="N101" i="31"/>
  <c r="R101" i="31"/>
  <c r="V101" i="31"/>
  <c r="Z101" i="31"/>
  <c r="AD101" i="31"/>
  <c r="AH101" i="31"/>
  <c r="AL101" i="31"/>
  <c r="AP101" i="31"/>
  <c r="AT101" i="31"/>
  <c r="B102" i="31"/>
  <c r="F102" i="31"/>
  <c r="K102" i="31"/>
  <c r="O102" i="31"/>
  <c r="S102" i="31"/>
  <c r="W102" i="31"/>
  <c r="AA102" i="31"/>
  <c r="AE102" i="31"/>
  <c r="AI102" i="31"/>
  <c r="AM102" i="31"/>
  <c r="AQ102" i="31"/>
  <c r="AU102" i="31"/>
  <c r="G103" i="31"/>
  <c r="D104" i="31"/>
  <c r="I104" i="31"/>
  <c r="L104" i="31" s="1"/>
  <c r="M104" i="31"/>
  <c r="P104" i="31" s="1"/>
  <c r="Q104" i="31"/>
  <c r="T104" i="31" s="1"/>
  <c r="U104" i="31"/>
  <c r="X104" i="31" s="1"/>
  <c r="Y104" i="31"/>
  <c r="AB104" i="31" s="1"/>
  <c r="AC104" i="31"/>
  <c r="AF104" i="31" s="1"/>
  <c r="AG104" i="31"/>
  <c r="AJ104" i="31" s="1"/>
  <c r="AK104" i="31"/>
  <c r="AN104" i="31" s="1"/>
  <c r="AO104" i="31"/>
  <c r="AR104" i="31" s="1"/>
  <c r="AS104" i="31"/>
  <c r="AV104" i="31" s="1"/>
  <c r="J105" i="31"/>
  <c r="N105" i="31"/>
  <c r="R105" i="31"/>
  <c r="V105" i="31"/>
  <c r="Z105" i="31"/>
  <c r="AD105" i="31"/>
  <c r="AH105" i="31"/>
  <c r="AL105" i="31"/>
  <c r="AP105" i="31"/>
  <c r="AT105" i="31"/>
  <c r="B106" i="31"/>
  <c r="F106" i="31"/>
  <c r="K106" i="31"/>
  <c r="O106" i="31"/>
  <c r="S106" i="31"/>
  <c r="W106" i="31"/>
  <c r="AA106" i="31"/>
  <c r="AE106" i="31"/>
  <c r="AI106" i="31"/>
  <c r="AM106" i="31"/>
  <c r="AQ106" i="31"/>
  <c r="AU106" i="31"/>
  <c r="G107" i="31"/>
  <c r="D108" i="31"/>
  <c r="I108" i="31"/>
  <c r="L108" i="31" s="1"/>
  <c r="M108" i="31"/>
  <c r="P108" i="31" s="1"/>
  <c r="Q108" i="31"/>
  <c r="T108" i="31" s="1"/>
  <c r="U108" i="31"/>
  <c r="X108" i="31" s="1"/>
  <c r="Y108" i="31"/>
  <c r="AB108" i="31" s="1"/>
  <c r="AC108" i="31"/>
  <c r="AF108" i="31" s="1"/>
  <c r="AG108" i="31"/>
  <c r="AJ108" i="31" s="1"/>
  <c r="AK108" i="31"/>
  <c r="AN108" i="31" s="1"/>
  <c r="AO108" i="31"/>
  <c r="AR108" i="31" s="1"/>
  <c r="AS108" i="31"/>
  <c r="AV108" i="31" s="1"/>
  <c r="J109" i="31"/>
  <c r="N109" i="31"/>
  <c r="R109" i="31"/>
  <c r="V109" i="31"/>
  <c r="Z109" i="31"/>
  <c r="AE109" i="31"/>
  <c r="AO109" i="31"/>
  <c r="AR109" i="31" s="1"/>
  <c r="AU109" i="31"/>
  <c r="BD109" i="31"/>
  <c r="Q110" i="31"/>
  <c r="T110" i="31" s="1"/>
  <c r="V110" i="31"/>
  <c r="AG110" i="31"/>
  <c r="AJ110" i="31" s="1"/>
  <c r="AL110" i="31"/>
  <c r="AW110" i="31"/>
  <c r="AW112" i="31"/>
  <c r="AS112" i="31"/>
  <c r="AV112" i="31" s="1"/>
  <c r="AO112" i="31"/>
  <c r="AR112" i="31" s="1"/>
  <c r="AK112" i="31"/>
  <c r="AN112" i="31" s="1"/>
  <c r="AG112" i="31"/>
  <c r="AJ112" i="31" s="1"/>
  <c r="AC112" i="31"/>
  <c r="AF112" i="31" s="1"/>
  <c r="Y112" i="31"/>
  <c r="AB112" i="31" s="1"/>
  <c r="U112" i="31"/>
  <c r="X112" i="31" s="1"/>
  <c r="Q112" i="31"/>
  <c r="T112" i="31" s="1"/>
  <c r="M112" i="31"/>
  <c r="P112" i="31" s="1"/>
  <c r="I112" i="31"/>
  <c r="L112" i="31" s="1"/>
  <c r="D112" i="31"/>
  <c r="J112" i="31"/>
  <c r="O112" i="31"/>
  <c r="Z112" i="31"/>
  <c r="AE112" i="31"/>
  <c r="AP112" i="31"/>
  <c r="AU112" i="31"/>
  <c r="BD112" i="31"/>
  <c r="D113" i="31"/>
  <c r="K113" i="31"/>
  <c r="U113" i="31"/>
  <c r="X113" i="31" s="1"/>
  <c r="AA113" i="31"/>
  <c r="AK113" i="31"/>
  <c r="AN113" i="31" s="1"/>
  <c r="AQ113" i="31"/>
  <c r="G114" i="31"/>
  <c r="M114" i="31"/>
  <c r="P114" i="31" s="1"/>
  <c r="R114" i="31"/>
  <c r="AC114" i="31"/>
  <c r="AF114" i="31" s="1"/>
  <c r="AH114" i="31"/>
  <c r="AT114" i="31"/>
  <c r="N116" i="31"/>
  <c r="V116" i="31"/>
  <c r="AD116" i="31"/>
  <c r="AL116" i="31"/>
  <c r="AT116" i="31"/>
  <c r="BC118" i="31"/>
  <c r="AU118" i="31"/>
  <c r="AQ118" i="31"/>
  <c r="AM118" i="31"/>
  <c r="AI118" i="31"/>
  <c r="AE118" i="31"/>
  <c r="AA118" i="31"/>
  <c r="W118" i="31"/>
  <c r="S118" i="31"/>
  <c r="O118" i="31"/>
  <c r="K118" i="31"/>
  <c r="F118" i="31"/>
  <c r="B118" i="31"/>
  <c r="AW118" i="31"/>
  <c r="AS118" i="31"/>
  <c r="AV118" i="31" s="1"/>
  <c r="AO118" i="31"/>
  <c r="AR118" i="31" s="1"/>
  <c r="AK118" i="31"/>
  <c r="AN118" i="31" s="1"/>
  <c r="AG118" i="31"/>
  <c r="AJ118" i="31" s="1"/>
  <c r="AC118" i="31"/>
  <c r="AF118" i="31" s="1"/>
  <c r="Y118" i="31"/>
  <c r="AB118" i="31" s="1"/>
  <c r="U118" i="31"/>
  <c r="X118" i="31" s="1"/>
  <c r="Q118" i="31"/>
  <c r="T118" i="31" s="1"/>
  <c r="M118" i="31"/>
  <c r="P118" i="31" s="1"/>
  <c r="I118" i="31"/>
  <c r="L118" i="31" s="1"/>
  <c r="D118" i="31"/>
  <c r="BD118" i="31"/>
  <c r="AW120" i="31"/>
  <c r="AS120" i="31"/>
  <c r="AV120" i="31" s="1"/>
  <c r="AO120" i="31"/>
  <c r="AR120" i="31" s="1"/>
  <c r="AK120" i="31"/>
  <c r="AN120" i="31" s="1"/>
  <c r="AG120" i="31"/>
  <c r="AJ120" i="31" s="1"/>
  <c r="AC120" i="31"/>
  <c r="AF120" i="31" s="1"/>
  <c r="Y120" i="31"/>
  <c r="AB120" i="31" s="1"/>
  <c r="U120" i="31"/>
  <c r="X120" i="31" s="1"/>
  <c r="Q120" i="31"/>
  <c r="T120" i="31" s="1"/>
  <c r="M120" i="31"/>
  <c r="P120" i="31" s="1"/>
  <c r="I120" i="31"/>
  <c r="L120" i="31" s="1"/>
  <c r="D120" i="31"/>
  <c r="J120" i="31"/>
  <c r="O120" i="31"/>
  <c r="Z120" i="31"/>
  <c r="AE120" i="31"/>
  <c r="AP120" i="31"/>
  <c r="AU120" i="31"/>
  <c r="BD120" i="31"/>
  <c r="G117" i="31"/>
  <c r="BD117" i="31"/>
  <c r="K120" i="31"/>
  <c r="V120" i="31"/>
  <c r="AA120" i="31"/>
  <c r="AL120" i="31"/>
  <c r="AQ120" i="31"/>
  <c r="BC122" i="31"/>
  <c r="AU122" i="31"/>
  <c r="AQ122" i="31"/>
  <c r="AM122" i="31"/>
  <c r="AI122" i="31"/>
  <c r="AE122" i="31"/>
  <c r="AA122" i="31"/>
  <c r="W122" i="31"/>
  <c r="S122" i="31"/>
  <c r="O122" i="31"/>
  <c r="K122" i="31"/>
  <c r="F122" i="31"/>
  <c r="B122" i="31"/>
  <c r="I122" i="31"/>
  <c r="L122" i="31" s="1"/>
  <c r="N122" i="31"/>
  <c r="Y122" i="31"/>
  <c r="AB122" i="31" s="1"/>
  <c r="AD122" i="31"/>
  <c r="AO122" i="31"/>
  <c r="AR122" i="31" s="1"/>
  <c r="AT122" i="31"/>
  <c r="BD122" i="31"/>
  <c r="BC125" i="31"/>
  <c r="AU125" i="31"/>
  <c r="AQ125" i="31"/>
  <c r="AM125" i="31"/>
  <c r="AI125" i="31"/>
  <c r="AE125" i="31"/>
  <c r="AA125" i="31"/>
  <c r="W125" i="31"/>
  <c r="S125" i="31"/>
  <c r="O125" i="31"/>
  <c r="K125" i="31"/>
  <c r="F125" i="31"/>
  <c r="B125" i="31"/>
  <c r="AX125" i="31"/>
  <c r="E125" i="32" s="1"/>
  <c r="AT125" i="31"/>
  <c r="AP125" i="31"/>
  <c r="AL125" i="31"/>
  <c r="AH125" i="31"/>
  <c r="AD125" i="31"/>
  <c r="Z125" i="31"/>
  <c r="V125" i="31"/>
  <c r="R125" i="31"/>
  <c r="N125" i="31"/>
  <c r="J125" i="31"/>
  <c r="BD125" i="31"/>
  <c r="AX120" i="31"/>
  <c r="E120" i="32" s="1"/>
  <c r="G111" i="31"/>
  <c r="G115" i="31"/>
  <c r="J117" i="31"/>
  <c r="N117" i="31"/>
  <c r="R117" i="31"/>
  <c r="V117" i="31"/>
  <c r="Z117" i="31"/>
  <c r="AD117" i="31"/>
  <c r="AH117" i="31"/>
  <c r="AL117" i="31"/>
  <c r="AP117" i="31"/>
  <c r="AT117" i="31"/>
  <c r="G119" i="31"/>
  <c r="AG119" i="31"/>
  <c r="AJ119" i="31" s="1"/>
  <c r="AL119" i="31"/>
  <c r="AQ119" i="31"/>
  <c r="AW119" i="31"/>
  <c r="B120" i="31"/>
  <c r="G120" i="31"/>
  <c r="N120" i="31"/>
  <c r="S120" i="31"/>
  <c r="AD120" i="31"/>
  <c r="AI120" i="31"/>
  <c r="AT120" i="31"/>
  <c r="BC120" i="31"/>
  <c r="AX121" i="31"/>
  <c r="E121" i="32" s="1"/>
  <c r="AT121" i="31"/>
  <c r="AP121" i="31"/>
  <c r="AL121" i="31"/>
  <c r="AH121" i="31"/>
  <c r="AD121" i="31"/>
  <c r="Z121" i="31"/>
  <c r="V121" i="31"/>
  <c r="R121" i="31"/>
  <c r="N121" i="31"/>
  <c r="J121" i="31"/>
  <c r="I121" i="31"/>
  <c r="L121" i="31" s="1"/>
  <c r="O121" i="31"/>
  <c r="Y121" i="31"/>
  <c r="AB121" i="31" s="1"/>
  <c r="AE121" i="31"/>
  <c r="AO121" i="31"/>
  <c r="AR121" i="31" s="1"/>
  <c r="AU121" i="31"/>
  <c r="BD121" i="31"/>
  <c r="Q122" i="31"/>
  <c r="T122" i="31" s="1"/>
  <c r="V122" i="31"/>
  <c r="AG122" i="31"/>
  <c r="AJ122" i="31" s="1"/>
  <c r="AL122" i="31"/>
  <c r="AW122" i="31"/>
  <c r="AX124" i="31"/>
  <c r="E124" i="32" s="1"/>
  <c r="AT124" i="31"/>
  <c r="AP124" i="31"/>
  <c r="AL124" i="31"/>
  <c r="AH124" i="31"/>
  <c r="AD124" i="31"/>
  <c r="Z124" i="31"/>
  <c r="V124" i="31"/>
  <c r="R124" i="31"/>
  <c r="N124" i="31"/>
  <c r="J124" i="31"/>
  <c r="AW124" i="31"/>
  <c r="AS124" i="31"/>
  <c r="AV124" i="31" s="1"/>
  <c r="AO124" i="31"/>
  <c r="AR124" i="31" s="1"/>
  <c r="AK124" i="31"/>
  <c r="AN124" i="31" s="1"/>
  <c r="AG124" i="31"/>
  <c r="AJ124" i="31" s="1"/>
  <c r="AC124" i="31"/>
  <c r="AF124" i="31" s="1"/>
  <c r="Y124" i="31"/>
  <c r="AB124" i="31" s="1"/>
  <c r="U124" i="31"/>
  <c r="X124" i="31" s="1"/>
  <c r="Q124" i="31"/>
  <c r="T124" i="31" s="1"/>
  <c r="M124" i="31"/>
  <c r="P124" i="31" s="1"/>
  <c r="I124" i="31"/>
  <c r="L124" i="31" s="1"/>
  <c r="D124" i="31"/>
  <c r="BD124" i="31"/>
  <c r="G125" i="31"/>
  <c r="G123" i="31"/>
  <c r="B126" i="31"/>
  <c r="F126" i="31"/>
  <c r="K126" i="31"/>
  <c r="O126" i="31"/>
  <c r="S126" i="31"/>
  <c r="W126" i="31"/>
  <c r="AA126" i="31"/>
  <c r="AE126" i="31"/>
  <c r="AI126" i="31"/>
  <c r="AM126" i="31"/>
  <c r="AQ126" i="31"/>
  <c r="AU126" i="31"/>
  <c r="BC126" i="31"/>
  <c r="G127" i="31"/>
  <c r="BD127" i="31"/>
  <c r="D128" i="31"/>
  <c r="I128" i="31"/>
  <c r="L128" i="31" s="1"/>
  <c r="M128" i="31"/>
  <c r="P128" i="31" s="1"/>
  <c r="Q128" i="31"/>
  <c r="T128" i="31" s="1"/>
  <c r="U128" i="31"/>
  <c r="X128" i="31" s="1"/>
  <c r="Y128" i="31"/>
  <c r="AB128" i="31" s="1"/>
  <c r="AC128" i="31"/>
  <c r="AF128" i="31" s="1"/>
  <c r="AG128" i="31"/>
  <c r="AJ128" i="31" s="1"/>
  <c r="AK128" i="31"/>
  <c r="AN128" i="31" s="1"/>
  <c r="AO128" i="31"/>
  <c r="AR128" i="31" s="1"/>
  <c r="AS128" i="31"/>
  <c r="AV128" i="31" s="1"/>
  <c r="AW128" i="31"/>
  <c r="D31" i="32"/>
  <c r="G126" i="31"/>
  <c r="D127" i="31"/>
  <c r="I127" i="31"/>
  <c r="L127" i="31" s="1"/>
  <c r="M127" i="31"/>
  <c r="P127" i="31" s="1"/>
  <c r="Q127" i="31"/>
  <c r="T127" i="31" s="1"/>
  <c r="U127" i="31"/>
  <c r="X127" i="31" s="1"/>
  <c r="Y127" i="31"/>
  <c r="AB127" i="31" s="1"/>
  <c r="AC127" i="31"/>
  <c r="AF127" i="31" s="1"/>
  <c r="AG127" i="31"/>
  <c r="AJ127" i="31" s="1"/>
  <c r="AK127" i="31"/>
  <c r="AN127" i="31" s="1"/>
  <c r="AO127" i="31"/>
  <c r="AR127" i="31" s="1"/>
  <c r="AS127" i="31"/>
  <c r="AV127" i="31" s="1"/>
  <c r="AW127" i="31"/>
  <c r="J128" i="31"/>
  <c r="N128" i="31"/>
  <c r="R128" i="31"/>
  <c r="V128" i="31"/>
  <c r="Z128" i="31"/>
  <c r="AD128" i="31"/>
  <c r="AH128" i="31"/>
  <c r="AL128" i="31"/>
  <c r="AP128" i="31"/>
  <c r="AT128" i="31"/>
  <c r="AX128" i="31"/>
  <c r="E128" i="32" s="1"/>
  <c r="B129" i="31"/>
  <c r="F129" i="31"/>
  <c r="K129" i="31"/>
  <c r="O129" i="31"/>
  <c r="S129" i="31"/>
  <c r="W129" i="31"/>
  <c r="AA129" i="31"/>
  <c r="AE129" i="31"/>
  <c r="AI129" i="31"/>
  <c r="AM129" i="31"/>
  <c r="AQ129" i="31"/>
  <c r="AU129" i="31"/>
  <c r="BC129" i="31"/>
  <c r="AC31" i="32"/>
  <c r="D35" i="32"/>
  <c r="AC35" i="32" s="1"/>
  <c r="D37" i="32"/>
  <c r="D39" i="32"/>
  <c r="AC39" i="32" s="1"/>
  <c r="D41" i="32"/>
  <c r="AC41" i="32" s="1"/>
  <c r="D43" i="32"/>
  <c r="AC43" i="32" s="1"/>
  <c r="D45" i="32"/>
  <c r="D47" i="32"/>
  <c r="J127" i="31"/>
  <c r="N127" i="31"/>
  <c r="R127" i="31"/>
  <c r="V127" i="31"/>
  <c r="Z127" i="31"/>
  <c r="AD127" i="31"/>
  <c r="AH127" i="31"/>
  <c r="AL127" i="31"/>
  <c r="AP127" i="31"/>
  <c r="AT127" i="31"/>
  <c r="B128" i="31"/>
  <c r="F128" i="31"/>
  <c r="K128" i="31"/>
  <c r="O128" i="31"/>
  <c r="S128" i="31"/>
  <c r="W128" i="31"/>
  <c r="AA128" i="31"/>
  <c r="AE128" i="31"/>
  <c r="AI128" i="31"/>
  <c r="AM128" i="31"/>
  <c r="AQ128" i="31"/>
  <c r="AU128" i="31"/>
  <c r="BC128" i="31"/>
  <c r="G129" i="31"/>
  <c r="AC32" i="32"/>
  <c r="D33" i="32"/>
  <c r="G128" i="31"/>
  <c r="B31" i="32"/>
  <c r="AC37" i="32"/>
  <c r="AC45" i="32"/>
  <c r="AC47" i="32"/>
  <c r="B49" i="32"/>
  <c r="D49" i="32"/>
  <c r="AC49" i="32" s="1"/>
  <c r="B62" i="32"/>
  <c r="B32" i="32"/>
  <c r="B34" i="32"/>
  <c r="D51" i="32"/>
  <c r="AC51" i="32" s="1"/>
  <c r="D53" i="32"/>
  <c r="AC53" i="32" s="1"/>
  <c r="D55" i="32"/>
  <c r="AC55" i="32" s="1"/>
  <c r="D57" i="32"/>
  <c r="AC57" i="32" s="1"/>
  <c r="D62" i="32"/>
  <c r="AC62" i="32" s="1"/>
  <c r="D60" i="32"/>
  <c r="D48" i="32"/>
  <c r="AC48" i="32" s="1"/>
  <c r="D50" i="32"/>
  <c r="AC50" i="32" s="1"/>
  <c r="B51" i="32"/>
  <c r="D52" i="32"/>
  <c r="AC52" i="32" s="1"/>
  <c r="B53" i="32"/>
  <c r="D54" i="32"/>
  <c r="AC54" i="32" s="1"/>
  <c r="B55" i="32"/>
  <c r="D56" i="32"/>
  <c r="AC56" i="32" s="1"/>
  <c r="B57" i="32"/>
  <c r="D58" i="32"/>
  <c r="AC58" i="32" s="1"/>
  <c r="B64" i="32"/>
  <c r="B66" i="32"/>
  <c r="AC68" i="32"/>
  <c r="AC70" i="32"/>
  <c r="B76" i="32"/>
  <c r="D76" i="32"/>
  <c r="AC76" i="32" s="1"/>
  <c r="B80" i="32"/>
  <c r="D80" i="32"/>
  <c r="AC80" i="32" s="1"/>
  <c r="B84" i="32"/>
  <c r="D84" i="32"/>
  <c r="AC84" i="32" s="1"/>
  <c r="B88" i="32"/>
  <c r="D88" i="32"/>
  <c r="AC88" i="32" s="1"/>
  <c r="B92" i="32"/>
  <c r="D92" i="32"/>
  <c r="AC92" i="32" s="1"/>
  <c r="D95" i="32"/>
  <c r="AC95" i="32" s="1"/>
  <c r="B95" i="32"/>
  <c r="D75" i="32"/>
  <c r="AC75" i="32" s="1"/>
  <c r="B75" i="32"/>
  <c r="D79" i="32"/>
  <c r="AC79" i="32" s="1"/>
  <c r="B79" i="32"/>
  <c r="D83" i="32"/>
  <c r="B83" i="32"/>
  <c r="D87" i="32"/>
  <c r="AC87" i="32" s="1"/>
  <c r="B87" i="32"/>
  <c r="D91" i="32"/>
  <c r="AC91" i="32" s="1"/>
  <c r="B91" i="32"/>
  <c r="AC61" i="32"/>
  <c r="AC65" i="32"/>
  <c r="AC71" i="32"/>
  <c r="B74" i="32"/>
  <c r="D74" i="32"/>
  <c r="B78" i="32"/>
  <c r="D78" i="32"/>
  <c r="B82" i="32"/>
  <c r="D82" i="32"/>
  <c r="B86" i="32"/>
  <c r="D86" i="32"/>
  <c r="B90" i="32"/>
  <c r="D90" i="32"/>
  <c r="D63" i="32"/>
  <c r="B68" i="32"/>
  <c r="B70" i="32"/>
  <c r="B72" i="32"/>
  <c r="D73" i="32"/>
  <c r="B73" i="32"/>
  <c r="D77" i="32"/>
  <c r="B77" i="32"/>
  <c r="D81" i="32"/>
  <c r="B81" i="32"/>
  <c r="AC83" i="32"/>
  <c r="D85" i="32"/>
  <c r="B85" i="32"/>
  <c r="D89" i="32"/>
  <c r="B89" i="32"/>
  <c r="D93" i="32"/>
  <c r="B93" i="32"/>
  <c r="T98" i="32"/>
  <c r="P98" i="32"/>
  <c r="H98" i="32"/>
  <c r="D98" i="32"/>
  <c r="N98" i="32"/>
  <c r="S98" i="32"/>
  <c r="Z99" i="32"/>
  <c r="N99" i="32"/>
  <c r="J99" i="32"/>
  <c r="F99" i="32"/>
  <c r="B99" i="32"/>
  <c r="H99" i="32"/>
  <c r="M99" i="32"/>
  <c r="S99" i="32"/>
  <c r="Z101" i="32"/>
  <c r="N101" i="32"/>
  <c r="J101" i="32"/>
  <c r="F101" i="32"/>
  <c r="B101" i="32"/>
  <c r="U101" i="32"/>
  <c r="Q101" i="32"/>
  <c r="M101" i="32"/>
  <c r="K101" i="32"/>
  <c r="S101" i="32"/>
  <c r="D94" i="32"/>
  <c r="AC94" i="32" s="1"/>
  <c r="F96" i="32"/>
  <c r="K96" i="32"/>
  <c r="Q96" i="32"/>
  <c r="K97" i="32"/>
  <c r="P97" i="32"/>
  <c r="J98" i="32"/>
  <c r="U98" i="32"/>
  <c r="D99" i="32"/>
  <c r="T99" i="32"/>
  <c r="D101" i="32"/>
  <c r="AC101" i="32" s="1"/>
  <c r="T101" i="32"/>
  <c r="G103" i="32"/>
  <c r="Z105" i="32"/>
  <c r="N105" i="32"/>
  <c r="J105" i="32"/>
  <c r="F105" i="32"/>
  <c r="B105" i="32"/>
  <c r="U105" i="32"/>
  <c r="Q105" i="32"/>
  <c r="M105" i="32"/>
  <c r="T105" i="32"/>
  <c r="P105" i="32"/>
  <c r="H105" i="32"/>
  <c r="D105" i="32"/>
  <c r="AC105" i="32" s="1"/>
  <c r="S105" i="32"/>
  <c r="B94" i="32"/>
  <c r="T96" i="32"/>
  <c r="P96" i="32"/>
  <c r="H96" i="32"/>
  <c r="D96" i="32"/>
  <c r="AC96" i="32" s="1"/>
  <c r="N96" i="32"/>
  <c r="S96" i="32"/>
  <c r="Z97" i="32"/>
  <c r="N97" i="32"/>
  <c r="J97" i="32"/>
  <c r="F97" i="32"/>
  <c r="B97" i="32"/>
  <c r="H97" i="32"/>
  <c r="M97" i="32"/>
  <c r="S97" i="32"/>
  <c r="B98" i="32"/>
  <c r="G98" i="32"/>
  <c r="M98" i="32"/>
  <c r="AC98" i="32"/>
  <c r="G99" i="32"/>
  <c r="Q99" i="32"/>
  <c r="AC99" i="32"/>
  <c r="H101" i="32"/>
  <c r="P101" i="32"/>
  <c r="Z103" i="32"/>
  <c r="N103" i="32"/>
  <c r="J103" i="32"/>
  <c r="F103" i="32"/>
  <c r="B103" i="32"/>
  <c r="U103" i="32"/>
  <c r="Q103" i="32"/>
  <c r="M103" i="32"/>
  <c r="K103" i="32"/>
  <c r="S103" i="32"/>
  <c r="K105" i="32"/>
  <c r="Z109" i="32"/>
  <c r="N109" i="32"/>
  <c r="J109" i="32"/>
  <c r="F109" i="32"/>
  <c r="B109" i="32"/>
  <c r="U109" i="32"/>
  <c r="Q109" i="32"/>
  <c r="M109" i="32"/>
  <c r="T109" i="32"/>
  <c r="P109" i="32"/>
  <c r="H109" i="32"/>
  <c r="G109" i="32"/>
  <c r="D109" i="32"/>
  <c r="AC109" i="32" s="1"/>
  <c r="Z111" i="32"/>
  <c r="N111" i="32"/>
  <c r="J111" i="32"/>
  <c r="F111" i="32"/>
  <c r="B111" i="32"/>
  <c r="U111" i="32"/>
  <c r="Q111" i="32"/>
  <c r="M111" i="32"/>
  <c r="T111" i="32"/>
  <c r="P111" i="32"/>
  <c r="H111" i="32"/>
  <c r="D111" i="32"/>
  <c r="AC111" i="32" s="1"/>
  <c r="S111" i="32"/>
  <c r="G100" i="32"/>
  <c r="K100" i="32"/>
  <c r="S100" i="32"/>
  <c r="G102" i="32"/>
  <c r="K102" i="32"/>
  <c r="S102" i="32"/>
  <c r="G104" i="32"/>
  <c r="K104" i="32"/>
  <c r="S104" i="32"/>
  <c r="G106" i="32"/>
  <c r="K106" i="32"/>
  <c r="S106" i="32"/>
  <c r="G111" i="32"/>
  <c r="Z113" i="32"/>
  <c r="N113" i="32"/>
  <c r="J113" i="32"/>
  <c r="F113" i="32"/>
  <c r="B113" i="32"/>
  <c r="U113" i="32"/>
  <c r="Q113" i="32"/>
  <c r="M113" i="32"/>
  <c r="T113" i="32"/>
  <c r="P113" i="32"/>
  <c r="H113" i="32"/>
  <c r="D113" i="32"/>
  <c r="S113" i="32"/>
  <c r="D100" i="32"/>
  <c r="H100" i="32"/>
  <c r="P100" i="32"/>
  <c r="D102" i="32"/>
  <c r="AC102" i="32" s="1"/>
  <c r="H102" i="32"/>
  <c r="P102" i="32"/>
  <c r="D104" i="32"/>
  <c r="H104" i="32"/>
  <c r="P104" i="32"/>
  <c r="D106" i="32"/>
  <c r="AC106" i="32" s="1"/>
  <c r="H106" i="32"/>
  <c r="P106" i="32"/>
  <c r="T106" i="32"/>
  <c r="U107" i="32"/>
  <c r="Q107" i="32"/>
  <c r="M107" i="32"/>
  <c r="H107" i="32"/>
  <c r="I107" i="32" s="1"/>
  <c r="N107" i="32"/>
  <c r="S107" i="32"/>
  <c r="K111" i="32"/>
  <c r="G113" i="32"/>
  <c r="AC116" i="32"/>
  <c r="U114" i="32"/>
  <c r="Q114" i="32"/>
  <c r="M114" i="32"/>
  <c r="H114" i="32"/>
  <c r="N114" i="32"/>
  <c r="S114" i="32"/>
  <c r="F116" i="32"/>
  <c r="K116" i="32"/>
  <c r="P116" i="32"/>
  <c r="Z116" i="32"/>
  <c r="U118" i="32"/>
  <c r="Q118" i="32"/>
  <c r="M118" i="32"/>
  <c r="H118" i="32"/>
  <c r="N118" i="32"/>
  <c r="S118" i="32"/>
  <c r="F120" i="32"/>
  <c r="K120" i="32"/>
  <c r="P120" i="32"/>
  <c r="Z120" i="32"/>
  <c r="U122" i="32"/>
  <c r="Q122" i="32"/>
  <c r="M122" i="32"/>
  <c r="H122" i="32"/>
  <c r="N122" i="32"/>
  <c r="S122" i="32"/>
  <c r="F124" i="32"/>
  <c r="K124" i="32"/>
  <c r="P124" i="32"/>
  <c r="Z124" i="32"/>
  <c r="U126" i="32"/>
  <c r="Q126" i="32"/>
  <c r="M126" i="32"/>
  <c r="H126" i="32"/>
  <c r="N126" i="32"/>
  <c r="S126" i="32"/>
  <c r="F128" i="32"/>
  <c r="K128" i="32"/>
  <c r="P128" i="32"/>
  <c r="Z128" i="32"/>
  <c r="G108" i="32"/>
  <c r="K108" i="32"/>
  <c r="S108" i="32"/>
  <c r="G110" i="32"/>
  <c r="K110" i="32"/>
  <c r="S110" i="32"/>
  <c r="G112" i="32"/>
  <c r="K112" i="32"/>
  <c r="S112" i="32"/>
  <c r="D114" i="32"/>
  <c r="AC114" i="32" s="1"/>
  <c r="J114" i="32"/>
  <c r="T114" i="32"/>
  <c r="B116" i="32"/>
  <c r="G116" i="32"/>
  <c r="D118" i="32"/>
  <c r="AC118" i="32" s="1"/>
  <c r="J118" i="32"/>
  <c r="T118" i="32"/>
  <c r="B120" i="32"/>
  <c r="G120" i="32"/>
  <c r="D122" i="32"/>
  <c r="AC122" i="32" s="1"/>
  <c r="J122" i="32"/>
  <c r="T122" i="32"/>
  <c r="AC123" i="32"/>
  <c r="B124" i="32"/>
  <c r="G124" i="32"/>
  <c r="D126" i="32"/>
  <c r="AC126" i="32" s="1"/>
  <c r="J126" i="32"/>
  <c r="T126" i="32"/>
  <c r="AC127" i="32"/>
  <c r="B128" i="32"/>
  <c r="G128" i="32"/>
  <c r="F114" i="32"/>
  <c r="K114" i="32"/>
  <c r="P114" i="32"/>
  <c r="Z114" i="32"/>
  <c r="U116" i="32"/>
  <c r="Q116" i="32"/>
  <c r="M116" i="32"/>
  <c r="H116" i="32"/>
  <c r="N116" i="32"/>
  <c r="S116" i="32"/>
  <c r="F118" i="32"/>
  <c r="K118" i="32"/>
  <c r="P118" i="32"/>
  <c r="Z118" i="32"/>
  <c r="U120" i="32"/>
  <c r="Q120" i="32"/>
  <c r="M120" i="32"/>
  <c r="H120" i="32"/>
  <c r="N120" i="32"/>
  <c r="S120" i="32"/>
  <c r="F122" i="32"/>
  <c r="K122" i="32"/>
  <c r="P122" i="32"/>
  <c r="Z122" i="32"/>
  <c r="U124" i="32"/>
  <c r="Q124" i="32"/>
  <c r="M124" i="32"/>
  <c r="H124" i="32"/>
  <c r="N124" i="32"/>
  <c r="S124" i="32"/>
  <c r="F126" i="32"/>
  <c r="K126" i="32"/>
  <c r="P126" i="32"/>
  <c r="Z126" i="32"/>
  <c r="U128" i="32"/>
  <c r="Q128" i="32"/>
  <c r="M128" i="32"/>
  <c r="H128" i="32"/>
  <c r="N128" i="32"/>
  <c r="S128" i="32"/>
  <c r="G115" i="32"/>
  <c r="K115" i="32"/>
  <c r="S115" i="32"/>
  <c r="G117" i="32"/>
  <c r="K117" i="32"/>
  <c r="S117" i="32"/>
  <c r="G119" i="32"/>
  <c r="K119" i="32"/>
  <c r="S119" i="32"/>
  <c r="G121" i="32"/>
  <c r="K121" i="32"/>
  <c r="S121" i="32"/>
  <c r="G123" i="32"/>
  <c r="K123" i="32"/>
  <c r="S123" i="32"/>
  <c r="G125" i="32"/>
  <c r="K125" i="32"/>
  <c r="S125" i="32"/>
  <c r="G127" i="32"/>
  <c r="K127" i="32"/>
  <c r="S127" i="32"/>
  <c r="G129" i="32"/>
  <c r="K129" i="32"/>
  <c r="S129" i="32"/>
  <c r="I110" i="32" l="1"/>
  <c r="L110" i="32" s="1"/>
  <c r="O110" i="32" s="1"/>
  <c r="R110" i="32" s="1"/>
  <c r="L107" i="32"/>
  <c r="O107" i="32" s="1"/>
  <c r="R107" i="32" s="1"/>
  <c r="I102" i="32"/>
  <c r="I103" i="32"/>
  <c r="L103" i="32" s="1"/>
  <c r="O103" i="32" s="1"/>
  <c r="R103" i="32" s="1"/>
  <c r="L112" i="32"/>
  <c r="O112" i="32" s="1"/>
  <c r="I100" i="32"/>
  <c r="L100" i="32" s="1"/>
  <c r="O100" i="32" s="1"/>
  <c r="L121" i="32"/>
  <c r="O121" i="32" s="1"/>
  <c r="V39" i="30"/>
  <c r="D67" i="31" s="1"/>
  <c r="I115" i="32"/>
  <c r="L115" i="32" s="1"/>
  <c r="O115" i="32" s="1"/>
  <c r="V29" i="30"/>
  <c r="D57" i="31" s="1"/>
  <c r="V20" i="30"/>
  <c r="D48" i="31" s="1"/>
  <c r="V60" i="30"/>
  <c r="D88" i="31" s="1"/>
  <c r="V65" i="30"/>
  <c r="D93" i="31" s="1"/>
  <c r="V25" i="30"/>
  <c r="D53" i="31" s="1"/>
  <c r="V24" i="30"/>
  <c r="D52" i="31" s="1"/>
  <c r="V3" i="30"/>
  <c r="D31" i="31" s="1"/>
  <c r="V43" i="30"/>
  <c r="D71" i="31" s="1"/>
  <c r="V49" i="30"/>
  <c r="D77" i="31" s="1"/>
  <c r="V9" i="30"/>
  <c r="D37" i="31" s="1"/>
  <c r="V40" i="30"/>
  <c r="D68" i="31" s="1"/>
  <c r="V19" i="30"/>
  <c r="D47" i="31" s="1"/>
  <c r="V59" i="30"/>
  <c r="D87" i="31" s="1"/>
  <c r="V45" i="30"/>
  <c r="D73" i="31" s="1"/>
  <c r="V4" i="30"/>
  <c r="D32" i="31" s="1"/>
  <c r="V44" i="30"/>
  <c r="D72" i="31" s="1"/>
  <c r="V23" i="30"/>
  <c r="D51" i="31" s="1"/>
  <c r="V67" i="30"/>
  <c r="D95" i="31" s="1"/>
  <c r="V42" i="30"/>
  <c r="D70" i="31" s="1"/>
  <c r="L117" i="32"/>
  <c r="O117" i="32" s="1"/>
  <c r="R117" i="32" s="1"/>
  <c r="L129" i="32"/>
  <c r="O129" i="32" s="1"/>
  <c r="L125" i="32"/>
  <c r="O125" i="32" s="1"/>
  <c r="R125" i="32" s="1"/>
  <c r="I119" i="32"/>
  <c r="L119" i="32" s="1"/>
  <c r="O119" i="32" s="1"/>
  <c r="R119" i="32" s="1"/>
  <c r="AC119" i="32"/>
  <c r="I108" i="32"/>
  <c r="L123" i="32"/>
  <c r="O123" i="32" s="1"/>
  <c r="I101" i="32"/>
  <c r="L101" i="32" s="1"/>
  <c r="L127" i="32"/>
  <c r="O127" i="32" s="1"/>
  <c r="R127" i="32" s="1"/>
  <c r="I106" i="32"/>
  <c r="L106" i="32" s="1"/>
  <c r="V57" i="30"/>
  <c r="D85" i="31" s="1"/>
  <c r="V33" i="30"/>
  <c r="D61" i="31" s="1"/>
  <c r="V13" i="30"/>
  <c r="D41" i="31" s="1"/>
  <c r="V12" i="30"/>
  <c r="D40" i="31" s="1"/>
  <c r="V36" i="30"/>
  <c r="D64" i="31" s="1"/>
  <c r="V56" i="30"/>
  <c r="D84" i="31" s="1"/>
  <c r="V11" i="30"/>
  <c r="D39" i="31" s="1"/>
  <c r="V35" i="30"/>
  <c r="D63" i="31" s="1"/>
  <c r="V55" i="30"/>
  <c r="D83" i="31" s="1"/>
  <c r="V66" i="30"/>
  <c r="D94" i="31" s="1"/>
  <c r="V10" i="30"/>
  <c r="D38" i="31" s="1"/>
  <c r="V46" i="30"/>
  <c r="D74" i="31" s="1"/>
  <c r="V58" i="30"/>
  <c r="D86" i="31" s="1"/>
  <c r="V61" i="30"/>
  <c r="D89" i="31" s="1"/>
  <c r="V41" i="30"/>
  <c r="D69" i="31" s="1"/>
  <c r="V17" i="30"/>
  <c r="D45" i="31" s="1"/>
  <c r="V8" i="30"/>
  <c r="D36" i="31" s="1"/>
  <c r="V28" i="30"/>
  <c r="D56" i="31" s="1"/>
  <c r="V52" i="30"/>
  <c r="D80" i="31" s="1"/>
  <c r="V7" i="30"/>
  <c r="D35" i="31" s="1"/>
  <c r="V27" i="30"/>
  <c r="D55" i="31" s="1"/>
  <c r="V51" i="30"/>
  <c r="D79" i="31" s="1"/>
  <c r="V26" i="30"/>
  <c r="D54" i="31" s="1"/>
  <c r="V38" i="30"/>
  <c r="D66" i="31" s="1"/>
  <c r="V53" i="30"/>
  <c r="D81" i="31" s="1"/>
  <c r="V37" i="30"/>
  <c r="D65" i="31" s="1"/>
  <c r="V21" i="30"/>
  <c r="D49" i="31" s="1"/>
  <c r="V5" i="30"/>
  <c r="D33" i="31" s="1"/>
  <c r="V16" i="30"/>
  <c r="D44" i="31" s="1"/>
  <c r="V32" i="30"/>
  <c r="D60" i="31" s="1"/>
  <c r="V48" i="30"/>
  <c r="D76" i="31" s="1"/>
  <c r="V64" i="30"/>
  <c r="D92" i="31" s="1"/>
  <c r="V15" i="30"/>
  <c r="D43" i="31" s="1"/>
  <c r="V31" i="30"/>
  <c r="D59" i="31" s="1"/>
  <c r="V47" i="30"/>
  <c r="D75" i="31" s="1"/>
  <c r="V63" i="30"/>
  <c r="D91" i="31" s="1"/>
  <c r="V62" i="30"/>
  <c r="D90" i="31" s="1"/>
  <c r="V34" i="30"/>
  <c r="D62" i="31" s="1"/>
  <c r="V30" i="30"/>
  <c r="D58" i="31" s="1"/>
  <c r="V14" i="30"/>
  <c r="D42" i="31" s="1"/>
  <c r="I124" i="32"/>
  <c r="L124" i="32" s="1"/>
  <c r="I116" i="32"/>
  <c r="L116" i="32" s="1"/>
  <c r="V18" i="30"/>
  <c r="D46" i="31" s="1"/>
  <c r="I97" i="32"/>
  <c r="L97" i="32" s="1"/>
  <c r="O97" i="32" s="1"/>
  <c r="V50" i="30"/>
  <c r="D78" i="31" s="1"/>
  <c r="V22" i="30"/>
  <c r="D50" i="31" s="1"/>
  <c r="V54" i="30"/>
  <c r="D82" i="31" s="1"/>
  <c r="I128" i="32"/>
  <c r="L128" i="32" s="1"/>
  <c r="I120" i="32"/>
  <c r="L120" i="32" s="1"/>
  <c r="I111" i="32"/>
  <c r="L111" i="32" s="1"/>
  <c r="I118" i="32"/>
  <c r="L118" i="32" s="1"/>
  <c r="O118" i="32" s="1"/>
  <c r="R118" i="32" s="1"/>
  <c r="AC89" i="32"/>
  <c r="AC85" i="32"/>
  <c r="AC81" i="32"/>
  <c r="AC77" i="32"/>
  <c r="AC73" i="32"/>
  <c r="AC82" i="32"/>
  <c r="AC63" i="32"/>
  <c r="I122" i="32"/>
  <c r="AC113" i="32"/>
  <c r="AC104" i="32"/>
  <c r="AC100" i="32"/>
  <c r="I105" i="32"/>
  <c r="L105" i="32" s="1"/>
  <c r="AC86" i="32"/>
  <c r="I126" i="32"/>
  <c r="L126" i="32" s="1"/>
  <c r="I113" i="32"/>
  <c r="L113" i="32" s="1"/>
  <c r="I109" i="32"/>
  <c r="L109" i="32" s="1"/>
  <c r="I96" i="32"/>
  <c r="I99" i="32"/>
  <c r="L99" i="32" s="1"/>
  <c r="O99" i="32" s="1"/>
  <c r="AC90" i="32"/>
  <c r="AC74" i="32"/>
  <c r="AC33" i="32"/>
  <c r="I114" i="32"/>
  <c r="L114" i="32" s="1"/>
  <c r="I104" i="32"/>
  <c r="L102" i="32"/>
  <c r="I98" i="32"/>
  <c r="L98" i="32" s="1"/>
  <c r="AC78" i="32"/>
  <c r="AC93" i="32"/>
  <c r="AC60" i="32"/>
  <c r="D130" i="32"/>
  <c r="F130" i="31"/>
  <c r="R112" i="32" l="1"/>
  <c r="R129" i="32"/>
  <c r="R121" i="32"/>
  <c r="L108" i="32"/>
  <c r="O108" i="32" s="1"/>
  <c r="R108" i="32" s="1"/>
  <c r="R123" i="32"/>
  <c r="R115" i="32"/>
  <c r="O124" i="32"/>
  <c r="R124" i="32" s="1"/>
  <c r="V68" i="30"/>
  <c r="D130" i="31" s="1"/>
  <c r="O105" i="32"/>
  <c r="R105" i="32" s="1"/>
  <c r="O126" i="32"/>
  <c r="R126" i="32" s="1"/>
  <c r="R100" i="32"/>
  <c r="O128" i="32"/>
  <c r="R128" i="32" s="1"/>
  <c r="O111" i="32"/>
  <c r="R111" i="32" s="1"/>
  <c r="L122" i="32"/>
  <c r="O120" i="32"/>
  <c r="R120" i="32" s="1"/>
  <c r="O113" i="32"/>
  <c r="R113" i="32" s="1"/>
  <c r="G62" i="31"/>
  <c r="G59" i="31"/>
  <c r="G67" i="31"/>
  <c r="G32" i="31"/>
  <c r="G31" i="31"/>
  <c r="G39" i="31"/>
  <c r="G41" i="31"/>
  <c r="G53" i="31"/>
  <c r="G80" i="31"/>
  <c r="G52" i="31"/>
  <c r="G90" i="31"/>
  <c r="G47" i="31"/>
  <c r="G58" i="31"/>
  <c r="G87" i="31"/>
  <c r="G70" i="31"/>
  <c r="G78" i="31"/>
  <c r="G86" i="31"/>
  <c r="G61" i="31"/>
  <c r="G81" i="31"/>
  <c r="G92" i="31"/>
  <c r="G45" i="31"/>
  <c r="G33" i="31"/>
  <c r="G36" i="31"/>
  <c r="G50" i="31"/>
  <c r="G93" i="31"/>
  <c r="G49" i="31"/>
  <c r="G63" i="31"/>
  <c r="G94" i="31"/>
  <c r="G56" i="31"/>
  <c r="G55" i="31"/>
  <c r="G79" i="31"/>
  <c r="G65" i="31"/>
  <c r="G35" i="31"/>
  <c r="G44" i="31"/>
  <c r="G89" i="31"/>
  <c r="G95" i="31"/>
  <c r="G66" i="31"/>
  <c r="G75" i="31"/>
  <c r="G74" i="31"/>
  <c r="G82" i="31"/>
  <c r="G69" i="31"/>
  <c r="G73" i="31"/>
  <c r="G77" i="31"/>
  <c r="G85" i="31"/>
  <c r="G46" i="31"/>
  <c r="G37" i="31"/>
  <c r="G57" i="31"/>
  <c r="G71" i="31"/>
  <c r="G43" i="31"/>
  <c r="G51" i="31"/>
  <c r="G64" i="31"/>
  <c r="G83" i="31"/>
  <c r="G88" i="31"/>
  <c r="L104" i="32"/>
  <c r="O104" i="32" s="1"/>
  <c r="R104" i="32" s="1"/>
  <c r="R99" i="32"/>
  <c r="G34" i="31"/>
  <c r="O116" i="32"/>
  <c r="R116" i="32" s="1"/>
  <c r="G60" i="31"/>
  <c r="G84" i="31"/>
  <c r="G91" i="31"/>
  <c r="G48" i="31"/>
  <c r="L96" i="32"/>
  <c r="O109" i="32"/>
  <c r="R109" i="32" s="1"/>
  <c r="O101" i="32"/>
  <c r="R101" i="32" s="1"/>
  <c r="O114" i="32"/>
  <c r="R114" i="32" s="1"/>
  <c r="G40" i="31"/>
  <c r="R97" i="32"/>
  <c r="G54" i="31"/>
  <c r="G42" i="31"/>
  <c r="G72" i="31"/>
  <c r="G68" i="31"/>
  <c r="O102" i="32"/>
  <c r="R102" i="32" s="1"/>
  <c r="G38" i="31"/>
  <c r="O98" i="32"/>
  <c r="R98" i="32" s="1"/>
  <c r="G76" i="31"/>
  <c r="O106" i="32"/>
  <c r="R106" i="32" s="1"/>
  <c r="E31" i="31" l="1"/>
  <c r="I31" i="31" s="1"/>
  <c r="O122" i="32"/>
  <c r="R122" i="32" s="1"/>
  <c r="O96" i="32"/>
  <c r="R96" i="32" s="1"/>
  <c r="G130" i="31"/>
  <c r="E123" i="31"/>
  <c r="E34" i="31"/>
  <c r="I34" i="31" s="1"/>
  <c r="E103" i="31"/>
  <c r="E126" i="31"/>
  <c r="E38" i="31"/>
  <c r="I38" i="31" s="1"/>
  <c r="E111" i="31"/>
  <c r="E117" i="31"/>
  <c r="E119" i="31"/>
  <c r="E90" i="31"/>
  <c r="I90" i="31" s="1"/>
  <c r="E115" i="31"/>
  <c r="E107" i="31"/>
  <c r="E99" i="31"/>
  <c r="E125" i="31"/>
  <c r="E129" i="31"/>
  <c r="E122" i="31"/>
  <c r="E121" i="31"/>
  <c r="E118" i="31"/>
  <c r="E86" i="31"/>
  <c r="I86" i="31" s="1"/>
  <c r="E89" i="31"/>
  <c r="I89" i="31" s="1"/>
  <c r="E46" i="31"/>
  <c r="I46" i="31" s="1"/>
  <c r="E85" i="31"/>
  <c r="I85" i="31" s="1"/>
  <c r="E76" i="31"/>
  <c r="I76" i="31" s="1"/>
  <c r="E112" i="31"/>
  <c r="E116" i="31"/>
  <c r="E79" i="31"/>
  <c r="I79" i="31" s="1"/>
  <c r="E75" i="31"/>
  <c r="I75" i="31" s="1"/>
  <c r="E33" i="31"/>
  <c r="I33" i="31" s="1"/>
  <c r="E101" i="31"/>
  <c r="E82" i="31"/>
  <c r="I82" i="31" s="1"/>
  <c r="E32" i="31"/>
  <c r="I32" i="31" s="1"/>
  <c r="E45" i="31"/>
  <c r="I45" i="31" s="1"/>
  <c r="E124" i="31"/>
  <c r="E84" i="31"/>
  <c r="I84" i="31" s="1"/>
  <c r="E97" i="31"/>
  <c r="E73" i="31"/>
  <c r="I73" i="31" s="1"/>
  <c r="E39" i="31"/>
  <c r="I39" i="31" s="1"/>
  <c r="E43" i="31"/>
  <c r="I43" i="31" s="1"/>
  <c r="E100" i="31"/>
  <c r="E67" i="31"/>
  <c r="I67" i="31" s="1"/>
  <c r="E65" i="31"/>
  <c r="I65" i="31" s="1"/>
  <c r="E94" i="31"/>
  <c r="I94" i="31" s="1"/>
  <c r="E77" i="31"/>
  <c r="I77" i="31" s="1"/>
  <c r="E114" i="31"/>
  <c r="E87" i="31"/>
  <c r="I87" i="31" s="1"/>
  <c r="E93" i="31"/>
  <c r="I93" i="31" s="1"/>
  <c r="E61" i="31"/>
  <c r="I61" i="31" s="1"/>
  <c r="E83" i="31"/>
  <c r="I83" i="31" s="1"/>
  <c r="E40" i="31"/>
  <c r="I40" i="31" s="1"/>
  <c r="E120" i="31"/>
  <c r="E109" i="31"/>
  <c r="E78" i="31"/>
  <c r="I78" i="31" s="1"/>
  <c r="E66" i="31"/>
  <c r="I66" i="31" s="1"/>
  <c r="E48" i="31"/>
  <c r="I48" i="31" s="1"/>
  <c r="E37" i="31"/>
  <c r="I37" i="31" s="1"/>
  <c r="E69" i="31"/>
  <c r="I69" i="31" s="1"/>
  <c r="E92" i="31"/>
  <c r="I92" i="31" s="1"/>
  <c r="E108" i="31"/>
  <c r="E105" i="31"/>
  <c r="E54" i="31"/>
  <c r="I54" i="31" s="1"/>
  <c r="E81" i="31"/>
  <c r="I81" i="31" s="1"/>
  <c r="E106" i="31"/>
  <c r="E63" i="31"/>
  <c r="I63" i="31" s="1"/>
  <c r="E50" i="31"/>
  <c r="I50" i="31" s="1"/>
  <c r="E68" i="31"/>
  <c r="I68" i="31" s="1"/>
  <c r="E104" i="31"/>
  <c r="E71" i="31"/>
  <c r="I71" i="31" s="1"/>
  <c r="E57" i="31"/>
  <c r="I57" i="31" s="1"/>
  <c r="E55" i="31"/>
  <c r="I55" i="31" s="1"/>
  <c r="E53" i="31"/>
  <c r="I53" i="31" s="1"/>
  <c r="E91" i="31"/>
  <c r="I91" i="31" s="1"/>
  <c r="E95" i="31"/>
  <c r="I95" i="31" s="1"/>
  <c r="E47" i="31"/>
  <c r="I47" i="31" s="1"/>
  <c r="E62" i="31"/>
  <c r="I62" i="31" s="1"/>
  <c r="E35" i="31"/>
  <c r="I35" i="31" s="1"/>
  <c r="E72" i="31"/>
  <c r="I72" i="31" s="1"/>
  <c r="E41" i="31"/>
  <c r="I41" i="31" s="1"/>
  <c r="E98" i="31"/>
  <c r="E70" i="31"/>
  <c r="I70" i="31" s="1"/>
  <c r="E36" i="31"/>
  <c r="I36" i="31" s="1"/>
  <c r="E44" i="31"/>
  <c r="I44" i="31" s="1"/>
  <c r="E60" i="31"/>
  <c r="I60" i="31" s="1"/>
  <c r="E59" i="31"/>
  <c r="I59" i="31" s="1"/>
  <c r="E96" i="31"/>
  <c r="E56" i="31"/>
  <c r="I56" i="31" s="1"/>
  <c r="E58" i="31"/>
  <c r="I58" i="31" s="1"/>
  <c r="E49" i="31"/>
  <c r="I49" i="31" s="1"/>
  <c r="E110" i="31"/>
  <c r="E80" i="31"/>
  <c r="I80" i="31" s="1"/>
  <c r="E51" i="31"/>
  <c r="I51" i="31" s="1"/>
  <c r="E52" i="31"/>
  <c r="I52" i="31" s="1"/>
  <c r="E88" i="31"/>
  <c r="I88" i="31" s="1"/>
  <c r="E113" i="31"/>
  <c r="E128" i="31"/>
  <c r="E127" i="31"/>
  <c r="E102" i="31"/>
  <c r="E74" i="31"/>
  <c r="I74" i="31" s="1"/>
  <c r="E64" i="31"/>
  <c r="I64" i="31" s="1"/>
  <c r="E42" i="31"/>
  <c r="I42" i="31" s="1"/>
  <c r="J44" i="31" l="1"/>
  <c r="K44" i="31" s="1"/>
  <c r="J68" i="31"/>
  <c r="K68" i="31" s="1"/>
  <c r="J88" i="31"/>
  <c r="K88" i="31" s="1"/>
  <c r="J36" i="31"/>
  <c r="K36" i="31" s="1"/>
  <c r="J72" i="31"/>
  <c r="K72" i="31" s="1"/>
  <c r="J95" i="31"/>
  <c r="K95" i="31" s="1"/>
  <c r="J57" i="31"/>
  <c r="K57" i="31" s="1"/>
  <c r="J50" i="31"/>
  <c r="K50" i="31" s="1"/>
  <c r="J54" i="31"/>
  <c r="K54" i="31" s="1"/>
  <c r="J69" i="31"/>
  <c r="K69" i="31" s="1"/>
  <c r="J78" i="31"/>
  <c r="K78" i="31" s="1"/>
  <c r="J83" i="31"/>
  <c r="K83" i="31" s="1"/>
  <c r="J67" i="31"/>
  <c r="K67" i="31" s="1"/>
  <c r="J73" i="31"/>
  <c r="K73" i="31" s="1"/>
  <c r="J45" i="31"/>
  <c r="K45" i="31" s="1"/>
  <c r="J33" i="31"/>
  <c r="K33" i="31" s="1"/>
  <c r="J89" i="31"/>
  <c r="K89" i="31" s="1"/>
  <c r="J80" i="31"/>
  <c r="K80" i="31" s="1"/>
  <c r="J47" i="31"/>
  <c r="K47" i="31" s="1"/>
  <c r="J92" i="31"/>
  <c r="K92" i="31" s="1"/>
  <c r="J42" i="31"/>
  <c r="K42" i="31" s="1"/>
  <c r="J52" i="31"/>
  <c r="K52" i="31" s="1"/>
  <c r="J49" i="31"/>
  <c r="K49" i="31" s="1"/>
  <c r="J59" i="31"/>
  <c r="K59" i="31" s="1"/>
  <c r="J70" i="31"/>
  <c r="K70" i="31" s="1"/>
  <c r="J35" i="31"/>
  <c r="K35" i="31" s="1"/>
  <c r="J91" i="31"/>
  <c r="K91" i="31" s="1"/>
  <c r="J71" i="31"/>
  <c r="K71" i="31" s="1"/>
  <c r="J63" i="31"/>
  <c r="K63" i="31" s="1"/>
  <c r="J37" i="31"/>
  <c r="K37" i="31" s="1"/>
  <c r="J61" i="31"/>
  <c r="K61" i="31" s="1"/>
  <c r="J77" i="31"/>
  <c r="K77" i="31" s="1"/>
  <c r="J32" i="31"/>
  <c r="K32" i="31" s="1"/>
  <c r="J75" i="31"/>
  <c r="K75" i="31" s="1"/>
  <c r="J76" i="31"/>
  <c r="K76" i="31" s="1"/>
  <c r="J86" i="31"/>
  <c r="K86" i="31" s="1"/>
  <c r="J34" i="31"/>
  <c r="K34" i="31" s="1"/>
  <c r="I130" i="31"/>
  <c r="J31" i="31"/>
  <c r="J74" i="31"/>
  <c r="K74" i="31" s="1"/>
  <c r="J41" i="31"/>
  <c r="K41" i="31" s="1"/>
  <c r="J81" i="31"/>
  <c r="K81" i="31" s="1"/>
  <c r="J64" i="31"/>
  <c r="K64" i="31" s="1"/>
  <c r="J51" i="31"/>
  <c r="K51" i="31" s="1"/>
  <c r="J58" i="31"/>
  <c r="K58" i="31" s="1"/>
  <c r="J60" i="31"/>
  <c r="K60" i="31" s="1"/>
  <c r="J62" i="31"/>
  <c r="K62" i="31" s="1"/>
  <c r="J53" i="31"/>
  <c r="K53" i="31" s="1"/>
  <c r="J48" i="31"/>
  <c r="K48" i="31" s="1"/>
  <c r="J93" i="31"/>
  <c r="K93" i="31" s="1"/>
  <c r="J94" i="31"/>
  <c r="K94" i="31" s="1"/>
  <c r="J43" i="31"/>
  <c r="K43" i="31" s="1"/>
  <c r="J84" i="31"/>
  <c r="K84" i="31" s="1"/>
  <c r="J82" i="31"/>
  <c r="K82" i="31" s="1"/>
  <c r="J79" i="31"/>
  <c r="K79" i="31" s="1"/>
  <c r="J85" i="31"/>
  <c r="K85" i="31" s="1"/>
  <c r="J90" i="31"/>
  <c r="K90" i="31" s="1"/>
  <c r="J38" i="31"/>
  <c r="K38" i="31" s="1"/>
  <c r="E130" i="31"/>
  <c r="J56" i="31"/>
  <c r="K56" i="31" s="1"/>
  <c r="J55" i="31"/>
  <c r="K55" i="31" s="1"/>
  <c r="J66" i="31"/>
  <c r="K66" i="31" s="1"/>
  <c r="J40" i="31"/>
  <c r="K40" i="31" s="1"/>
  <c r="J87" i="31"/>
  <c r="K87" i="31" s="1"/>
  <c r="J65" i="31"/>
  <c r="K65" i="31" s="1"/>
  <c r="J39" i="31"/>
  <c r="K39" i="31" s="1"/>
  <c r="J46" i="31"/>
  <c r="K46" i="31" s="1"/>
  <c r="L84" i="31" l="1"/>
  <c r="M84" i="31" s="1"/>
  <c r="N84" i="31" s="1"/>
  <c r="O84" i="31" s="1"/>
  <c r="L48" i="31"/>
  <c r="M48" i="31" s="1"/>
  <c r="N48" i="31" s="1"/>
  <c r="O48" i="31" s="1"/>
  <c r="L41" i="31"/>
  <c r="M41" i="31" s="1"/>
  <c r="N41" i="31" s="1"/>
  <c r="O41" i="31" s="1"/>
  <c r="J130" i="31"/>
  <c r="K31" i="31"/>
  <c r="L56" i="31" s="1"/>
  <c r="M56" i="31" s="1"/>
  <c r="L42" i="31"/>
  <c r="M42" i="31" s="1"/>
  <c r="L45" i="31"/>
  <c r="M45" i="31" s="1"/>
  <c r="L68" i="31"/>
  <c r="M68" i="31" s="1"/>
  <c r="L46" i="31"/>
  <c r="M46" i="31" s="1"/>
  <c r="L92" i="31"/>
  <c r="M92" i="31" s="1"/>
  <c r="L44" i="31"/>
  <c r="M44" i="31" s="1"/>
  <c r="L36" i="31" l="1"/>
  <c r="M36" i="31" s="1"/>
  <c r="L35" i="31"/>
  <c r="M35" i="31" s="1"/>
  <c r="L69" i="31"/>
  <c r="M69" i="31" s="1"/>
  <c r="L86" i="31"/>
  <c r="M86" i="31" s="1"/>
  <c r="N86" i="31" s="1"/>
  <c r="O86" i="31" s="1"/>
  <c r="L57" i="31"/>
  <c r="M57" i="31" s="1"/>
  <c r="L49" i="31"/>
  <c r="M49" i="31" s="1"/>
  <c r="L33" i="31"/>
  <c r="M33" i="31" s="1"/>
  <c r="N33" i="31" s="1"/>
  <c r="O33" i="31" s="1"/>
  <c r="L65" i="31"/>
  <c r="M65" i="31" s="1"/>
  <c r="N65" i="31" s="1"/>
  <c r="O65" i="31" s="1"/>
  <c r="L54" i="31"/>
  <c r="M54" i="31" s="1"/>
  <c r="L32" i="31"/>
  <c r="M32" i="31" s="1"/>
  <c r="N32" i="31" s="1"/>
  <c r="O32" i="31" s="1"/>
  <c r="L83" i="31"/>
  <c r="M83" i="31" s="1"/>
  <c r="L71" i="31"/>
  <c r="M71" i="31" s="1"/>
  <c r="L50" i="31"/>
  <c r="M50" i="31" s="1"/>
  <c r="L80" i="31"/>
  <c r="M80" i="31" s="1"/>
  <c r="N80" i="31" s="1"/>
  <c r="O80" i="31" s="1"/>
  <c r="L75" i="31"/>
  <c r="M75" i="31" s="1"/>
  <c r="N75" i="31" s="1"/>
  <c r="O75" i="31" s="1"/>
  <c r="L70" i="31"/>
  <c r="M70" i="31" s="1"/>
  <c r="N70" i="31" s="1"/>
  <c r="O70" i="31" s="1"/>
  <c r="L89" i="31"/>
  <c r="M89" i="31" s="1"/>
  <c r="L61" i="31"/>
  <c r="M61" i="31" s="1"/>
  <c r="N61" i="31" s="1"/>
  <c r="O61" i="31" s="1"/>
  <c r="L59" i="31"/>
  <c r="M59" i="31" s="1"/>
  <c r="N59" i="31" s="1"/>
  <c r="O59" i="31" s="1"/>
  <c r="L77" i="31"/>
  <c r="M77" i="31" s="1"/>
  <c r="N77" i="31" s="1"/>
  <c r="O77" i="31" s="1"/>
  <c r="L40" i="31"/>
  <c r="M40" i="31" s="1"/>
  <c r="N40" i="31" s="1"/>
  <c r="O40" i="31" s="1"/>
  <c r="L72" i="31"/>
  <c r="M72" i="31" s="1"/>
  <c r="N72" i="31" s="1"/>
  <c r="O72" i="31" s="1"/>
  <c r="L67" i="31"/>
  <c r="M67" i="31" s="1"/>
  <c r="N67" i="31" s="1"/>
  <c r="O67" i="31" s="1"/>
  <c r="L63" i="31"/>
  <c r="M63" i="31" s="1"/>
  <c r="N63" i="31" s="1"/>
  <c r="O63" i="31" s="1"/>
  <c r="L34" i="31"/>
  <c r="M34" i="31" s="1"/>
  <c r="N34" i="31" s="1"/>
  <c r="O34" i="31" s="1"/>
  <c r="L66" i="31"/>
  <c r="M66" i="31" s="1"/>
  <c r="N66" i="31" s="1"/>
  <c r="O66" i="31" s="1"/>
  <c r="L95" i="31"/>
  <c r="M95" i="31" s="1"/>
  <c r="N95" i="31" s="1"/>
  <c r="O95" i="31" s="1"/>
  <c r="L73" i="31"/>
  <c r="M73" i="31" s="1"/>
  <c r="N73" i="31" s="1"/>
  <c r="O73" i="31" s="1"/>
  <c r="L52" i="31"/>
  <c r="M52" i="31" s="1"/>
  <c r="N52" i="31" s="1"/>
  <c r="O52" i="31" s="1"/>
  <c r="L37" i="31"/>
  <c r="M37" i="31" s="1"/>
  <c r="N37" i="31" s="1"/>
  <c r="O37" i="31" s="1"/>
  <c r="L55" i="31"/>
  <c r="M55" i="31" s="1"/>
  <c r="N55" i="31" s="1"/>
  <c r="O55" i="31" s="1"/>
  <c r="L88" i="31"/>
  <c r="M88" i="31" s="1"/>
  <c r="N88" i="31" s="1"/>
  <c r="O88" i="31" s="1"/>
  <c r="L78" i="31"/>
  <c r="M78" i="31" s="1"/>
  <c r="N78" i="31" s="1"/>
  <c r="O78" i="31" s="1"/>
  <c r="L47" i="31"/>
  <c r="M47" i="31" s="1"/>
  <c r="N47" i="31" s="1"/>
  <c r="O47" i="31" s="1"/>
  <c r="L91" i="31"/>
  <c r="M91" i="31" s="1"/>
  <c r="N91" i="31" s="1"/>
  <c r="O91" i="31" s="1"/>
  <c r="L76" i="31"/>
  <c r="M76" i="31" s="1"/>
  <c r="N76" i="31" s="1"/>
  <c r="O76" i="31" s="1"/>
  <c r="N56" i="31"/>
  <c r="O56" i="31" s="1"/>
  <c r="N83" i="31"/>
  <c r="O83" i="31" s="1"/>
  <c r="N92" i="31"/>
  <c r="O92" i="31" s="1"/>
  <c r="N42" i="31"/>
  <c r="O42" i="31" s="1"/>
  <c r="N36" i="31"/>
  <c r="O36" i="31" s="1"/>
  <c r="N46" i="31"/>
  <c r="O46" i="31" s="1"/>
  <c r="N44" i="31"/>
  <c r="O44" i="31" s="1"/>
  <c r="N57" i="31"/>
  <c r="O57" i="31" s="1"/>
  <c r="N45" i="31"/>
  <c r="O45" i="31" s="1"/>
  <c r="N49" i="31"/>
  <c r="O49" i="31" s="1"/>
  <c r="K130" i="31"/>
  <c r="L31" i="31"/>
  <c r="L64" i="31"/>
  <c r="M64" i="31" s="1"/>
  <c r="L94" i="31"/>
  <c r="M94" i="31" s="1"/>
  <c r="L58" i="31"/>
  <c r="M58" i="31" s="1"/>
  <c r="L62" i="31"/>
  <c r="M62" i="31" s="1"/>
  <c r="L79" i="31"/>
  <c r="M79" i="31" s="1"/>
  <c r="L90" i="31"/>
  <c r="M90" i="31" s="1"/>
  <c r="L74" i="31"/>
  <c r="M74" i="31" s="1"/>
  <c r="L51" i="31"/>
  <c r="M51" i="31" s="1"/>
  <c r="L53" i="31"/>
  <c r="M53" i="31" s="1"/>
  <c r="L43" i="31"/>
  <c r="M43" i="31" s="1"/>
  <c r="L85" i="31"/>
  <c r="M85" i="31" s="1"/>
  <c r="L81" i="31"/>
  <c r="M81" i="31" s="1"/>
  <c r="L60" i="31"/>
  <c r="M60" i="31" s="1"/>
  <c r="L93" i="31"/>
  <c r="M93" i="31" s="1"/>
  <c r="L82" i="31"/>
  <c r="M82" i="31" s="1"/>
  <c r="L38" i="31"/>
  <c r="M38" i="31" s="1"/>
  <c r="L87" i="31"/>
  <c r="M87" i="31" s="1"/>
  <c r="N71" i="31"/>
  <c r="O71" i="31" s="1"/>
  <c r="N50" i="31"/>
  <c r="O50" i="31" s="1"/>
  <c r="N69" i="31"/>
  <c r="O69" i="31" s="1"/>
  <c r="N35" i="31"/>
  <c r="O35" i="31" s="1"/>
  <c r="N68" i="31"/>
  <c r="O68" i="31" s="1"/>
  <c r="N54" i="31"/>
  <c r="O54" i="31" s="1"/>
  <c r="N89" i="31"/>
  <c r="O89" i="31" s="1"/>
  <c r="L39" i="31"/>
  <c r="M39" i="31" s="1"/>
  <c r="N38" i="31" l="1"/>
  <c r="O38" i="31" s="1"/>
  <c r="N81" i="31"/>
  <c r="O81" i="31" s="1"/>
  <c r="N51" i="31"/>
  <c r="O51" i="31" s="1"/>
  <c r="N62" i="31"/>
  <c r="O62" i="31" s="1"/>
  <c r="L130" i="31"/>
  <c r="M31" i="31"/>
  <c r="N82" i="31"/>
  <c r="O82" i="31" s="1"/>
  <c r="N85" i="31"/>
  <c r="O85" i="31" s="1"/>
  <c r="N74" i="31"/>
  <c r="O74" i="31" s="1"/>
  <c r="N58" i="31"/>
  <c r="O58" i="31" s="1"/>
  <c r="N93" i="31"/>
  <c r="O93" i="31" s="1"/>
  <c r="N43" i="31"/>
  <c r="O43" i="31" s="1"/>
  <c r="N90" i="31"/>
  <c r="O90" i="31" s="1"/>
  <c r="N94" i="31"/>
  <c r="O94" i="31" s="1"/>
  <c r="N39" i="31"/>
  <c r="O39" i="31" s="1"/>
  <c r="N87" i="31"/>
  <c r="O87" i="31" s="1"/>
  <c r="N60" i="31"/>
  <c r="O60" i="31" s="1"/>
  <c r="N53" i="31"/>
  <c r="O53" i="31" s="1"/>
  <c r="N79" i="31"/>
  <c r="O79" i="31" s="1"/>
  <c r="N64" i="31"/>
  <c r="O64" i="31" s="1"/>
  <c r="M130" i="31" l="1"/>
  <c r="N31" i="31"/>
  <c r="N130" i="31" l="1"/>
  <c r="O31" i="31"/>
  <c r="P48" i="31" s="1"/>
  <c r="Q48" i="31" s="1"/>
  <c r="P76" i="31"/>
  <c r="Q76" i="31" s="1"/>
  <c r="P45" i="31"/>
  <c r="Q45" i="31" s="1"/>
  <c r="P37" i="31"/>
  <c r="Q37" i="31" s="1"/>
  <c r="P31" i="31"/>
  <c r="P79" i="31"/>
  <c r="Q79" i="31" s="1"/>
  <c r="P62" i="31" l="1"/>
  <c r="Q62" i="31" s="1"/>
  <c r="P71" i="31"/>
  <c r="Q71" i="31" s="1"/>
  <c r="P51" i="31"/>
  <c r="Q51" i="31" s="1"/>
  <c r="P72" i="31"/>
  <c r="Q72" i="31" s="1"/>
  <c r="R72" i="31" s="1"/>
  <c r="S72" i="31" s="1"/>
  <c r="P94" i="31"/>
  <c r="Q94" i="31" s="1"/>
  <c r="P86" i="31"/>
  <c r="Q86" i="31" s="1"/>
  <c r="P83" i="31"/>
  <c r="Q83" i="31" s="1"/>
  <c r="P56" i="31"/>
  <c r="Q56" i="31" s="1"/>
  <c r="R56" i="31" s="1"/>
  <c r="S56" i="31" s="1"/>
  <c r="P67" i="31"/>
  <c r="Q67" i="31" s="1"/>
  <c r="P82" i="31"/>
  <c r="Q82" i="31" s="1"/>
  <c r="P46" i="31"/>
  <c r="Q46" i="31" s="1"/>
  <c r="P73" i="31"/>
  <c r="Q73" i="31" s="1"/>
  <c r="R73" i="31" s="1"/>
  <c r="S73" i="31" s="1"/>
  <c r="P85" i="31"/>
  <c r="Q85" i="31" s="1"/>
  <c r="P87" i="31"/>
  <c r="Q87" i="31" s="1"/>
  <c r="P36" i="31"/>
  <c r="Q36" i="31" s="1"/>
  <c r="P92" i="31"/>
  <c r="Q92" i="31" s="1"/>
  <c r="R92" i="31" s="1"/>
  <c r="S92" i="31" s="1"/>
  <c r="P59" i="31"/>
  <c r="Q59" i="31" s="1"/>
  <c r="P50" i="31"/>
  <c r="Q50" i="31" s="1"/>
  <c r="P63" i="31"/>
  <c r="Q63" i="31" s="1"/>
  <c r="P95" i="31"/>
  <c r="Q95" i="31" s="1"/>
  <c r="R95" i="31" s="1"/>
  <c r="S95" i="31" s="1"/>
  <c r="P34" i="31"/>
  <c r="Q34" i="31" s="1"/>
  <c r="P74" i="31"/>
  <c r="Q74" i="31" s="1"/>
  <c r="R74" i="31" s="1"/>
  <c r="S74" i="31" s="1"/>
  <c r="P77" i="31"/>
  <c r="Q77" i="31" s="1"/>
  <c r="P64" i="31"/>
  <c r="Q64" i="31" s="1"/>
  <c r="R64" i="31" s="1"/>
  <c r="S64" i="31" s="1"/>
  <c r="P49" i="31"/>
  <c r="Q49" i="31" s="1"/>
  <c r="P91" i="31"/>
  <c r="Q91" i="31" s="1"/>
  <c r="R91" i="31" s="1"/>
  <c r="S91" i="31" s="1"/>
  <c r="P88" i="31"/>
  <c r="Q88" i="31" s="1"/>
  <c r="P32" i="31"/>
  <c r="Q32" i="31" s="1"/>
  <c r="R32" i="31" s="1"/>
  <c r="S32" i="31" s="1"/>
  <c r="P75" i="31"/>
  <c r="Q75" i="31" s="1"/>
  <c r="P78" i="31"/>
  <c r="Q78" i="31" s="1"/>
  <c r="R78" i="31" s="1"/>
  <c r="S78" i="31" s="1"/>
  <c r="P89" i="31"/>
  <c r="Q89" i="31" s="1"/>
  <c r="P61" i="31"/>
  <c r="Q61" i="31" s="1"/>
  <c r="P53" i="31"/>
  <c r="Q53" i="31" s="1"/>
  <c r="P47" i="31"/>
  <c r="Q47" i="31" s="1"/>
  <c r="P68" i="31"/>
  <c r="Q68" i="31" s="1"/>
  <c r="R68" i="31" s="1"/>
  <c r="S68" i="31" s="1"/>
  <c r="P54" i="31"/>
  <c r="Q54" i="31" s="1"/>
  <c r="R54" i="31" s="1"/>
  <c r="S54" i="31" s="1"/>
  <c r="P65" i="31"/>
  <c r="Q65" i="31" s="1"/>
  <c r="P35" i="31"/>
  <c r="Q35" i="31" s="1"/>
  <c r="R35" i="31" s="1"/>
  <c r="S35" i="31" s="1"/>
  <c r="P84" i="31"/>
  <c r="Q84" i="31" s="1"/>
  <c r="R84" i="31" s="1"/>
  <c r="S84" i="31" s="1"/>
  <c r="P93" i="31"/>
  <c r="Q93" i="31" s="1"/>
  <c r="R93" i="31" s="1"/>
  <c r="S93" i="31" s="1"/>
  <c r="P60" i="31"/>
  <c r="Q60" i="31" s="1"/>
  <c r="R60" i="31" s="1"/>
  <c r="S60" i="31" s="1"/>
  <c r="P39" i="31"/>
  <c r="Q39" i="31" s="1"/>
  <c r="R39" i="31" s="1"/>
  <c r="S39" i="31" s="1"/>
  <c r="P43" i="31"/>
  <c r="Q43" i="31" s="1"/>
  <c r="R43" i="31" s="1"/>
  <c r="S43" i="31" s="1"/>
  <c r="P57" i="31"/>
  <c r="Q57" i="31" s="1"/>
  <c r="R57" i="31" s="1"/>
  <c r="S57" i="31" s="1"/>
  <c r="P66" i="31"/>
  <c r="Q66" i="31" s="1"/>
  <c r="R66" i="31" s="1"/>
  <c r="S66" i="31" s="1"/>
  <c r="P44" i="31"/>
  <c r="Q44" i="31" s="1"/>
  <c r="R44" i="31" s="1"/>
  <c r="S44" i="31" s="1"/>
  <c r="P55" i="31"/>
  <c r="Q55" i="31" s="1"/>
  <c r="R55" i="31" s="1"/>
  <c r="S55" i="31" s="1"/>
  <c r="P42" i="31"/>
  <c r="Q42" i="31" s="1"/>
  <c r="R42" i="31" s="1"/>
  <c r="S42" i="31" s="1"/>
  <c r="P52" i="31"/>
  <c r="Q52" i="31" s="1"/>
  <c r="R52" i="31" s="1"/>
  <c r="S52" i="31" s="1"/>
  <c r="P33" i="31"/>
  <c r="Q33" i="31" s="1"/>
  <c r="R33" i="31" s="1"/>
  <c r="S33" i="31" s="1"/>
  <c r="P40" i="31"/>
  <c r="Q40" i="31" s="1"/>
  <c r="R40" i="31" s="1"/>
  <c r="S40" i="31" s="1"/>
  <c r="P80" i="31"/>
  <c r="Q80" i="31" s="1"/>
  <c r="R80" i="31" s="1"/>
  <c r="S80" i="31" s="1"/>
  <c r="P70" i="31"/>
  <c r="Q70" i="31" s="1"/>
  <c r="R70" i="31" s="1"/>
  <c r="S70" i="31" s="1"/>
  <c r="P69" i="31"/>
  <c r="Q69" i="31" s="1"/>
  <c r="R69" i="31" s="1"/>
  <c r="S69" i="31" s="1"/>
  <c r="R46" i="31"/>
  <c r="S46" i="31" s="1"/>
  <c r="R59" i="31"/>
  <c r="S59" i="31" s="1"/>
  <c r="R83" i="31"/>
  <c r="S83" i="31" s="1"/>
  <c r="R47" i="31"/>
  <c r="S47" i="31" s="1"/>
  <c r="R50" i="31"/>
  <c r="S50" i="31" s="1"/>
  <c r="R48" i="31"/>
  <c r="S48" i="31" s="1"/>
  <c r="Q31" i="31"/>
  <c r="R62" i="31"/>
  <c r="S62" i="31" s="1"/>
  <c r="R85" i="31"/>
  <c r="S85" i="31" s="1"/>
  <c r="R51" i="31"/>
  <c r="S51" i="31" s="1"/>
  <c r="R87" i="31"/>
  <c r="S87" i="31" s="1"/>
  <c r="R37" i="31"/>
  <c r="S37" i="31" s="1"/>
  <c r="R86" i="31"/>
  <c r="S86" i="31" s="1"/>
  <c r="R63" i="31"/>
  <c r="S63" i="31" s="1"/>
  <c r="R61" i="31"/>
  <c r="S61" i="31" s="1"/>
  <c r="R88" i="31"/>
  <c r="S88" i="31" s="1"/>
  <c r="R65" i="31"/>
  <c r="S65" i="31" s="1"/>
  <c r="R71" i="31"/>
  <c r="S71" i="31" s="1"/>
  <c r="O130" i="31"/>
  <c r="P38" i="31"/>
  <c r="Q38" i="31" s="1"/>
  <c r="P90" i="31"/>
  <c r="Q90" i="31" s="1"/>
  <c r="P58" i="31"/>
  <c r="Q58" i="31" s="1"/>
  <c r="R77" i="31"/>
  <c r="S77" i="31" s="1"/>
  <c r="R45" i="31"/>
  <c r="S45" i="31" s="1"/>
  <c r="R82" i="31"/>
  <c r="S82" i="31" s="1"/>
  <c r="R94" i="31"/>
  <c r="S94" i="31" s="1"/>
  <c r="R36" i="31"/>
  <c r="S36" i="31" s="1"/>
  <c r="R76" i="31"/>
  <c r="S76" i="31" s="1"/>
  <c r="R53" i="31"/>
  <c r="S53" i="31" s="1"/>
  <c r="R67" i="31"/>
  <c r="S67" i="31" s="1"/>
  <c r="R34" i="31"/>
  <c r="S34" i="31" s="1"/>
  <c r="R75" i="31"/>
  <c r="S75" i="31" s="1"/>
  <c r="R89" i="31"/>
  <c r="S89" i="31" s="1"/>
  <c r="R79" i="31"/>
  <c r="S79" i="31" s="1"/>
  <c r="R49" i="31"/>
  <c r="S49" i="31" s="1"/>
  <c r="P41" i="31"/>
  <c r="Q41" i="31" s="1"/>
  <c r="P81" i="31"/>
  <c r="Q81" i="31" s="1"/>
  <c r="R90" i="31" l="1"/>
  <c r="S90" i="31" s="1"/>
  <c r="P130" i="31"/>
  <c r="R58" i="31"/>
  <c r="S58" i="31" s="1"/>
  <c r="Q130" i="31"/>
  <c r="R31" i="31"/>
  <c r="R38" i="31"/>
  <c r="S38" i="31" s="1"/>
  <c r="R81" i="31"/>
  <c r="S81" i="31" s="1"/>
  <c r="R41" i="31"/>
  <c r="S41" i="31" s="1"/>
  <c r="T42" i="31"/>
  <c r="U42" i="31" s="1"/>
  <c r="T84" i="31"/>
  <c r="U84" i="31" s="1"/>
  <c r="T68" i="31"/>
  <c r="U68" i="31" s="1"/>
  <c r="T92" i="31"/>
  <c r="U92" i="31" s="1"/>
  <c r="T48" i="31"/>
  <c r="U48" i="31" s="1"/>
  <c r="T41" i="31" l="1"/>
  <c r="U41" i="31" s="1"/>
  <c r="V41" i="31" s="1"/>
  <c r="W41" i="31" s="1"/>
  <c r="V68" i="31"/>
  <c r="W68" i="31" s="1"/>
  <c r="V42" i="31"/>
  <c r="W42" i="31" s="1"/>
  <c r="R130" i="31"/>
  <c r="S31" i="31"/>
  <c r="T91" i="31" s="1"/>
  <c r="U91" i="31" s="1"/>
  <c r="V48" i="31"/>
  <c r="W48" i="31" s="1"/>
  <c r="V92" i="31"/>
  <c r="W92" i="31" s="1"/>
  <c r="V84" i="31"/>
  <c r="W84" i="31" s="1"/>
  <c r="T70" i="31" l="1"/>
  <c r="U70" i="31" s="1"/>
  <c r="T45" i="31"/>
  <c r="U45" i="31" s="1"/>
  <c r="V45" i="31" s="1"/>
  <c r="W45" i="31" s="1"/>
  <c r="T66" i="31"/>
  <c r="U66" i="31" s="1"/>
  <c r="T40" i="31"/>
  <c r="U40" i="31" s="1"/>
  <c r="V40" i="31" s="1"/>
  <c r="W40" i="31" s="1"/>
  <c r="T67" i="31"/>
  <c r="U67" i="31" s="1"/>
  <c r="V67" i="31" s="1"/>
  <c r="W67" i="31" s="1"/>
  <c r="T95" i="31"/>
  <c r="U95" i="31" s="1"/>
  <c r="V95" i="31" s="1"/>
  <c r="W95" i="31" s="1"/>
  <c r="T59" i="31"/>
  <c r="U59" i="31" s="1"/>
  <c r="T85" i="31"/>
  <c r="U85" i="31" s="1"/>
  <c r="V85" i="31" s="1"/>
  <c r="W85" i="31" s="1"/>
  <c r="T63" i="31"/>
  <c r="U63" i="31" s="1"/>
  <c r="V63" i="31" s="1"/>
  <c r="W63" i="31" s="1"/>
  <c r="T72" i="31"/>
  <c r="U72" i="31" s="1"/>
  <c r="V72" i="31" s="1"/>
  <c r="W72" i="31" s="1"/>
  <c r="T75" i="31"/>
  <c r="U75" i="31" s="1"/>
  <c r="V75" i="31" s="1"/>
  <c r="W75" i="31" s="1"/>
  <c r="T78" i="31"/>
  <c r="U78" i="31" s="1"/>
  <c r="V78" i="31" s="1"/>
  <c r="W78" i="31" s="1"/>
  <c r="T90" i="31"/>
  <c r="U90" i="31" s="1"/>
  <c r="T47" i="31"/>
  <c r="U47" i="31" s="1"/>
  <c r="V47" i="31" s="1"/>
  <c r="W47" i="31" s="1"/>
  <c r="T82" i="31"/>
  <c r="U82" i="31" s="1"/>
  <c r="T31" i="31"/>
  <c r="U31" i="31" s="1"/>
  <c r="T36" i="31"/>
  <c r="U36" i="31" s="1"/>
  <c r="V36" i="31" s="1"/>
  <c r="W36" i="31" s="1"/>
  <c r="T71" i="31"/>
  <c r="U71" i="31" s="1"/>
  <c r="V71" i="31" s="1"/>
  <c r="W71" i="31" s="1"/>
  <c r="T81" i="31"/>
  <c r="U81" i="31" s="1"/>
  <c r="V81" i="31" s="1"/>
  <c r="W81" i="31" s="1"/>
  <c r="T60" i="31"/>
  <c r="U60" i="31" s="1"/>
  <c r="V60" i="31" s="1"/>
  <c r="W60" i="31" s="1"/>
  <c r="T50" i="31"/>
  <c r="U50" i="31" s="1"/>
  <c r="V50" i="31" s="1"/>
  <c r="W50" i="31" s="1"/>
  <c r="T58" i="31"/>
  <c r="U58" i="31" s="1"/>
  <c r="V58" i="31" s="1"/>
  <c r="W58" i="31" s="1"/>
  <c r="V66" i="31"/>
  <c r="W66" i="31" s="1"/>
  <c r="V70" i="31"/>
  <c r="W70" i="31" s="1"/>
  <c r="V90" i="31"/>
  <c r="W90" i="31" s="1"/>
  <c r="V59" i="31"/>
  <c r="W59" i="31" s="1"/>
  <c r="S130" i="31"/>
  <c r="T43" i="31"/>
  <c r="U43" i="31" s="1"/>
  <c r="T80" i="31"/>
  <c r="U80" i="31" s="1"/>
  <c r="T57" i="31"/>
  <c r="U57" i="31" s="1"/>
  <c r="T76" i="31"/>
  <c r="U76" i="31" s="1"/>
  <c r="T77" i="31"/>
  <c r="U77" i="31" s="1"/>
  <c r="T61" i="31"/>
  <c r="U61" i="31" s="1"/>
  <c r="T62" i="31"/>
  <c r="U62" i="31" s="1"/>
  <c r="T83" i="31"/>
  <c r="U83" i="31" s="1"/>
  <c r="T32" i="31"/>
  <c r="U32" i="31" s="1"/>
  <c r="T49" i="31"/>
  <c r="U49" i="31" s="1"/>
  <c r="T33" i="31"/>
  <c r="U33" i="31" s="1"/>
  <c r="T39" i="31"/>
  <c r="U39" i="31" s="1"/>
  <c r="T89" i="31"/>
  <c r="U89" i="31" s="1"/>
  <c r="T64" i="31"/>
  <c r="U64" i="31" s="1"/>
  <c r="T65" i="31"/>
  <c r="U65" i="31" s="1"/>
  <c r="T46" i="31"/>
  <c r="U46" i="31" s="1"/>
  <c r="T52" i="31"/>
  <c r="U52" i="31" s="1"/>
  <c r="T35" i="31"/>
  <c r="U35" i="31" s="1"/>
  <c r="T93" i="31"/>
  <c r="U93" i="31" s="1"/>
  <c r="T34" i="31"/>
  <c r="U34" i="31" s="1"/>
  <c r="T94" i="31"/>
  <c r="U94" i="31" s="1"/>
  <c r="T37" i="31"/>
  <c r="U37" i="31" s="1"/>
  <c r="T54" i="31"/>
  <c r="U54" i="31" s="1"/>
  <c r="T51" i="31"/>
  <c r="U51" i="31" s="1"/>
  <c r="T38" i="31"/>
  <c r="U38" i="31" s="1"/>
  <c r="T55" i="31"/>
  <c r="U55" i="31" s="1"/>
  <c r="T69" i="31"/>
  <c r="U69" i="31" s="1"/>
  <c r="T44" i="31"/>
  <c r="U44" i="31" s="1"/>
  <c r="T56" i="31"/>
  <c r="U56" i="31" s="1"/>
  <c r="T53" i="31"/>
  <c r="U53" i="31" s="1"/>
  <c r="T74" i="31"/>
  <c r="U74" i="31" s="1"/>
  <c r="T88" i="31"/>
  <c r="U88" i="31" s="1"/>
  <c r="T73" i="31"/>
  <c r="U73" i="31" s="1"/>
  <c r="V82" i="31"/>
  <c r="W82" i="31" s="1"/>
  <c r="V91" i="31"/>
  <c r="W91" i="31" s="1"/>
  <c r="T86" i="31"/>
  <c r="U86" i="31" s="1"/>
  <c r="T87" i="31"/>
  <c r="U87" i="31" s="1"/>
  <c r="T79" i="31"/>
  <c r="U79" i="31" s="1"/>
  <c r="V87" i="31" l="1"/>
  <c r="W87" i="31" s="1"/>
  <c r="V53" i="31"/>
  <c r="W53" i="31" s="1"/>
  <c r="V55" i="31"/>
  <c r="W55" i="31" s="1"/>
  <c r="V37" i="31"/>
  <c r="W37" i="31" s="1"/>
  <c r="V35" i="31"/>
  <c r="W35" i="31" s="1"/>
  <c r="V64" i="31"/>
  <c r="W64" i="31" s="1"/>
  <c r="V49" i="31"/>
  <c r="W49" i="31" s="1"/>
  <c r="V61" i="31"/>
  <c r="W61" i="31" s="1"/>
  <c r="V80" i="31"/>
  <c r="W80" i="31" s="1"/>
  <c r="V73" i="31"/>
  <c r="W73" i="31" s="1"/>
  <c r="V56" i="31"/>
  <c r="W56" i="31" s="1"/>
  <c r="V38" i="31"/>
  <c r="W38" i="31" s="1"/>
  <c r="V94" i="31"/>
  <c r="W94" i="31" s="1"/>
  <c r="V52" i="31"/>
  <c r="W52" i="31" s="1"/>
  <c r="V89" i="31"/>
  <c r="W89" i="31" s="1"/>
  <c r="V32" i="31"/>
  <c r="W32" i="31" s="1"/>
  <c r="V77" i="31"/>
  <c r="W77" i="31" s="1"/>
  <c r="V43" i="31"/>
  <c r="W43" i="31" s="1"/>
  <c r="V86" i="31"/>
  <c r="W86" i="31" s="1"/>
  <c r="U130" i="31"/>
  <c r="V31" i="31"/>
  <c r="V88" i="31"/>
  <c r="W88" i="31" s="1"/>
  <c r="V44" i="31"/>
  <c r="W44" i="31" s="1"/>
  <c r="V51" i="31"/>
  <c r="W51" i="31" s="1"/>
  <c r="V34" i="31"/>
  <c r="W34" i="31" s="1"/>
  <c r="V46" i="31"/>
  <c r="W46" i="31" s="1"/>
  <c r="V39" i="31"/>
  <c r="W39" i="31" s="1"/>
  <c r="V83" i="31"/>
  <c r="W83" i="31" s="1"/>
  <c r="V76" i="31"/>
  <c r="W76" i="31" s="1"/>
  <c r="V79" i="31"/>
  <c r="W79" i="31" s="1"/>
  <c r="T130" i="31"/>
  <c r="V74" i="31"/>
  <c r="W74" i="31" s="1"/>
  <c r="V69" i="31"/>
  <c r="W69" i="31" s="1"/>
  <c r="V54" i="31"/>
  <c r="W54" i="31" s="1"/>
  <c r="V93" i="31"/>
  <c r="W93" i="31" s="1"/>
  <c r="V65" i="31"/>
  <c r="W65" i="31" s="1"/>
  <c r="V33" i="31"/>
  <c r="W33" i="31" s="1"/>
  <c r="V62" i="31"/>
  <c r="W62" i="31" s="1"/>
  <c r="V57" i="31"/>
  <c r="W57" i="31" s="1"/>
  <c r="V130" i="31" l="1"/>
  <c r="W31" i="31"/>
  <c r="X82" i="31" s="1"/>
  <c r="Y82" i="31" s="1"/>
  <c r="X35" i="31" l="1"/>
  <c r="Y35" i="31" s="1"/>
  <c r="X59" i="31"/>
  <c r="Y59" i="31" s="1"/>
  <c r="X68" i="31"/>
  <c r="Y68" i="31" s="1"/>
  <c r="Z68" i="31" s="1"/>
  <c r="AA68" i="31" s="1"/>
  <c r="X94" i="31"/>
  <c r="Y94" i="31" s="1"/>
  <c r="Z94" i="31" s="1"/>
  <c r="AA94" i="31" s="1"/>
  <c r="X89" i="31"/>
  <c r="Y89" i="31" s="1"/>
  <c r="Z89" i="31" s="1"/>
  <c r="AA89" i="31" s="1"/>
  <c r="X55" i="31"/>
  <c r="Y55" i="31" s="1"/>
  <c r="Z55" i="31" s="1"/>
  <c r="AA55" i="31" s="1"/>
  <c r="X78" i="31"/>
  <c r="Y78" i="31" s="1"/>
  <c r="Z78" i="31" s="1"/>
  <c r="AA78" i="31" s="1"/>
  <c r="X49" i="31"/>
  <c r="Y49" i="31" s="1"/>
  <c r="Z49" i="31" s="1"/>
  <c r="AA49" i="31" s="1"/>
  <c r="X63" i="31"/>
  <c r="Y63" i="31" s="1"/>
  <c r="Z63" i="31" s="1"/>
  <c r="AA63" i="31" s="1"/>
  <c r="X45" i="31"/>
  <c r="Y45" i="31" s="1"/>
  <c r="Z45" i="31" s="1"/>
  <c r="AA45" i="31" s="1"/>
  <c r="X56" i="31"/>
  <c r="Y56" i="31" s="1"/>
  <c r="Z56" i="31" s="1"/>
  <c r="AA56" i="31" s="1"/>
  <c r="X86" i="31"/>
  <c r="Y86" i="31" s="1"/>
  <c r="Z86" i="31" s="1"/>
  <c r="AA86" i="31" s="1"/>
  <c r="X42" i="31"/>
  <c r="Y42" i="31" s="1"/>
  <c r="Z42" i="31" s="1"/>
  <c r="AA42" i="31" s="1"/>
  <c r="W130" i="31"/>
  <c r="X40" i="31"/>
  <c r="Y40" i="31" s="1"/>
  <c r="X50" i="31"/>
  <c r="Y50" i="31" s="1"/>
  <c r="X58" i="31"/>
  <c r="Y58" i="31" s="1"/>
  <c r="X70" i="31"/>
  <c r="Y70" i="31" s="1"/>
  <c r="X36" i="31"/>
  <c r="Y36" i="31" s="1"/>
  <c r="X66" i="31"/>
  <c r="Y66" i="31" s="1"/>
  <c r="X72" i="31"/>
  <c r="Y72" i="31" s="1"/>
  <c r="X60" i="31"/>
  <c r="Y60" i="31" s="1"/>
  <c r="X71" i="31"/>
  <c r="Y71" i="31" s="1"/>
  <c r="X69" i="31"/>
  <c r="Y69" i="31" s="1"/>
  <c r="X57" i="31"/>
  <c r="Y57" i="31" s="1"/>
  <c r="X81" i="31"/>
  <c r="Y81" i="31" s="1"/>
  <c r="X67" i="31"/>
  <c r="Y67" i="31" s="1"/>
  <c r="X85" i="31"/>
  <c r="Y85" i="31" s="1"/>
  <c r="X33" i="31"/>
  <c r="Y33" i="31" s="1"/>
  <c r="X95" i="31"/>
  <c r="Y95" i="31" s="1"/>
  <c r="X31" i="31"/>
  <c r="X44" i="31"/>
  <c r="Y44" i="31" s="1"/>
  <c r="X34" i="31"/>
  <c r="Y34" i="31" s="1"/>
  <c r="X39" i="31"/>
  <c r="Y39" i="31" s="1"/>
  <c r="X76" i="31"/>
  <c r="Y76" i="31" s="1"/>
  <c r="X93" i="31"/>
  <c r="Y93" i="31" s="1"/>
  <c r="X54" i="31"/>
  <c r="Y54" i="31" s="1"/>
  <c r="X83" i="31"/>
  <c r="Y83" i="31" s="1"/>
  <c r="X64" i="31"/>
  <c r="Y64" i="31" s="1"/>
  <c r="X52" i="31"/>
  <c r="Y52" i="31" s="1"/>
  <c r="Z82" i="31"/>
  <c r="AA82" i="31" s="1"/>
  <c r="X65" i="31"/>
  <c r="Y65" i="31" s="1"/>
  <c r="X62" i="31"/>
  <c r="Y62" i="31" s="1"/>
  <c r="X61" i="31"/>
  <c r="Y61" i="31" s="1"/>
  <c r="X32" i="31"/>
  <c r="Y32" i="31" s="1"/>
  <c r="Z35" i="31"/>
  <c r="AA35" i="31" s="1"/>
  <c r="Z59" i="31"/>
  <c r="AA59" i="31" s="1"/>
  <c r="X91" i="31"/>
  <c r="Y91" i="31" s="1"/>
  <c r="X47" i="31"/>
  <c r="Y47" i="31" s="1"/>
  <c r="X48" i="31"/>
  <c r="Y48" i="31" s="1"/>
  <c r="X75" i="31"/>
  <c r="Y75" i="31" s="1"/>
  <c r="X79" i="31"/>
  <c r="Y79" i="31" s="1"/>
  <c r="X51" i="31"/>
  <c r="Y51" i="31" s="1"/>
  <c r="X53" i="31"/>
  <c r="Y53" i="31" s="1"/>
  <c r="X73" i="31"/>
  <c r="Y73" i="31" s="1"/>
  <c r="X43" i="31"/>
  <c r="Y43" i="31" s="1"/>
  <c r="X87" i="31"/>
  <c r="Y87" i="31" s="1"/>
  <c r="X80" i="31"/>
  <c r="Y80" i="31" s="1"/>
  <c r="X77" i="31"/>
  <c r="Y77" i="31" s="1"/>
  <c r="X41" i="31"/>
  <c r="Y41" i="31" s="1"/>
  <c r="X90" i="31"/>
  <c r="Y90" i="31" s="1"/>
  <c r="X92" i="31"/>
  <c r="Y92" i="31" s="1"/>
  <c r="X84" i="31"/>
  <c r="Y84" i="31" s="1"/>
  <c r="X74" i="31"/>
  <c r="Y74" i="31" s="1"/>
  <c r="X46" i="31"/>
  <c r="Y46" i="31" s="1"/>
  <c r="X37" i="31"/>
  <c r="Y37" i="31" s="1"/>
  <c r="X38" i="31"/>
  <c r="Y38" i="31" s="1"/>
  <c r="X88" i="31"/>
  <c r="Y88" i="31" s="1"/>
  <c r="Z38" i="31" l="1"/>
  <c r="AA38" i="31" s="1"/>
  <c r="Z47" i="31"/>
  <c r="AA47" i="31" s="1"/>
  <c r="Z44" i="31"/>
  <c r="AA44" i="31" s="1"/>
  <c r="Z85" i="31"/>
  <c r="AA85" i="31" s="1"/>
  <c r="Z69" i="31"/>
  <c r="AA69" i="31" s="1"/>
  <c r="Z72" i="31"/>
  <c r="AA72" i="31" s="1"/>
  <c r="Z58" i="31"/>
  <c r="AA58" i="31" s="1"/>
  <c r="Z77" i="31"/>
  <c r="AA77" i="31" s="1"/>
  <c r="Z52" i="31"/>
  <c r="AA52" i="31" s="1"/>
  <c r="Z37" i="31"/>
  <c r="AA37" i="31" s="1"/>
  <c r="Z80" i="31"/>
  <c r="AA80" i="31" s="1"/>
  <c r="Z43" i="31"/>
  <c r="AA43" i="31" s="1"/>
  <c r="Z79" i="31"/>
  <c r="AA79" i="31" s="1"/>
  <c r="Z91" i="31"/>
  <c r="AA91" i="31" s="1"/>
  <c r="Z61" i="31"/>
  <c r="AA61" i="31" s="1"/>
  <c r="Z64" i="31"/>
  <c r="AA64" i="31" s="1"/>
  <c r="Z76" i="31"/>
  <c r="AA76" i="31" s="1"/>
  <c r="X130" i="31"/>
  <c r="Y31" i="31"/>
  <c r="Z67" i="31"/>
  <c r="AA67" i="31" s="1"/>
  <c r="Z66" i="31"/>
  <c r="AA66" i="31" s="1"/>
  <c r="Z50" i="31"/>
  <c r="AA50" i="31" s="1"/>
  <c r="Z84" i="31"/>
  <c r="AA84" i="31" s="1"/>
  <c r="Z32" i="31"/>
  <c r="AA32" i="31" s="1"/>
  <c r="Z92" i="31"/>
  <c r="AA92" i="31" s="1"/>
  <c r="Z90" i="31"/>
  <c r="AA90" i="31" s="1"/>
  <c r="Z87" i="31"/>
  <c r="AA87" i="31" s="1"/>
  <c r="Z73" i="31"/>
  <c r="AA73" i="31" s="1"/>
  <c r="Z75" i="31"/>
  <c r="AA75" i="31" s="1"/>
  <c r="Z62" i="31"/>
  <c r="AA62" i="31" s="1"/>
  <c r="Z83" i="31"/>
  <c r="AA83" i="31" s="1"/>
  <c r="Z39" i="31"/>
  <c r="AA39" i="31" s="1"/>
  <c r="Z95" i="31"/>
  <c r="AA95" i="31" s="1"/>
  <c r="Z81" i="31"/>
  <c r="AA81" i="31" s="1"/>
  <c r="Z71" i="31"/>
  <c r="AA71" i="31" s="1"/>
  <c r="Z36" i="31"/>
  <c r="AA36" i="31" s="1"/>
  <c r="Z40" i="31"/>
  <c r="AA40" i="31" s="1"/>
  <c r="Z51" i="31"/>
  <c r="AA51" i="31" s="1"/>
  <c r="Z93" i="31"/>
  <c r="AA93" i="31" s="1"/>
  <c r="Z46" i="31"/>
  <c r="AA46" i="31" s="1"/>
  <c r="Z88" i="31"/>
  <c r="AA88" i="31" s="1"/>
  <c r="Z74" i="31"/>
  <c r="AA74" i="31" s="1"/>
  <c r="Z41" i="31"/>
  <c r="AA41" i="31" s="1"/>
  <c r="Z53" i="31"/>
  <c r="AA53" i="31" s="1"/>
  <c r="Z48" i="31"/>
  <c r="AA48" i="31" s="1"/>
  <c r="Z65" i="31"/>
  <c r="AA65" i="31" s="1"/>
  <c r="Z54" i="31"/>
  <c r="AA54" i="31" s="1"/>
  <c r="Z34" i="31"/>
  <c r="AA34" i="31" s="1"/>
  <c r="Z33" i="31"/>
  <c r="AA33" i="31" s="1"/>
  <c r="Z57" i="31"/>
  <c r="AA57" i="31" s="1"/>
  <c r="Z60" i="31"/>
  <c r="AA60" i="31" s="1"/>
  <c r="Z70" i="31"/>
  <c r="AA70" i="31" s="1"/>
  <c r="Y130" i="31" l="1"/>
  <c r="Z31" i="31"/>
  <c r="Z130" i="31" l="1"/>
  <c r="AA31" i="31"/>
  <c r="AB83" i="31" s="1"/>
  <c r="AC83" i="31" s="1"/>
  <c r="AB48" i="31"/>
  <c r="AC48" i="31" s="1"/>
  <c r="AB57" i="31" l="1"/>
  <c r="AC57" i="31" s="1"/>
  <c r="AD57" i="31" s="1"/>
  <c r="AE57" i="31" s="1"/>
  <c r="AB90" i="31"/>
  <c r="AC90" i="31" s="1"/>
  <c r="AB76" i="31"/>
  <c r="AC76" i="31" s="1"/>
  <c r="AD76" i="31" s="1"/>
  <c r="AE76" i="31" s="1"/>
  <c r="AB39" i="31"/>
  <c r="AC39" i="31" s="1"/>
  <c r="AD39" i="31" s="1"/>
  <c r="AE39" i="31" s="1"/>
  <c r="AB64" i="31"/>
  <c r="AC64" i="31" s="1"/>
  <c r="AB32" i="31"/>
  <c r="AC32" i="31" s="1"/>
  <c r="AD32" i="31" s="1"/>
  <c r="AE32" i="31" s="1"/>
  <c r="AB80" i="31"/>
  <c r="AC80" i="31" s="1"/>
  <c r="AD80" i="31" s="1"/>
  <c r="AE80" i="31" s="1"/>
  <c r="AB45" i="31"/>
  <c r="AC45" i="31" s="1"/>
  <c r="AD45" i="31" s="1"/>
  <c r="AE45" i="31" s="1"/>
  <c r="AB87" i="31"/>
  <c r="AC87" i="31" s="1"/>
  <c r="AD87" i="31" s="1"/>
  <c r="AE87" i="31" s="1"/>
  <c r="AB41" i="31"/>
  <c r="AC41" i="31" s="1"/>
  <c r="AD41" i="31" s="1"/>
  <c r="AE41" i="31" s="1"/>
  <c r="AB92" i="31"/>
  <c r="AC92" i="31" s="1"/>
  <c r="AD92" i="31" s="1"/>
  <c r="AE92" i="31" s="1"/>
  <c r="AB40" i="31"/>
  <c r="AC40" i="31" s="1"/>
  <c r="AD40" i="31" s="1"/>
  <c r="AE40" i="31" s="1"/>
  <c r="AB82" i="31"/>
  <c r="AC82" i="31" s="1"/>
  <c r="AD82" i="31" s="1"/>
  <c r="AE82" i="31" s="1"/>
  <c r="AB91" i="31"/>
  <c r="AC91" i="31" s="1"/>
  <c r="AD91" i="31" s="1"/>
  <c r="AE91" i="31" s="1"/>
  <c r="AB68" i="31"/>
  <c r="AC68" i="31" s="1"/>
  <c r="AD68" i="31" s="1"/>
  <c r="AE68" i="31" s="1"/>
  <c r="AB60" i="31"/>
  <c r="AC60" i="31" s="1"/>
  <c r="AD60" i="31" s="1"/>
  <c r="AE60" i="31" s="1"/>
  <c r="AB72" i="31"/>
  <c r="AC72" i="31" s="1"/>
  <c r="AD72" i="31" s="1"/>
  <c r="AE72" i="31" s="1"/>
  <c r="AB44" i="31"/>
  <c r="AC44" i="31" s="1"/>
  <c r="AD44" i="31" s="1"/>
  <c r="AE44" i="31" s="1"/>
  <c r="AB67" i="31"/>
  <c r="AC67" i="31" s="1"/>
  <c r="AD67" i="31" s="1"/>
  <c r="AE67" i="31" s="1"/>
  <c r="AB55" i="31"/>
  <c r="AC55" i="31" s="1"/>
  <c r="AD55" i="31" s="1"/>
  <c r="AE55" i="31" s="1"/>
  <c r="AB94" i="31"/>
  <c r="AC94" i="31" s="1"/>
  <c r="AD94" i="31" s="1"/>
  <c r="AE94" i="31" s="1"/>
  <c r="AB59" i="31"/>
  <c r="AC59" i="31" s="1"/>
  <c r="AB51" i="31"/>
  <c r="AC51" i="31" s="1"/>
  <c r="AD51" i="31" s="1"/>
  <c r="AE51" i="31" s="1"/>
  <c r="AB75" i="31"/>
  <c r="AC75" i="31" s="1"/>
  <c r="AD75" i="31" s="1"/>
  <c r="AE75" i="31" s="1"/>
  <c r="AB46" i="31"/>
  <c r="AC46" i="31" s="1"/>
  <c r="AD46" i="31" s="1"/>
  <c r="AE46" i="31" s="1"/>
  <c r="AB65" i="31"/>
  <c r="AC65" i="31" s="1"/>
  <c r="AD65" i="31" s="1"/>
  <c r="AE65" i="31" s="1"/>
  <c r="AB66" i="31"/>
  <c r="AC66" i="31" s="1"/>
  <c r="AD66" i="31" s="1"/>
  <c r="AE66" i="31" s="1"/>
  <c r="AB56" i="31"/>
  <c r="AC56" i="31" s="1"/>
  <c r="AD56" i="31" s="1"/>
  <c r="AE56" i="31" s="1"/>
  <c r="AB84" i="31"/>
  <c r="AC84" i="31" s="1"/>
  <c r="AD84" i="31" s="1"/>
  <c r="AE84" i="31" s="1"/>
  <c r="AB42" i="31"/>
  <c r="AC42" i="31" s="1"/>
  <c r="AD42" i="31" s="1"/>
  <c r="AE42" i="31" s="1"/>
  <c r="AB86" i="31"/>
  <c r="AC86" i="31" s="1"/>
  <c r="AD86" i="31" s="1"/>
  <c r="AE86" i="31" s="1"/>
  <c r="AB61" i="31"/>
  <c r="AC61" i="31" s="1"/>
  <c r="AD61" i="31" s="1"/>
  <c r="AE61" i="31" s="1"/>
  <c r="AB89" i="31"/>
  <c r="AC89" i="31" s="1"/>
  <c r="AD89" i="31" s="1"/>
  <c r="AE89" i="31" s="1"/>
  <c r="AB63" i="31"/>
  <c r="AC63" i="31" s="1"/>
  <c r="AD63" i="31" s="1"/>
  <c r="AE63" i="31" s="1"/>
  <c r="AB93" i="31"/>
  <c r="AC93" i="31" s="1"/>
  <c r="AD93" i="31" s="1"/>
  <c r="AE93" i="31" s="1"/>
  <c r="AB50" i="31"/>
  <c r="AC50" i="31" s="1"/>
  <c r="AD50" i="31" s="1"/>
  <c r="AE50" i="31" s="1"/>
  <c r="AB35" i="31"/>
  <c r="AC35" i="31" s="1"/>
  <c r="AD35" i="31" s="1"/>
  <c r="AE35" i="31" s="1"/>
  <c r="AB78" i="31"/>
  <c r="AC78" i="31" s="1"/>
  <c r="AD78" i="31" s="1"/>
  <c r="AE78" i="31" s="1"/>
  <c r="AB49" i="31"/>
  <c r="AC49" i="31" s="1"/>
  <c r="AD49" i="31" s="1"/>
  <c r="AE49" i="31" s="1"/>
  <c r="AB71" i="31"/>
  <c r="AC71" i="31" s="1"/>
  <c r="AD71" i="31" s="1"/>
  <c r="AE71" i="31" s="1"/>
  <c r="AB54" i="31"/>
  <c r="AC54" i="31" s="1"/>
  <c r="AD54" i="31" s="1"/>
  <c r="AE54" i="31" s="1"/>
  <c r="AB34" i="31"/>
  <c r="AC34" i="31" s="1"/>
  <c r="AD34" i="31" s="1"/>
  <c r="AE34" i="31" s="1"/>
  <c r="AB37" i="31"/>
  <c r="AC37" i="31" s="1"/>
  <c r="AD37" i="31" s="1"/>
  <c r="AE37" i="31" s="1"/>
  <c r="AB47" i="31"/>
  <c r="AC47" i="31" s="1"/>
  <c r="AD47" i="31" s="1"/>
  <c r="AE47" i="31" s="1"/>
  <c r="AB52" i="31"/>
  <c r="AC52" i="31" s="1"/>
  <c r="AD52" i="31" s="1"/>
  <c r="AE52" i="31" s="1"/>
  <c r="AB88" i="31"/>
  <c r="AC88" i="31" s="1"/>
  <c r="AD88" i="31" s="1"/>
  <c r="AE88" i="31" s="1"/>
  <c r="AB73" i="31"/>
  <c r="AC73" i="31" s="1"/>
  <c r="AD73" i="31" s="1"/>
  <c r="AE73" i="31" s="1"/>
  <c r="AB85" i="31"/>
  <c r="AC85" i="31" s="1"/>
  <c r="AD85" i="31" s="1"/>
  <c r="AE85" i="31" s="1"/>
  <c r="AB38" i="31"/>
  <c r="AC38" i="31" s="1"/>
  <c r="AD38" i="31" s="1"/>
  <c r="AE38" i="31" s="1"/>
  <c r="AB95" i="31"/>
  <c r="AC95" i="31" s="1"/>
  <c r="AD95" i="31" s="1"/>
  <c r="AE95" i="31" s="1"/>
  <c r="AB58" i="31"/>
  <c r="AC58" i="31" s="1"/>
  <c r="AD58" i="31" s="1"/>
  <c r="AE58" i="31" s="1"/>
  <c r="AD83" i="31"/>
  <c r="AE83" i="31" s="1"/>
  <c r="AD64" i="31"/>
  <c r="AE64" i="31" s="1"/>
  <c r="AD59" i="31"/>
  <c r="AE59" i="31" s="1"/>
  <c r="AD90" i="31"/>
  <c r="AE90" i="31" s="1"/>
  <c r="AB53" i="31"/>
  <c r="AC53" i="31" s="1"/>
  <c r="AD48" i="31"/>
  <c r="AE48" i="31" s="1"/>
  <c r="AA130" i="31"/>
  <c r="AB81" i="31"/>
  <c r="AC81" i="31" s="1"/>
  <c r="AB74" i="31"/>
  <c r="AC74" i="31" s="1"/>
  <c r="AB69" i="31"/>
  <c r="AC69" i="31" s="1"/>
  <c r="AB70" i="31"/>
  <c r="AC70" i="31" s="1"/>
  <c r="AB79" i="31"/>
  <c r="AC79" i="31" s="1"/>
  <c r="AB43" i="31"/>
  <c r="AC43" i="31" s="1"/>
  <c r="AB62" i="31"/>
  <c r="AC62" i="31" s="1"/>
  <c r="AB77" i="31"/>
  <c r="AC77" i="31" s="1"/>
  <c r="AB31" i="31"/>
  <c r="AB36" i="31"/>
  <c r="AC36" i="31" s="1"/>
  <c r="AB33" i="31"/>
  <c r="AC33" i="31" s="1"/>
  <c r="AD43" i="31" l="1"/>
  <c r="AE43" i="31" s="1"/>
  <c r="AD74" i="31"/>
  <c r="AE74" i="31" s="1"/>
  <c r="AD79" i="31"/>
  <c r="AE79" i="31" s="1"/>
  <c r="AD81" i="31"/>
  <c r="AE81" i="31" s="1"/>
  <c r="AD53" i="31"/>
  <c r="AE53" i="31" s="1"/>
  <c r="AD36" i="31"/>
  <c r="AE36" i="31" s="1"/>
  <c r="AD77" i="31"/>
  <c r="AE77" i="31" s="1"/>
  <c r="AD70" i="31"/>
  <c r="AE70" i="31" s="1"/>
  <c r="AB130" i="31"/>
  <c r="AC31" i="31"/>
  <c r="AD33" i="31"/>
  <c r="AE33" i="31" s="1"/>
  <c r="AD62" i="31"/>
  <c r="AE62" i="31" s="1"/>
  <c r="AD69" i="31"/>
  <c r="AE69" i="31" s="1"/>
  <c r="AC130" i="31" l="1"/>
  <c r="AD31" i="31"/>
  <c r="AD130" i="31" l="1"/>
  <c r="AE31" i="31"/>
  <c r="AF64" i="31" s="1"/>
  <c r="AG64" i="31" s="1"/>
  <c r="AF39" i="31" l="1"/>
  <c r="AG39" i="31" s="1"/>
  <c r="AF75" i="31"/>
  <c r="AG75" i="31" s="1"/>
  <c r="AH75" i="31" s="1"/>
  <c r="AI75" i="31" s="1"/>
  <c r="AF35" i="31"/>
  <c r="AG35" i="31" s="1"/>
  <c r="AH35" i="31" s="1"/>
  <c r="AI35" i="31" s="1"/>
  <c r="AF69" i="31"/>
  <c r="AG69" i="31" s="1"/>
  <c r="AF63" i="31"/>
  <c r="AG63" i="31" s="1"/>
  <c r="AF31" i="31"/>
  <c r="AF87" i="31"/>
  <c r="AG87" i="31" s="1"/>
  <c r="AH87" i="31" s="1"/>
  <c r="AI87" i="31" s="1"/>
  <c r="AF46" i="31"/>
  <c r="AG46" i="31" s="1"/>
  <c r="AH46" i="31" s="1"/>
  <c r="AI46" i="31" s="1"/>
  <c r="AF32" i="31"/>
  <c r="AG32" i="31" s="1"/>
  <c r="AH32" i="31" s="1"/>
  <c r="AI32" i="31" s="1"/>
  <c r="AF77" i="31"/>
  <c r="AG77" i="31" s="1"/>
  <c r="AH77" i="31" s="1"/>
  <c r="AI77" i="31" s="1"/>
  <c r="AF78" i="31"/>
  <c r="AG78" i="31" s="1"/>
  <c r="AH78" i="31" s="1"/>
  <c r="AI78" i="31" s="1"/>
  <c r="AF90" i="31"/>
  <c r="AG90" i="31" s="1"/>
  <c r="AH90" i="31" s="1"/>
  <c r="AI90" i="31" s="1"/>
  <c r="AF85" i="31"/>
  <c r="AG85" i="31" s="1"/>
  <c r="AH85" i="31" s="1"/>
  <c r="AI85" i="31" s="1"/>
  <c r="AF76" i="31"/>
  <c r="AG76" i="31" s="1"/>
  <c r="AH76" i="31" s="1"/>
  <c r="AI76" i="31" s="1"/>
  <c r="AF56" i="31"/>
  <c r="AG56" i="31" s="1"/>
  <c r="AH56" i="31" s="1"/>
  <c r="AI56" i="31" s="1"/>
  <c r="AF54" i="31"/>
  <c r="AG54" i="31" s="1"/>
  <c r="AH54" i="31" s="1"/>
  <c r="AI54" i="31" s="1"/>
  <c r="AF60" i="31"/>
  <c r="AG60" i="31" s="1"/>
  <c r="AH60" i="31" s="1"/>
  <c r="AI60" i="31" s="1"/>
  <c r="AF71" i="31"/>
  <c r="AG71" i="31" s="1"/>
  <c r="AH71" i="31" s="1"/>
  <c r="AI71" i="31" s="1"/>
  <c r="AF41" i="31"/>
  <c r="AG41" i="31" s="1"/>
  <c r="AH41" i="31" s="1"/>
  <c r="AI41" i="31" s="1"/>
  <c r="AF67" i="31"/>
  <c r="AG67" i="31" s="1"/>
  <c r="AH67" i="31" s="1"/>
  <c r="AI67" i="31" s="1"/>
  <c r="AF48" i="31"/>
  <c r="AG48" i="31" s="1"/>
  <c r="AH48" i="31" s="1"/>
  <c r="AI48" i="31" s="1"/>
  <c r="AF53" i="31"/>
  <c r="AG53" i="31" s="1"/>
  <c r="AF58" i="31"/>
  <c r="AG58" i="31" s="1"/>
  <c r="AH58" i="31" s="1"/>
  <c r="AI58" i="31" s="1"/>
  <c r="AF80" i="31"/>
  <c r="AG80" i="31" s="1"/>
  <c r="AH80" i="31" s="1"/>
  <c r="AI80" i="31" s="1"/>
  <c r="AF84" i="31"/>
  <c r="AG84" i="31" s="1"/>
  <c r="AH84" i="31" s="1"/>
  <c r="AI84" i="31" s="1"/>
  <c r="AF51" i="31"/>
  <c r="AG51" i="31" s="1"/>
  <c r="AH51" i="31" s="1"/>
  <c r="AI51" i="31" s="1"/>
  <c r="AF73" i="31"/>
  <c r="AG73" i="31" s="1"/>
  <c r="AH73" i="31" s="1"/>
  <c r="AI73" i="31" s="1"/>
  <c r="AF59" i="31"/>
  <c r="AG59" i="31" s="1"/>
  <c r="AH59" i="31" s="1"/>
  <c r="AI59" i="31" s="1"/>
  <c r="AF57" i="31"/>
  <c r="AG57" i="31" s="1"/>
  <c r="AH57" i="31" s="1"/>
  <c r="AI57" i="31" s="1"/>
  <c r="AF72" i="31"/>
  <c r="AG72" i="31" s="1"/>
  <c r="AH72" i="31" s="1"/>
  <c r="AI72" i="31" s="1"/>
  <c r="AF52" i="31"/>
  <c r="AG52" i="31" s="1"/>
  <c r="AH52" i="31" s="1"/>
  <c r="AI52" i="31" s="1"/>
  <c r="AF91" i="31"/>
  <c r="AG91" i="31" s="1"/>
  <c r="AH91" i="31" s="1"/>
  <c r="AI91" i="31" s="1"/>
  <c r="AF38" i="31"/>
  <c r="AG38" i="31" s="1"/>
  <c r="AH38" i="31" s="1"/>
  <c r="AI38" i="31" s="1"/>
  <c r="AF44" i="31"/>
  <c r="AG44" i="31" s="1"/>
  <c r="AF65" i="31"/>
  <c r="AG65" i="31" s="1"/>
  <c r="AH65" i="31" s="1"/>
  <c r="AI65" i="31" s="1"/>
  <c r="AF62" i="31"/>
  <c r="AG62" i="31" s="1"/>
  <c r="AH62" i="31" s="1"/>
  <c r="AI62" i="31" s="1"/>
  <c r="AF81" i="31"/>
  <c r="AG81" i="31" s="1"/>
  <c r="AF49" i="31"/>
  <c r="AG49" i="31" s="1"/>
  <c r="AF55" i="31"/>
  <c r="AG55" i="31" s="1"/>
  <c r="AF47" i="31"/>
  <c r="AG47" i="31" s="1"/>
  <c r="AF66" i="31"/>
  <c r="AG66" i="31" s="1"/>
  <c r="AF50" i="31"/>
  <c r="AG50" i="31" s="1"/>
  <c r="AF89" i="31"/>
  <c r="AG89" i="31" s="1"/>
  <c r="AF34" i="31"/>
  <c r="AG34" i="31" s="1"/>
  <c r="AF42" i="31"/>
  <c r="AG42" i="31" s="1"/>
  <c r="AF61" i="31"/>
  <c r="AG61" i="31" s="1"/>
  <c r="AH61" i="31" s="1"/>
  <c r="AI61" i="31" s="1"/>
  <c r="AF86" i="31"/>
  <c r="AG86" i="31" s="1"/>
  <c r="AH86" i="31" s="1"/>
  <c r="AI86" i="31" s="1"/>
  <c r="AF68" i="31"/>
  <c r="AG68" i="31" s="1"/>
  <c r="AH68" i="31" s="1"/>
  <c r="AI68" i="31" s="1"/>
  <c r="AF45" i="31"/>
  <c r="AG45" i="31" s="1"/>
  <c r="AH45" i="31" s="1"/>
  <c r="AI45" i="31" s="1"/>
  <c r="AF40" i="31"/>
  <c r="AG40" i="31" s="1"/>
  <c r="AH40" i="31" s="1"/>
  <c r="AI40" i="31" s="1"/>
  <c r="AF93" i="31"/>
  <c r="AG93" i="31" s="1"/>
  <c r="AH93" i="31" s="1"/>
  <c r="AI93" i="31" s="1"/>
  <c r="AF88" i="31"/>
  <c r="AG88" i="31" s="1"/>
  <c r="AH88" i="31" s="1"/>
  <c r="AI88" i="31" s="1"/>
  <c r="AF94" i="31"/>
  <c r="AG94" i="31" s="1"/>
  <c r="AH94" i="31" s="1"/>
  <c r="AI94" i="31" s="1"/>
  <c r="AF36" i="31"/>
  <c r="AG36" i="31" s="1"/>
  <c r="AH36" i="31" s="1"/>
  <c r="AI36" i="31" s="1"/>
  <c r="AF33" i="31"/>
  <c r="AG33" i="31" s="1"/>
  <c r="AH33" i="31" s="1"/>
  <c r="AI33" i="31" s="1"/>
  <c r="AF37" i="31"/>
  <c r="AG37" i="31" s="1"/>
  <c r="AH37" i="31" s="1"/>
  <c r="AI37" i="31" s="1"/>
  <c r="AF92" i="31"/>
  <c r="AG92" i="31" s="1"/>
  <c r="AH92" i="31" s="1"/>
  <c r="AI92" i="31" s="1"/>
  <c r="AF95" i="31"/>
  <c r="AG95" i="31" s="1"/>
  <c r="AH95" i="31" s="1"/>
  <c r="AI95" i="31" s="1"/>
  <c r="AF83" i="31"/>
  <c r="AG83" i="31" s="1"/>
  <c r="AH83" i="31" s="1"/>
  <c r="AI83" i="31" s="1"/>
  <c r="AF82" i="31"/>
  <c r="AG82" i="31" s="1"/>
  <c r="AH82" i="31" s="1"/>
  <c r="AI82" i="31" s="1"/>
  <c r="AH81" i="31"/>
  <c r="AI81" i="31" s="1"/>
  <c r="AH49" i="31"/>
  <c r="AI49" i="31" s="1"/>
  <c r="AH55" i="31"/>
  <c r="AI55" i="31" s="1"/>
  <c r="AH47" i="31"/>
  <c r="AI47" i="31" s="1"/>
  <c r="AH66" i="31"/>
  <c r="AI66" i="31" s="1"/>
  <c r="AH50" i="31"/>
  <c r="AI50" i="31" s="1"/>
  <c r="AH89" i="31"/>
  <c r="AI89" i="31" s="1"/>
  <c r="AH34" i="31"/>
  <c r="AI34" i="31" s="1"/>
  <c r="AH42" i="31"/>
  <c r="AI42" i="31" s="1"/>
  <c r="AH44" i="31"/>
  <c r="AI44" i="31" s="1"/>
  <c r="AG31" i="31"/>
  <c r="AH69" i="31"/>
  <c r="AI69" i="31" s="1"/>
  <c r="AH63" i="31"/>
  <c r="AI63" i="31" s="1"/>
  <c r="AH39" i="31"/>
  <c r="AI39" i="31" s="1"/>
  <c r="AE130" i="31"/>
  <c r="AF79" i="31"/>
  <c r="AG79" i="31" s="1"/>
  <c r="AF43" i="31"/>
  <c r="AG43" i="31" s="1"/>
  <c r="AF74" i="31"/>
  <c r="AG74" i="31" s="1"/>
  <c r="AF70" i="31"/>
  <c r="AG70" i="31" s="1"/>
  <c r="AH53" i="31"/>
  <c r="AI53" i="31" s="1"/>
  <c r="AH64" i="31"/>
  <c r="AI64" i="31" s="1"/>
  <c r="AH74" i="31" l="1"/>
  <c r="AI74" i="31" s="1"/>
  <c r="AG130" i="31"/>
  <c r="AH31" i="31"/>
  <c r="AH43" i="31"/>
  <c r="AI43" i="31" s="1"/>
  <c r="AF130" i="31"/>
  <c r="AH79" i="31"/>
  <c r="AI79" i="31" s="1"/>
  <c r="AH70" i="31"/>
  <c r="AI70" i="31" s="1"/>
  <c r="AH130" i="31" l="1"/>
  <c r="AI31" i="31"/>
  <c r="AJ43" i="31" s="1"/>
  <c r="AK43" i="31" s="1"/>
  <c r="AJ84" i="31"/>
  <c r="AK84" i="31" s="1"/>
  <c r="AJ48" i="31"/>
  <c r="AK48" i="31" s="1"/>
  <c r="AJ53" i="31" l="1"/>
  <c r="AK53" i="31" s="1"/>
  <c r="AL53" i="31" s="1"/>
  <c r="AM53" i="31" s="1"/>
  <c r="AJ74" i="31"/>
  <c r="AK74" i="31" s="1"/>
  <c r="AL74" i="31" s="1"/>
  <c r="AM74" i="31" s="1"/>
  <c r="AJ38" i="31"/>
  <c r="AK38" i="31" s="1"/>
  <c r="AL38" i="31" s="1"/>
  <c r="AM38" i="31" s="1"/>
  <c r="AJ73" i="31"/>
  <c r="AK73" i="31" s="1"/>
  <c r="AL73" i="31" s="1"/>
  <c r="AM73" i="31" s="1"/>
  <c r="AJ80" i="31"/>
  <c r="AK80" i="31" s="1"/>
  <c r="AL80" i="31" s="1"/>
  <c r="AM80" i="31" s="1"/>
  <c r="AJ64" i="31"/>
  <c r="AK64" i="31" s="1"/>
  <c r="AL64" i="31" s="1"/>
  <c r="AM64" i="31" s="1"/>
  <c r="AJ91" i="31"/>
  <c r="AK91" i="31" s="1"/>
  <c r="AL91" i="31" s="1"/>
  <c r="AM91" i="31" s="1"/>
  <c r="AJ52" i="31"/>
  <c r="AK52" i="31" s="1"/>
  <c r="AL52" i="31" s="1"/>
  <c r="AM52" i="31" s="1"/>
  <c r="AJ58" i="31"/>
  <c r="AK58" i="31" s="1"/>
  <c r="AL58" i="31" s="1"/>
  <c r="AM58" i="31" s="1"/>
  <c r="AJ57" i="31"/>
  <c r="AK57" i="31" s="1"/>
  <c r="AL57" i="31" s="1"/>
  <c r="AM57" i="31" s="1"/>
  <c r="AJ82" i="31"/>
  <c r="AK82" i="31" s="1"/>
  <c r="AL82" i="31" s="1"/>
  <c r="AM82" i="31" s="1"/>
  <c r="AJ72" i="31"/>
  <c r="AK72" i="31" s="1"/>
  <c r="AL72" i="31" s="1"/>
  <c r="AM72" i="31" s="1"/>
  <c r="AJ51" i="31"/>
  <c r="AK51" i="31" s="1"/>
  <c r="AL51" i="31" s="1"/>
  <c r="AM51" i="31" s="1"/>
  <c r="AJ70" i="31"/>
  <c r="AK70" i="31" s="1"/>
  <c r="AL70" i="31" s="1"/>
  <c r="AM70" i="31" s="1"/>
  <c r="AJ59" i="31"/>
  <c r="AK59" i="31" s="1"/>
  <c r="AL59" i="31" s="1"/>
  <c r="AM59" i="31" s="1"/>
  <c r="AJ77" i="31"/>
  <c r="AK77" i="31" s="1"/>
  <c r="AL77" i="31" s="1"/>
  <c r="AM77" i="31" s="1"/>
  <c r="AL48" i="31"/>
  <c r="AM48" i="31" s="1"/>
  <c r="AL84" i="31"/>
  <c r="AM84" i="31" s="1"/>
  <c r="AL43" i="31"/>
  <c r="AM43" i="31" s="1"/>
  <c r="AI130" i="31"/>
  <c r="AJ67" i="31"/>
  <c r="AK67" i="31" s="1"/>
  <c r="AJ37" i="31"/>
  <c r="AK37" i="31" s="1"/>
  <c r="AJ94" i="31"/>
  <c r="AK94" i="31" s="1"/>
  <c r="AJ63" i="31"/>
  <c r="AK63" i="31" s="1"/>
  <c r="AJ68" i="31"/>
  <c r="AK68" i="31" s="1"/>
  <c r="AJ47" i="31"/>
  <c r="AK47" i="31" s="1"/>
  <c r="AJ41" i="31"/>
  <c r="AK41" i="31" s="1"/>
  <c r="AJ56" i="31"/>
  <c r="AK56" i="31" s="1"/>
  <c r="AJ90" i="31"/>
  <c r="AK90" i="31" s="1"/>
  <c r="AJ69" i="31"/>
  <c r="AK69" i="31" s="1"/>
  <c r="AJ42" i="31"/>
  <c r="AK42" i="31" s="1"/>
  <c r="AJ81" i="31"/>
  <c r="AK81" i="31" s="1"/>
  <c r="AJ66" i="31"/>
  <c r="AK66" i="31" s="1"/>
  <c r="AJ76" i="31"/>
  <c r="AK76" i="31" s="1"/>
  <c r="AJ46" i="31"/>
  <c r="AK46" i="31" s="1"/>
  <c r="AJ78" i="31"/>
  <c r="AK78" i="31" s="1"/>
  <c r="AJ83" i="31"/>
  <c r="AK83" i="31" s="1"/>
  <c r="AJ33" i="31"/>
  <c r="AK33" i="31" s="1"/>
  <c r="AJ88" i="31"/>
  <c r="AK88" i="31" s="1"/>
  <c r="AJ75" i="31"/>
  <c r="AK75" i="31" s="1"/>
  <c r="AJ61" i="31"/>
  <c r="AK61" i="31" s="1"/>
  <c r="AJ49" i="31"/>
  <c r="AK49" i="31" s="1"/>
  <c r="AJ71" i="31"/>
  <c r="AK71" i="31" s="1"/>
  <c r="AJ62" i="31"/>
  <c r="AK62" i="31" s="1"/>
  <c r="AJ32" i="31"/>
  <c r="AK32" i="31" s="1"/>
  <c r="AJ65" i="31"/>
  <c r="AK65" i="31" s="1"/>
  <c r="AJ89" i="31"/>
  <c r="AK89" i="31" s="1"/>
  <c r="AJ40" i="31"/>
  <c r="AK40" i="31" s="1"/>
  <c r="AJ45" i="31"/>
  <c r="AK45" i="31" s="1"/>
  <c r="AJ31" i="31"/>
  <c r="AJ93" i="31"/>
  <c r="AK93" i="31" s="1"/>
  <c r="AJ50" i="31"/>
  <c r="AK50" i="31" s="1"/>
  <c r="AJ54" i="31"/>
  <c r="AK54" i="31" s="1"/>
  <c r="AJ86" i="31"/>
  <c r="AK86" i="31" s="1"/>
  <c r="AJ95" i="31"/>
  <c r="AK95" i="31" s="1"/>
  <c r="AJ36" i="31"/>
  <c r="AK36" i="31" s="1"/>
  <c r="AJ39" i="31"/>
  <c r="AK39" i="31" s="1"/>
  <c r="AJ34" i="31"/>
  <c r="AK34" i="31" s="1"/>
  <c r="AJ60" i="31"/>
  <c r="AK60" i="31" s="1"/>
  <c r="AJ87" i="31"/>
  <c r="AK87" i="31" s="1"/>
  <c r="AJ92" i="31"/>
  <c r="AK92" i="31" s="1"/>
  <c r="AJ44" i="31"/>
  <c r="AK44" i="31" s="1"/>
  <c r="AJ35" i="31"/>
  <c r="AK35" i="31" s="1"/>
  <c r="AJ85" i="31"/>
  <c r="AK85" i="31" s="1"/>
  <c r="AJ55" i="31"/>
  <c r="AK55" i="31" s="1"/>
  <c r="AJ79" i="31"/>
  <c r="AK79" i="31" s="1"/>
  <c r="AL87" i="31" l="1"/>
  <c r="AM87" i="31" s="1"/>
  <c r="AL36" i="31"/>
  <c r="AM36" i="31" s="1"/>
  <c r="AL50" i="31"/>
  <c r="AM50" i="31" s="1"/>
  <c r="AL40" i="31"/>
  <c r="AM40" i="31" s="1"/>
  <c r="AL62" i="31"/>
  <c r="AM62" i="31" s="1"/>
  <c r="AL75" i="31"/>
  <c r="AM75" i="31" s="1"/>
  <c r="AL78" i="31"/>
  <c r="AM78" i="31" s="1"/>
  <c r="AL90" i="31"/>
  <c r="AM90" i="31" s="1"/>
  <c r="AL68" i="31"/>
  <c r="AM68" i="31" s="1"/>
  <c r="AL67" i="31"/>
  <c r="AM67" i="31" s="1"/>
  <c r="AL85" i="31"/>
  <c r="AM85" i="31" s="1"/>
  <c r="AL35" i="31"/>
  <c r="AM35" i="31" s="1"/>
  <c r="AL60" i="31"/>
  <c r="AM60" i="31" s="1"/>
  <c r="AL95" i="31"/>
  <c r="AM95" i="31" s="1"/>
  <c r="AL93" i="31"/>
  <c r="AM93" i="31" s="1"/>
  <c r="AL89" i="31"/>
  <c r="AM89" i="31" s="1"/>
  <c r="AL71" i="31"/>
  <c r="AM71" i="31" s="1"/>
  <c r="AL88" i="31"/>
  <c r="AM88" i="31" s="1"/>
  <c r="AL46" i="31"/>
  <c r="AM46" i="31" s="1"/>
  <c r="AL81" i="31"/>
  <c r="AM81" i="31" s="1"/>
  <c r="AL56" i="31"/>
  <c r="AM56" i="31" s="1"/>
  <c r="AL63" i="31"/>
  <c r="AM63" i="31" s="1"/>
  <c r="AL79" i="31"/>
  <c r="AM79" i="31" s="1"/>
  <c r="AL44" i="31"/>
  <c r="AM44" i="31" s="1"/>
  <c r="AL34" i="31"/>
  <c r="AM34" i="31" s="1"/>
  <c r="AL86" i="31"/>
  <c r="AM86" i="31" s="1"/>
  <c r="AJ130" i="31"/>
  <c r="AK31" i="31"/>
  <c r="AL65" i="31"/>
  <c r="AM65" i="31" s="1"/>
  <c r="AL49" i="31"/>
  <c r="AM49" i="31" s="1"/>
  <c r="AL33" i="31"/>
  <c r="AM33" i="31" s="1"/>
  <c r="AL76" i="31"/>
  <c r="AM76" i="31" s="1"/>
  <c r="AL42" i="31"/>
  <c r="AM42" i="31" s="1"/>
  <c r="AL41" i="31"/>
  <c r="AM41" i="31" s="1"/>
  <c r="AL94" i="31"/>
  <c r="AM94" i="31" s="1"/>
  <c r="AL55" i="31"/>
  <c r="AM55" i="31" s="1"/>
  <c r="AL92" i="31"/>
  <c r="AM92" i="31" s="1"/>
  <c r="AL39" i="31"/>
  <c r="AM39" i="31" s="1"/>
  <c r="AL54" i="31"/>
  <c r="AM54" i="31" s="1"/>
  <c r="AL45" i="31"/>
  <c r="AM45" i="31" s="1"/>
  <c r="AL32" i="31"/>
  <c r="AM32" i="31" s="1"/>
  <c r="AL61" i="31"/>
  <c r="AM61" i="31" s="1"/>
  <c r="AL83" i="31"/>
  <c r="AM83" i="31" s="1"/>
  <c r="AL66" i="31"/>
  <c r="AM66" i="31" s="1"/>
  <c r="AL69" i="31"/>
  <c r="AM69" i="31" s="1"/>
  <c r="AL47" i="31"/>
  <c r="AM47" i="31" s="1"/>
  <c r="AL37" i="31"/>
  <c r="AM37" i="31" s="1"/>
  <c r="AK130" i="31" l="1"/>
  <c r="AL31" i="31"/>
  <c r="AL130" i="31" l="1"/>
  <c r="AM31" i="31"/>
  <c r="AN93" i="31" s="1"/>
  <c r="AO93" i="31" s="1"/>
  <c r="AN85" i="31" l="1"/>
  <c r="AO85" i="31" s="1"/>
  <c r="AN39" i="31"/>
  <c r="AO39" i="31" s="1"/>
  <c r="AN61" i="31"/>
  <c r="AO61" i="31" s="1"/>
  <c r="AP61" i="31" s="1"/>
  <c r="AQ61" i="31" s="1"/>
  <c r="AN88" i="31"/>
  <c r="AO88" i="31" s="1"/>
  <c r="AP88" i="31" s="1"/>
  <c r="AQ88" i="31" s="1"/>
  <c r="AN82" i="31"/>
  <c r="AO82" i="31" s="1"/>
  <c r="AN65" i="31"/>
  <c r="AO65" i="31" s="1"/>
  <c r="AP65" i="31" s="1"/>
  <c r="AQ65" i="31" s="1"/>
  <c r="AN47" i="31"/>
  <c r="AO47" i="31" s="1"/>
  <c r="AP47" i="31" s="1"/>
  <c r="AQ47" i="31" s="1"/>
  <c r="AN56" i="31"/>
  <c r="AO56" i="31" s="1"/>
  <c r="AP56" i="31" s="1"/>
  <c r="AQ56" i="31" s="1"/>
  <c r="AN34" i="31"/>
  <c r="AO34" i="31" s="1"/>
  <c r="AP34" i="31" s="1"/>
  <c r="AQ34" i="31" s="1"/>
  <c r="AN92" i="31"/>
  <c r="AO92" i="31" s="1"/>
  <c r="AP92" i="31" s="1"/>
  <c r="AQ92" i="31" s="1"/>
  <c r="AN59" i="31"/>
  <c r="AO59" i="31" s="1"/>
  <c r="AP59" i="31" s="1"/>
  <c r="AQ59" i="31" s="1"/>
  <c r="AN60" i="31"/>
  <c r="AO60" i="31" s="1"/>
  <c r="AP60" i="31" s="1"/>
  <c r="AQ60" i="31" s="1"/>
  <c r="AN41" i="31"/>
  <c r="AO41" i="31" s="1"/>
  <c r="AP41" i="31" s="1"/>
  <c r="AQ41" i="31" s="1"/>
  <c r="AN55" i="31"/>
  <c r="AO55" i="31" s="1"/>
  <c r="AP55" i="31" s="1"/>
  <c r="AQ55" i="31" s="1"/>
  <c r="AN94" i="31"/>
  <c r="AO94" i="31" s="1"/>
  <c r="AP94" i="31" s="1"/>
  <c r="AQ94" i="31" s="1"/>
  <c r="AN86" i="31"/>
  <c r="AO86" i="31" s="1"/>
  <c r="AP86" i="31" s="1"/>
  <c r="AQ86" i="31" s="1"/>
  <c r="AN50" i="31"/>
  <c r="AO50" i="31" s="1"/>
  <c r="AP50" i="31" s="1"/>
  <c r="AQ50" i="31" s="1"/>
  <c r="AN51" i="31"/>
  <c r="AO51" i="31" s="1"/>
  <c r="AP51" i="31" s="1"/>
  <c r="AQ51" i="31" s="1"/>
  <c r="AN76" i="31"/>
  <c r="AO76" i="31" s="1"/>
  <c r="AP76" i="31" s="1"/>
  <c r="AQ76" i="31" s="1"/>
  <c r="AN48" i="31"/>
  <c r="AO48" i="31" s="1"/>
  <c r="AP48" i="31" s="1"/>
  <c r="AQ48" i="31" s="1"/>
  <c r="AN72" i="31"/>
  <c r="AO72" i="31" s="1"/>
  <c r="AP72" i="31" s="1"/>
  <c r="AQ72" i="31" s="1"/>
  <c r="AN73" i="31"/>
  <c r="AO73" i="31" s="1"/>
  <c r="AP73" i="31" s="1"/>
  <c r="AQ73" i="31" s="1"/>
  <c r="AN69" i="31"/>
  <c r="AO69" i="31" s="1"/>
  <c r="AP69" i="31" s="1"/>
  <c r="AQ69" i="31" s="1"/>
  <c r="AN42" i="31"/>
  <c r="AO42" i="31" s="1"/>
  <c r="AP42" i="31" s="1"/>
  <c r="AQ42" i="31" s="1"/>
  <c r="AN44" i="31"/>
  <c r="AO44" i="31" s="1"/>
  <c r="AP44" i="31" s="1"/>
  <c r="AQ44" i="31" s="1"/>
  <c r="AN66" i="31"/>
  <c r="AO66" i="31" s="1"/>
  <c r="AP66" i="31" s="1"/>
  <c r="AQ66" i="31" s="1"/>
  <c r="AN84" i="31"/>
  <c r="AO84" i="31" s="1"/>
  <c r="AP84" i="31" s="1"/>
  <c r="AQ84" i="31" s="1"/>
  <c r="AN40" i="31"/>
  <c r="AO40" i="31" s="1"/>
  <c r="AP40" i="31" s="1"/>
  <c r="AQ40" i="31" s="1"/>
  <c r="AN79" i="31"/>
  <c r="AO79" i="31" s="1"/>
  <c r="AP79" i="31" s="1"/>
  <c r="AQ79" i="31" s="1"/>
  <c r="AN74" i="31"/>
  <c r="AO74" i="31" s="1"/>
  <c r="AP74" i="31" s="1"/>
  <c r="AQ74" i="31" s="1"/>
  <c r="AN64" i="31"/>
  <c r="AO64" i="31" s="1"/>
  <c r="AP64" i="31" s="1"/>
  <c r="AQ64" i="31" s="1"/>
  <c r="AN75" i="31"/>
  <c r="AO75" i="31" s="1"/>
  <c r="AP75" i="31" s="1"/>
  <c r="AQ75" i="31" s="1"/>
  <c r="AN31" i="31"/>
  <c r="AO31" i="31" s="1"/>
  <c r="AN46" i="31"/>
  <c r="AO46" i="31" s="1"/>
  <c r="AP46" i="31" s="1"/>
  <c r="AQ46" i="31" s="1"/>
  <c r="AN45" i="31"/>
  <c r="AO45" i="31" s="1"/>
  <c r="AP45" i="31" s="1"/>
  <c r="AQ45" i="31" s="1"/>
  <c r="AN49" i="31"/>
  <c r="AO49" i="31" s="1"/>
  <c r="AP49" i="31" s="1"/>
  <c r="AQ49" i="31" s="1"/>
  <c r="AN38" i="31"/>
  <c r="AO38" i="31" s="1"/>
  <c r="AP38" i="31" s="1"/>
  <c r="AQ38" i="31" s="1"/>
  <c r="AN77" i="31"/>
  <c r="AO77" i="31" s="1"/>
  <c r="AP77" i="31" s="1"/>
  <c r="AQ77" i="31" s="1"/>
  <c r="AN52" i="31"/>
  <c r="AO52" i="31" s="1"/>
  <c r="AP52" i="31" s="1"/>
  <c r="AQ52" i="31" s="1"/>
  <c r="AN32" i="31"/>
  <c r="AO32" i="31" s="1"/>
  <c r="AP32" i="31" s="1"/>
  <c r="AQ32" i="31" s="1"/>
  <c r="AN33" i="31"/>
  <c r="AO33" i="31" s="1"/>
  <c r="AP33" i="31" s="1"/>
  <c r="AQ33" i="31" s="1"/>
  <c r="AN91" i="31"/>
  <c r="AO91" i="31" s="1"/>
  <c r="AP91" i="31" s="1"/>
  <c r="AQ91" i="31" s="1"/>
  <c r="AN37" i="31"/>
  <c r="AO37" i="31" s="1"/>
  <c r="AP37" i="31" s="1"/>
  <c r="AQ37" i="31" s="1"/>
  <c r="AN53" i="31"/>
  <c r="AO53" i="31" s="1"/>
  <c r="AP53" i="31" s="1"/>
  <c r="AQ53" i="31" s="1"/>
  <c r="AN83" i="31"/>
  <c r="AO83" i="31" s="1"/>
  <c r="AP83" i="31" s="1"/>
  <c r="AQ83" i="31" s="1"/>
  <c r="AN67" i="31"/>
  <c r="AO67" i="31" s="1"/>
  <c r="AP67" i="31" s="1"/>
  <c r="AQ67" i="31" s="1"/>
  <c r="AN80" i="31"/>
  <c r="AO80" i="31" s="1"/>
  <c r="AP80" i="31" s="1"/>
  <c r="AQ80" i="31" s="1"/>
  <c r="AN54" i="31"/>
  <c r="AO54" i="31" s="1"/>
  <c r="AP54" i="31" s="1"/>
  <c r="AQ54" i="31" s="1"/>
  <c r="AN58" i="31"/>
  <c r="AO58" i="31" s="1"/>
  <c r="AP58" i="31" s="1"/>
  <c r="AQ58" i="31" s="1"/>
  <c r="AN68" i="31"/>
  <c r="AO68" i="31" s="1"/>
  <c r="AP68" i="31" s="1"/>
  <c r="AQ68" i="31" s="1"/>
  <c r="AN70" i="31"/>
  <c r="AO70" i="31" s="1"/>
  <c r="AP70" i="31" s="1"/>
  <c r="AQ70" i="31" s="1"/>
  <c r="AN57" i="31"/>
  <c r="AO57" i="31" s="1"/>
  <c r="AP57" i="31" s="1"/>
  <c r="AQ57" i="31" s="1"/>
  <c r="AN43" i="31"/>
  <c r="AO43" i="31" s="1"/>
  <c r="AP43" i="31" s="1"/>
  <c r="AQ43" i="31" s="1"/>
  <c r="AP85" i="31"/>
  <c r="AQ85" i="31" s="1"/>
  <c r="AP39" i="31"/>
  <c r="AQ39" i="31" s="1"/>
  <c r="AP93" i="31"/>
  <c r="AQ93" i="31" s="1"/>
  <c r="AP82" i="31"/>
  <c r="AQ82" i="31" s="1"/>
  <c r="AM130" i="31"/>
  <c r="AN87" i="31"/>
  <c r="AO87" i="31" s="1"/>
  <c r="AN35" i="31"/>
  <c r="AO35" i="31" s="1"/>
  <c r="AN89" i="31"/>
  <c r="AO89" i="31" s="1"/>
  <c r="AN90" i="31"/>
  <c r="AO90" i="31" s="1"/>
  <c r="AN62" i="31"/>
  <c r="AO62" i="31" s="1"/>
  <c r="AN36" i="31"/>
  <c r="AO36" i="31" s="1"/>
  <c r="AN63" i="31"/>
  <c r="AO63" i="31" s="1"/>
  <c r="AN95" i="31"/>
  <c r="AO95" i="31" s="1"/>
  <c r="AN78" i="31"/>
  <c r="AO78" i="31" s="1"/>
  <c r="AN81" i="31"/>
  <c r="AO81" i="31" s="1"/>
  <c r="AN71" i="31"/>
  <c r="AO71" i="31" s="1"/>
  <c r="AP63" i="31" l="1"/>
  <c r="AQ63" i="31" s="1"/>
  <c r="AP89" i="31"/>
  <c r="AQ89" i="31" s="1"/>
  <c r="AP36" i="31"/>
  <c r="AQ36" i="31" s="1"/>
  <c r="AP35" i="31"/>
  <c r="AQ35" i="31" s="1"/>
  <c r="AP78" i="31"/>
  <c r="AQ78" i="31" s="1"/>
  <c r="AP62" i="31"/>
  <c r="AQ62" i="31" s="1"/>
  <c r="AP87" i="31"/>
  <c r="AQ87" i="31" s="1"/>
  <c r="AO130" i="31"/>
  <c r="AP31" i="31"/>
  <c r="AP81" i="31"/>
  <c r="AQ81" i="31" s="1"/>
  <c r="AP71" i="31"/>
  <c r="AQ71" i="31" s="1"/>
  <c r="AP95" i="31"/>
  <c r="AQ95" i="31" s="1"/>
  <c r="AP90" i="31"/>
  <c r="AQ90" i="31" s="1"/>
  <c r="AN130" i="31"/>
  <c r="AP130" i="31" l="1"/>
  <c r="AQ31" i="31"/>
  <c r="AR54" i="31" s="1"/>
  <c r="AS54" i="31" s="1"/>
  <c r="AR35" i="31" l="1"/>
  <c r="AS35" i="31" s="1"/>
  <c r="AT35" i="31" s="1"/>
  <c r="AU35" i="31" s="1"/>
  <c r="AR44" i="31"/>
  <c r="AS44" i="31" s="1"/>
  <c r="AT44" i="31" s="1"/>
  <c r="AU44" i="31" s="1"/>
  <c r="AR47" i="31"/>
  <c r="AS47" i="31" s="1"/>
  <c r="AT47" i="31" s="1"/>
  <c r="AU47" i="31" s="1"/>
  <c r="AR46" i="31"/>
  <c r="AS46" i="31" s="1"/>
  <c r="AT46" i="31" s="1"/>
  <c r="AU46" i="31" s="1"/>
  <c r="AR87" i="31"/>
  <c r="AS87" i="31" s="1"/>
  <c r="AT87" i="31" s="1"/>
  <c r="AU87" i="31" s="1"/>
  <c r="AR31" i="31"/>
  <c r="AS31" i="31" s="1"/>
  <c r="AR82" i="31"/>
  <c r="AS82" i="31" s="1"/>
  <c r="AT82" i="31" s="1"/>
  <c r="AU82" i="31" s="1"/>
  <c r="AR34" i="31"/>
  <c r="AS34" i="31" s="1"/>
  <c r="AT34" i="31" s="1"/>
  <c r="AU34" i="31" s="1"/>
  <c r="AR69" i="31"/>
  <c r="AS69" i="31" s="1"/>
  <c r="AT69" i="31" s="1"/>
  <c r="AU69" i="31" s="1"/>
  <c r="AR36" i="31"/>
  <c r="AS36" i="31" s="1"/>
  <c r="AT36" i="31" s="1"/>
  <c r="AU36" i="31" s="1"/>
  <c r="AR92" i="31"/>
  <c r="AS92" i="31" s="1"/>
  <c r="AR32" i="31"/>
  <c r="AS32" i="31" s="1"/>
  <c r="AT32" i="31" s="1"/>
  <c r="AU32" i="31" s="1"/>
  <c r="AR72" i="31"/>
  <c r="AS72" i="31" s="1"/>
  <c r="AT72" i="31" s="1"/>
  <c r="AU72" i="31" s="1"/>
  <c r="AR85" i="31"/>
  <c r="AS85" i="31" s="1"/>
  <c r="AT85" i="31" s="1"/>
  <c r="AU85" i="31" s="1"/>
  <c r="AR68" i="31"/>
  <c r="AS68" i="31" s="1"/>
  <c r="AT68" i="31" s="1"/>
  <c r="AU68" i="31" s="1"/>
  <c r="AR50" i="31"/>
  <c r="AS50" i="31" s="1"/>
  <c r="AT50" i="31" s="1"/>
  <c r="AU50" i="31" s="1"/>
  <c r="AR71" i="31"/>
  <c r="AS71" i="31" s="1"/>
  <c r="AT71" i="31" s="1"/>
  <c r="AU71" i="31" s="1"/>
  <c r="AR55" i="31"/>
  <c r="AS55" i="31" s="1"/>
  <c r="AT55" i="31" s="1"/>
  <c r="AU55" i="31" s="1"/>
  <c r="AR63" i="31"/>
  <c r="AS63" i="31" s="1"/>
  <c r="AT63" i="31" s="1"/>
  <c r="AU63" i="31" s="1"/>
  <c r="AR91" i="31"/>
  <c r="AS91" i="31" s="1"/>
  <c r="AT91" i="31" s="1"/>
  <c r="AU91" i="31" s="1"/>
  <c r="AR74" i="31"/>
  <c r="AS74" i="31" s="1"/>
  <c r="AT74" i="31" s="1"/>
  <c r="AU74" i="31" s="1"/>
  <c r="AR90" i="31"/>
  <c r="AS90" i="31" s="1"/>
  <c r="AT90" i="31" s="1"/>
  <c r="AU90" i="31" s="1"/>
  <c r="AR39" i="31"/>
  <c r="AS39" i="31" s="1"/>
  <c r="AT39" i="31" s="1"/>
  <c r="AU39" i="31" s="1"/>
  <c r="AR78" i="31"/>
  <c r="AS78" i="31" s="1"/>
  <c r="AT78" i="31" s="1"/>
  <c r="AU78" i="31" s="1"/>
  <c r="AR89" i="31"/>
  <c r="AS89" i="31" s="1"/>
  <c r="AT89" i="31" s="1"/>
  <c r="AU89" i="31" s="1"/>
  <c r="AR81" i="31"/>
  <c r="AS81" i="31" s="1"/>
  <c r="AT81" i="31" s="1"/>
  <c r="AU81" i="31" s="1"/>
  <c r="AT54" i="31"/>
  <c r="AU54" i="31" s="1"/>
  <c r="AR49" i="31"/>
  <c r="AS49" i="31" s="1"/>
  <c r="AR95" i="31"/>
  <c r="AS95" i="31" s="1"/>
  <c r="AQ130" i="31"/>
  <c r="AR33" i="31"/>
  <c r="AS33" i="31" s="1"/>
  <c r="AR42" i="31"/>
  <c r="AS42" i="31" s="1"/>
  <c r="AR75" i="31"/>
  <c r="AS75" i="31" s="1"/>
  <c r="AR80" i="31"/>
  <c r="AS80" i="31" s="1"/>
  <c r="AR88" i="31"/>
  <c r="AS88" i="31" s="1"/>
  <c r="AR51" i="31"/>
  <c r="AS51" i="31" s="1"/>
  <c r="AR61" i="31"/>
  <c r="AS61" i="31" s="1"/>
  <c r="AR52" i="31"/>
  <c r="AS52" i="31" s="1"/>
  <c r="AR56" i="31"/>
  <c r="AS56" i="31" s="1"/>
  <c r="AR73" i="31"/>
  <c r="AS73" i="31" s="1"/>
  <c r="AR53" i="31"/>
  <c r="AS53" i="31" s="1"/>
  <c r="AR79" i="31"/>
  <c r="AS79" i="31" s="1"/>
  <c r="AR94" i="31"/>
  <c r="AS94" i="31" s="1"/>
  <c r="AR37" i="31"/>
  <c r="AS37" i="31" s="1"/>
  <c r="AR43" i="31"/>
  <c r="AS43" i="31" s="1"/>
  <c r="AR38" i="31"/>
  <c r="AS38" i="31" s="1"/>
  <c r="AR58" i="31"/>
  <c r="AS58" i="31" s="1"/>
  <c r="AR48" i="31"/>
  <c r="AS48" i="31" s="1"/>
  <c r="AR64" i="31"/>
  <c r="AS64" i="31" s="1"/>
  <c r="AR40" i="31"/>
  <c r="AS40" i="31" s="1"/>
  <c r="AR86" i="31"/>
  <c r="AS86" i="31" s="1"/>
  <c r="AR67" i="31"/>
  <c r="AS67" i="31" s="1"/>
  <c r="AR62" i="31"/>
  <c r="AS62" i="31" s="1"/>
  <c r="AR65" i="31"/>
  <c r="AS65" i="31" s="1"/>
  <c r="AR70" i="31"/>
  <c r="AS70" i="31" s="1"/>
  <c r="AR45" i="31"/>
  <c r="AS45" i="31" s="1"/>
  <c r="AR66" i="31"/>
  <c r="AS66" i="31" s="1"/>
  <c r="AR60" i="31"/>
  <c r="AS60" i="31" s="1"/>
  <c r="AR93" i="31"/>
  <c r="AS93" i="31" s="1"/>
  <c r="AR83" i="31"/>
  <c r="AS83" i="31" s="1"/>
  <c r="AR59" i="31"/>
  <c r="AS59" i="31" s="1"/>
  <c r="AR76" i="31"/>
  <c r="AS76" i="31" s="1"/>
  <c r="AT92" i="31"/>
  <c r="AU92" i="31" s="1"/>
  <c r="AR77" i="31"/>
  <c r="AS77" i="31" s="1"/>
  <c r="AR41" i="31"/>
  <c r="AS41" i="31" s="1"/>
  <c r="AR57" i="31"/>
  <c r="AS57" i="31" s="1"/>
  <c r="AR84" i="31"/>
  <c r="AS84" i="31" s="1"/>
  <c r="AT77" i="31" l="1"/>
  <c r="AU77" i="31" s="1"/>
  <c r="AT93" i="31"/>
  <c r="AU93" i="31" s="1"/>
  <c r="AT70" i="31"/>
  <c r="AU70" i="31" s="1"/>
  <c r="AT86" i="31"/>
  <c r="AU86" i="31" s="1"/>
  <c r="AT58" i="31"/>
  <c r="AU58" i="31" s="1"/>
  <c r="AT94" i="31"/>
  <c r="AU94" i="31" s="1"/>
  <c r="AT56" i="31"/>
  <c r="AU56" i="31" s="1"/>
  <c r="AT88" i="31"/>
  <c r="AU88" i="31" s="1"/>
  <c r="AT33" i="31"/>
  <c r="AU33" i="31" s="1"/>
  <c r="AT95" i="31"/>
  <c r="AU95" i="31" s="1"/>
  <c r="AT76" i="31"/>
  <c r="AU76" i="31" s="1"/>
  <c r="AT80" i="31"/>
  <c r="AU80" i="31" s="1"/>
  <c r="AT84" i="31"/>
  <c r="AU84" i="31" s="1"/>
  <c r="AT65" i="31"/>
  <c r="AU65" i="31" s="1"/>
  <c r="AT38" i="31"/>
  <c r="AU38" i="31" s="1"/>
  <c r="AT52" i="31"/>
  <c r="AU52" i="31" s="1"/>
  <c r="AT57" i="31"/>
  <c r="AU57" i="31" s="1"/>
  <c r="AV92" i="31"/>
  <c r="AT59" i="31"/>
  <c r="AU59" i="31" s="1"/>
  <c r="AT66" i="31"/>
  <c r="AU66" i="31" s="1"/>
  <c r="AT62" i="31"/>
  <c r="AU62" i="31" s="1"/>
  <c r="AT64" i="31"/>
  <c r="AU64" i="31" s="1"/>
  <c r="AT43" i="31"/>
  <c r="AU43" i="31" s="1"/>
  <c r="AT53" i="31"/>
  <c r="AU53" i="31" s="1"/>
  <c r="AT61" i="31"/>
  <c r="AU61" i="31" s="1"/>
  <c r="AT75" i="31"/>
  <c r="AU75" i="31" s="1"/>
  <c r="AS130" i="31"/>
  <c r="AT31" i="31"/>
  <c r="AT60" i="31"/>
  <c r="AU60" i="31" s="1"/>
  <c r="AT40" i="31"/>
  <c r="AU40" i="31" s="1"/>
  <c r="AT79" i="31"/>
  <c r="AU79" i="31" s="1"/>
  <c r="AT41" i="31"/>
  <c r="AU41" i="31" s="1"/>
  <c r="AT83" i="31"/>
  <c r="AU83" i="31" s="1"/>
  <c r="AT45" i="31"/>
  <c r="AU45" i="31" s="1"/>
  <c r="AT67" i="31"/>
  <c r="AU67" i="31" s="1"/>
  <c r="AT48" i="31"/>
  <c r="AU48" i="31" s="1"/>
  <c r="AT37" i="31"/>
  <c r="AU37" i="31" s="1"/>
  <c r="AT73" i="31"/>
  <c r="AU73" i="31" s="1"/>
  <c r="AT51" i="31"/>
  <c r="AU51" i="31" s="1"/>
  <c r="AT42" i="31"/>
  <c r="AU42" i="31" s="1"/>
  <c r="AR130" i="31"/>
  <c r="AT49" i="31"/>
  <c r="AU49" i="31" s="1"/>
  <c r="AV68" i="31"/>
  <c r="AV84" i="31" l="1"/>
  <c r="AT130" i="31"/>
  <c r="AU31" i="31"/>
  <c r="AV88" i="31" s="1"/>
  <c r="AV42" i="31"/>
  <c r="AV48" i="31"/>
  <c r="AV45" i="31"/>
  <c r="AV41" i="31"/>
  <c r="AV85" i="31" l="1"/>
  <c r="AV63" i="31"/>
  <c r="AV61" i="31"/>
  <c r="AV87" i="31"/>
  <c r="AV33" i="31"/>
  <c r="AV36" i="31"/>
  <c r="AV82" i="31"/>
  <c r="AV77" i="31"/>
  <c r="AV52" i="31"/>
  <c r="AV89" i="31"/>
  <c r="AV70" i="31"/>
  <c r="AV55" i="31"/>
  <c r="AV69" i="31"/>
  <c r="AV80" i="31"/>
  <c r="AV93" i="31"/>
  <c r="AV40" i="31"/>
  <c r="AV58" i="31"/>
  <c r="AV44" i="31"/>
  <c r="AV62" i="31"/>
  <c r="AV91" i="31"/>
  <c r="AV59" i="31"/>
  <c r="AV73" i="31"/>
  <c r="AV76" i="31"/>
  <c r="AV43" i="31"/>
  <c r="AV56" i="31"/>
  <c r="AV39" i="31"/>
  <c r="AV47" i="31"/>
  <c r="AV66" i="31"/>
  <c r="AV53" i="31"/>
  <c r="AV75" i="31"/>
  <c r="AV71" i="31"/>
  <c r="AV67" i="31"/>
  <c r="AV95" i="31"/>
  <c r="AV37" i="31"/>
  <c r="AV46" i="31"/>
  <c r="AV32" i="31"/>
  <c r="AV35" i="31"/>
  <c r="AV60" i="31"/>
  <c r="AV51" i="31"/>
  <c r="AV38" i="31"/>
  <c r="AV65" i="31"/>
  <c r="AV31" i="31"/>
  <c r="AV34" i="31"/>
  <c r="AV64" i="31"/>
  <c r="AV50" i="31"/>
  <c r="AV74" i="31"/>
  <c r="AV79" i="31"/>
  <c r="AU130" i="31"/>
  <c r="AV54" i="31"/>
  <c r="AV49" i="31"/>
  <c r="AV78" i="31"/>
  <c r="AV57" i="31"/>
  <c r="AV72" i="31"/>
  <c r="AV90" i="31"/>
  <c r="AV83" i="31"/>
  <c r="AV94" i="31"/>
  <c r="AV81" i="31"/>
  <c r="AV86" i="31"/>
  <c r="AW83" i="31" l="1"/>
  <c r="AX83" i="31" s="1"/>
  <c r="E83" i="32" s="1"/>
  <c r="F83" i="32" s="1"/>
  <c r="AW78" i="31"/>
  <c r="AX78" i="31" s="1"/>
  <c r="E78" i="32" s="1"/>
  <c r="AW52" i="31"/>
  <c r="AX52" i="31" s="1"/>
  <c r="E52" i="32" s="1"/>
  <c r="AW40" i="31"/>
  <c r="AX40" i="31" s="1"/>
  <c r="E40" i="32" s="1"/>
  <c r="AW87" i="31"/>
  <c r="AX87" i="31" s="1"/>
  <c r="E87" i="32" s="1"/>
  <c r="AW90" i="31"/>
  <c r="AX90" i="31" s="1"/>
  <c r="E90" i="32" s="1"/>
  <c r="AW49" i="31"/>
  <c r="AX49" i="31" s="1"/>
  <c r="E49" i="32" s="1"/>
  <c r="AW53" i="31"/>
  <c r="AX53" i="31" s="1"/>
  <c r="E53" i="32" s="1"/>
  <c r="AW36" i="31"/>
  <c r="AX36" i="31" s="1"/>
  <c r="E36" i="32" s="1"/>
  <c r="AW59" i="31"/>
  <c r="AX59" i="31" s="1"/>
  <c r="E59" i="32" s="1"/>
  <c r="AW63" i="31"/>
  <c r="AX63" i="31" s="1"/>
  <c r="E63" i="32" s="1"/>
  <c r="AW79" i="31"/>
  <c r="AX79" i="31" s="1"/>
  <c r="E79" i="32" s="1"/>
  <c r="AW34" i="31"/>
  <c r="AX34" i="31" s="1"/>
  <c r="E34" i="32" s="1"/>
  <c r="AW33" i="31"/>
  <c r="AX33" i="31" s="1"/>
  <c r="E33" i="32" s="1"/>
  <c r="AW95" i="31"/>
  <c r="AX95" i="31" s="1"/>
  <c r="E95" i="32" s="1"/>
  <c r="AW32" i="31"/>
  <c r="AX32" i="31" s="1"/>
  <c r="E32" i="32" s="1"/>
  <c r="AW39" i="31"/>
  <c r="AX39" i="31" s="1"/>
  <c r="E39" i="32" s="1"/>
  <c r="AW61" i="31"/>
  <c r="AX61" i="31" s="1"/>
  <c r="E61" i="32" s="1"/>
  <c r="AW75" i="31"/>
  <c r="AX75" i="31" s="1"/>
  <c r="E75" i="32" s="1"/>
  <c r="AW44" i="31"/>
  <c r="AX44" i="31" s="1"/>
  <c r="E44" i="32" s="1"/>
  <c r="AW43" i="31"/>
  <c r="AX43" i="31" s="1"/>
  <c r="E43" i="32" s="1"/>
  <c r="AW86" i="31"/>
  <c r="AX86" i="31" s="1"/>
  <c r="E86" i="32" s="1"/>
  <c r="AW72" i="31"/>
  <c r="AX72" i="31" s="1"/>
  <c r="E72" i="32" s="1"/>
  <c r="AW54" i="31"/>
  <c r="AX54" i="31" s="1"/>
  <c r="E54" i="32" s="1"/>
  <c r="AW91" i="31"/>
  <c r="AX91" i="31" s="1"/>
  <c r="E91" i="32" s="1"/>
  <c r="AW70" i="31"/>
  <c r="AX70" i="31" s="1"/>
  <c r="E70" i="32" s="1"/>
  <c r="AW93" i="31"/>
  <c r="AX93" i="31" s="1"/>
  <c r="E93" i="32" s="1"/>
  <c r="AW92" i="31"/>
  <c r="AX92" i="31" s="1"/>
  <c r="E92" i="32" s="1"/>
  <c r="AW74" i="31"/>
  <c r="AX74" i="31" s="1"/>
  <c r="E74" i="32" s="1"/>
  <c r="AW31" i="31"/>
  <c r="AW77" i="31"/>
  <c r="AX77" i="31" s="1"/>
  <c r="E77" i="32" s="1"/>
  <c r="AW37" i="31"/>
  <c r="AX37" i="31" s="1"/>
  <c r="E37" i="32" s="1"/>
  <c r="AW66" i="31"/>
  <c r="AX66" i="31" s="1"/>
  <c r="E66" i="32" s="1"/>
  <c r="AW56" i="31"/>
  <c r="AX56" i="31" s="1"/>
  <c r="E56" i="32" s="1"/>
  <c r="AW88" i="31"/>
  <c r="AX88" i="31" s="1"/>
  <c r="E88" i="32" s="1"/>
  <c r="AW71" i="31"/>
  <c r="AX71" i="31" s="1"/>
  <c r="E71" i="32" s="1"/>
  <c r="AW58" i="31"/>
  <c r="AX58" i="31" s="1"/>
  <c r="E58" i="32" s="1"/>
  <c r="AW76" i="31"/>
  <c r="AX76" i="31" s="1"/>
  <c r="E76" i="32" s="1"/>
  <c r="AW81" i="31"/>
  <c r="AX81" i="31" s="1"/>
  <c r="E81" i="32" s="1"/>
  <c r="AW94" i="31"/>
  <c r="AX94" i="31" s="1"/>
  <c r="E94" i="32" s="1"/>
  <c r="AW57" i="31"/>
  <c r="AX57" i="31" s="1"/>
  <c r="E57" i="32" s="1"/>
  <c r="AW47" i="31"/>
  <c r="AX47" i="31" s="1"/>
  <c r="E47" i="32" s="1"/>
  <c r="AW73" i="31"/>
  <c r="AX73" i="31" s="1"/>
  <c r="E73" i="32" s="1"/>
  <c r="AW48" i="31"/>
  <c r="AX48" i="31" s="1"/>
  <c r="E48" i="32" s="1"/>
  <c r="AW46" i="31"/>
  <c r="AX46" i="31" s="1"/>
  <c r="E46" i="32" s="1"/>
  <c r="AW50" i="31"/>
  <c r="AX50" i="31" s="1"/>
  <c r="E50" i="32" s="1"/>
  <c r="AV130" i="31"/>
  <c r="AW89" i="31"/>
  <c r="AX89" i="31" s="1"/>
  <c r="E89" i="32" s="1"/>
  <c r="AW60" i="31"/>
  <c r="AX60" i="31" s="1"/>
  <c r="E60" i="32" s="1"/>
  <c r="AW80" i="31"/>
  <c r="AX80" i="31" s="1"/>
  <c r="E80" i="32" s="1"/>
  <c r="AW68" i="31"/>
  <c r="AX68" i="31" s="1"/>
  <c r="E68" i="32" s="1"/>
  <c r="AW67" i="31"/>
  <c r="AX67" i="31" s="1"/>
  <c r="E67" i="32" s="1"/>
  <c r="AW69" i="31"/>
  <c r="AX69" i="31" s="1"/>
  <c r="E69" i="32" s="1"/>
  <c r="AW42" i="31"/>
  <c r="AX42" i="31" s="1"/>
  <c r="E42" i="32" s="1"/>
  <c r="AW82" i="31"/>
  <c r="AX82" i="31" s="1"/>
  <c r="E82" i="32" s="1"/>
  <c r="AW51" i="31"/>
  <c r="AX51" i="31" s="1"/>
  <c r="E51" i="32" s="1"/>
  <c r="AW64" i="31"/>
  <c r="AX64" i="31" s="1"/>
  <c r="E64" i="32" s="1"/>
  <c r="AW65" i="31"/>
  <c r="AX65" i="31" s="1"/>
  <c r="E65" i="32" s="1"/>
  <c r="AW38" i="31"/>
  <c r="AX38" i="31" s="1"/>
  <c r="E38" i="32" s="1"/>
  <c r="AW35" i="31"/>
  <c r="AX35" i="31" s="1"/>
  <c r="E35" i="32" s="1"/>
  <c r="AW62" i="31"/>
  <c r="AX62" i="31" s="1"/>
  <c r="E62" i="32" s="1"/>
  <c r="AW45" i="31"/>
  <c r="AX45" i="31" s="1"/>
  <c r="E45" i="32" s="1"/>
  <c r="AW85" i="31"/>
  <c r="AX85" i="31" s="1"/>
  <c r="E85" i="32" s="1"/>
  <c r="AW55" i="31"/>
  <c r="AX55" i="31" s="1"/>
  <c r="E55" i="32" s="1"/>
  <c r="AW41" i="31"/>
  <c r="AX41" i="31" s="1"/>
  <c r="E41" i="32" s="1"/>
  <c r="AW84" i="31"/>
  <c r="AX84" i="31" s="1"/>
  <c r="E84" i="32" s="1"/>
  <c r="G83" i="32" l="1"/>
  <c r="F84" i="32"/>
  <c r="G84" i="32"/>
  <c r="F80" i="32"/>
  <c r="G80" i="32"/>
  <c r="F71" i="32"/>
  <c r="G71" i="32"/>
  <c r="F54" i="32"/>
  <c r="G54" i="32"/>
  <c r="F32" i="32"/>
  <c r="G32" i="32"/>
  <c r="F40" i="32"/>
  <c r="G40" i="32"/>
  <c r="F42" i="32"/>
  <c r="G42" i="32"/>
  <c r="F47" i="32"/>
  <c r="G47" i="32"/>
  <c r="F37" i="32"/>
  <c r="G37" i="32"/>
  <c r="F44" i="32"/>
  <c r="G44" i="32"/>
  <c r="G79" i="32"/>
  <c r="F79" i="32"/>
  <c r="F53" i="32"/>
  <c r="G53" i="32"/>
  <c r="F41" i="32"/>
  <c r="G41" i="32"/>
  <c r="G62" i="32"/>
  <c r="F62" i="32"/>
  <c r="G64" i="32"/>
  <c r="F64" i="32"/>
  <c r="F69" i="32"/>
  <c r="G69" i="32"/>
  <c r="F60" i="32"/>
  <c r="G60" i="32"/>
  <c r="F46" i="32"/>
  <c r="G46" i="32"/>
  <c r="F57" i="32"/>
  <c r="G57" i="32"/>
  <c r="F88" i="32"/>
  <c r="G88" i="32"/>
  <c r="F77" i="32"/>
  <c r="G77" i="32"/>
  <c r="F93" i="32"/>
  <c r="G93" i="32"/>
  <c r="G72" i="32"/>
  <c r="F72" i="32"/>
  <c r="G75" i="32"/>
  <c r="F75" i="32"/>
  <c r="G95" i="32"/>
  <c r="F95" i="32"/>
  <c r="F63" i="32"/>
  <c r="G63" i="32"/>
  <c r="F49" i="32"/>
  <c r="G49" i="32"/>
  <c r="F52" i="32"/>
  <c r="G52" i="32"/>
  <c r="F65" i="32"/>
  <c r="G65" i="32"/>
  <c r="F50" i="32"/>
  <c r="G50" i="32"/>
  <c r="F55" i="32"/>
  <c r="G55" i="32"/>
  <c r="F51" i="32"/>
  <c r="G51" i="32"/>
  <c r="F89" i="32"/>
  <c r="G89" i="32"/>
  <c r="F94" i="32"/>
  <c r="G94" i="32"/>
  <c r="F56" i="32"/>
  <c r="G56" i="32"/>
  <c r="F70" i="32"/>
  <c r="G70" i="32"/>
  <c r="F61" i="32"/>
  <c r="G61" i="32"/>
  <c r="F59" i="32"/>
  <c r="G59" i="32"/>
  <c r="F90" i="32"/>
  <c r="G90" i="32"/>
  <c r="G45" i="32"/>
  <c r="F45" i="32"/>
  <c r="F92" i="32"/>
  <c r="G92" i="32"/>
  <c r="F35" i="32"/>
  <c r="G35" i="32"/>
  <c r="F67" i="32"/>
  <c r="G67" i="32"/>
  <c r="F48" i="32"/>
  <c r="G48" i="32"/>
  <c r="F76" i="32"/>
  <c r="G76" i="32"/>
  <c r="AW130" i="31"/>
  <c r="AX31" i="31"/>
  <c r="F86" i="32"/>
  <c r="G86" i="32"/>
  <c r="F33" i="32"/>
  <c r="G33" i="32"/>
  <c r="F85" i="32"/>
  <c r="G85" i="32"/>
  <c r="F38" i="32"/>
  <c r="G38" i="32"/>
  <c r="F82" i="32"/>
  <c r="G82" i="32"/>
  <c r="F68" i="32"/>
  <c r="G68" i="32"/>
  <c r="F73" i="32"/>
  <c r="G73" i="32"/>
  <c r="F81" i="32"/>
  <c r="G81" i="32"/>
  <c r="F58" i="32"/>
  <c r="G58" i="32"/>
  <c r="G66" i="32"/>
  <c r="F66" i="32"/>
  <c r="F74" i="32"/>
  <c r="G74" i="32"/>
  <c r="G91" i="32"/>
  <c r="F91" i="32"/>
  <c r="F43" i="32"/>
  <c r="G43" i="32"/>
  <c r="G39" i="32"/>
  <c r="F39" i="32"/>
  <c r="G34" i="32"/>
  <c r="F34" i="32"/>
  <c r="G36" i="32"/>
  <c r="F36" i="32"/>
  <c r="F87" i="32"/>
  <c r="G87" i="32"/>
  <c r="F78" i="32"/>
  <c r="G78" i="32"/>
  <c r="E31" i="32" l="1"/>
  <c r="AX130" i="31"/>
  <c r="E130" i="32" l="1"/>
  <c r="F31" i="32"/>
  <c r="G31" i="32"/>
  <c r="G130" i="32" s="1"/>
  <c r="H31" i="32" l="1"/>
  <c r="H83" i="32"/>
  <c r="H87" i="32"/>
  <c r="H86" i="32"/>
  <c r="H94" i="32"/>
  <c r="H63" i="32"/>
  <c r="H43" i="32"/>
  <c r="H72" i="32"/>
  <c r="H44" i="32"/>
  <c r="H80" i="32"/>
  <c r="H68" i="32"/>
  <c r="H35" i="32"/>
  <c r="H89" i="32"/>
  <c r="H77" i="32"/>
  <c r="H39" i="32"/>
  <c r="H60" i="32"/>
  <c r="H32" i="32"/>
  <c r="H64" i="32"/>
  <c r="H41" i="32"/>
  <c r="H71" i="32"/>
  <c r="H57" i="32"/>
  <c r="H74" i="32"/>
  <c r="H76" i="32"/>
  <c r="H51" i="32"/>
  <c r="H93" i="32"/>
  <c r="H36" i="32"/>
  <c r="H46" i="32"/>
  <c r="H47" i="32"/>
  <c r="H73" i="32"/>
  <c r="H38" i="32"/>
  <c r="H90" i="32"/>
  <c r="H55" i="32"/>
  <c r="H34" i="32"/>
  <c r="H84" i="32"/>
  <c r="H82" i="32"/>
  <c r="H67" i="32"/>
  <c r="H59" i="32"/>
  <c r="H50" i="32"/>
  <c r="H88" i="32"/>
  <c r="H91" i="32"/>
  <c r="H45" i="32"/>
  <c r="H69" i="32"/>
  <c r="H40" i="32"/>
  <c r="H78" i="32"/>
  <c r="H33" i="32"/>
  <c r="H61" i="32"/>
  <c r="H65" i="32"/>
  <c r="H79" i="32"/>
  <c r="H75" i="32"/>
  <c r="H37" i="32"/>
  <c r="H85" i="32"/>
  <c r="H92" i="32"/>
  <c r="H70" i="32"/>
  <c r="H52" i="32"/>
  <c r="H62" i="32"/>
  <c r="H66" i="32"/>
  <c r="H95" i="32"/>
  <c r="H53" i="32"/>
  <c r="H54" i="32"/>
  <c r="H81" i="32"/>
  <c r="H48" i="32"/>
  <c r="H56" i="32"/>
  <c r="H49" i="32"/>
  <c r="H58" i="32"/>
  <c r="H42" i="32"/>
  <c r="J56" i="32" l="1"/>
  <c r="I56" i="32"/>
  <c r="I53" i="32"/>
  <c r="J53" i="32"/>
  <c r="J52" i="32"/>
  <c r="I52" i="32"/>
  <c r="I37" i="32"/>
  <c r="J37" i="32"/>
  <c r="J61" i="32"/>
  <c r="I61" i="32"/>
  <c r="J69" i="32"/>
  <c r="I69" i="32"/>
  <c r="J50" i="32"/>
  <c r="I50" i="32"/>
  <c r="I84" i="32"/>
  <c r="J84" i="32"/>
  <c r="J38" i="32"/>
  <c r="I38" i="32"/>
  <c r="I36" i="32"/>
  <c r="J36" i="32"/>
  <c r="I74" i="32"/>
  <c r="J74" i="32"/>
  <c r="I64" i="32"/>
  <c r="J64" i="32"/>
  <c r="I77" i="32"/>
  <c r="J77" i="32"/>
  <c r="I80" i="32"/>
  <c r="J80" i="32"/>
  <c r="I63" i="32"/>
  <c r="J63" i="32"/>
  <c r="I83" i="32"/>
  <c r="J83" i="32"/>
  <c r="J42" i="32"/>
  <c r="I42" i="32"/>
  <c r="J48" i="32"/>
  <c r="I48" i="32"/>
  <c r="I95" i="32"/>
  <c r="J95" i="32"/>
  <c r="I70" i="32"/>
  <c r="J70" i="32"/>
  <c r="I75" i="32"/>
  <c r="J75" i="32"/>
  <c r="I33" i="32"/>
  <c r="J33" i="32"/>
  <c r="I45" i="32"/>
  <c r="J45" i="32"/>
  <c r="J59" i="32"/>
  <c r="I59" i="32"/>
  <c r="I34" i="32"/>
  <c r="J34" i="32"/>
  <c r="I73" i="32"/>
  <c r="J73" i="32"/>
  <c r="I93" i="32"/>
  <c r="J93" i="32"/>
  <c r="I57" i="32"/>
  <c r="J57" i="32"/>
  <c r="I32" i="32"/>
  <c r="J32" i="32"/>
  <c r="I89" i="32"/>
  <c r="J89" i="32"/>
  <c r="J44" i="32"/>
  <c r="I44" i="32"/>
  <c r="I94" i="32"/>
  <c r="J94" i="32"/>
  <c r="H130" i="32"/>
  <c r="I31" i="32"/>
  <c r="J31" i="32"/>
  <c r="J58" i="32"/>
  <c r="I58" i="32"/>
  <c r="I81" i="32"/>
  <c r="J81" i="32"/>
  <c r="I66" i="32"/>
  <c r="J66" i="32"/>
  <c r="I92" i="32"/>
  <c r="J92" i="32"/>
  <c r="I79" i="32"/>
  <c r="J79" i="32"/>
  <c r="I78" i="32"/>
  <c r="J78" i="32"/>
  <c r="I91" i="32"/>
  <c r="J91" i="32"/>
  <c r="I67" i="32"/>
  <c r="J67" i="32"/>
  <c r="I55" i="32"/>
  <c r="J55" i="32"/>
  <c r="I47" i="32"/>
  <c r="J47" i="32"/>
  <c r="I51" i="32"/>
  <c r="J51" i="32"/>
  <c r="J71" i="32"/>
  <c r="I71" i="32"/>
  <c r="I60" i="32"/>
  <c r="J60" i="32"/>
  <c r="I35" i="32"/>
  <c r="J35" i="32"/>
  <c r="I72" i="32"/>
  <c r="J72" i="32"/>
  <c r="I86" i="32"/>
  <c r="J86" i="32"/>
  <c r="I49" i="32"/>
  <c r="J49" i="32"/>
  <c r="J54" i="32"/>
  <c r="I54" i="32"/>
  <c r="I62" i="32"/>
  <c r="J62" i="32"/>
  <c r="I85" i="32"/>
  <c r="J85" i="32"/>
  <c r="I65" i="32"/>
  <c r="J65" i="32"/>
  <c r="J40" i="32"/>
  <c r="I40" i="32"/>
  <c r="I88" i="32"/>
  <c r="J88" i="32"/>
  <c r="I82" i="32"/>
  <c r="J82" i="32"/>
  <c r="I90" i="32"/>
  <c r="J90" i="32"/>
  <c r="J46" i="32"/>
  <c r="I46" i="32"/>
  <c r="I76" i="32"/>
  <c r="J76" i="32"/>
  <c r="I41" i="32"/>
  <c r="J41" i="32"/>
  <c r="I39" i="32"/>
  <c r="J39" i="32"/>
  <c r="I68" i="32"/>
  <c r="J68" i="32"/>
  <c r="I43" i="32"/>
  <c r="J43" i="32"/>
  <c r="I87" i="32"/>
  <c r="J87" i="32"/>
  <c r="K53" i="32" l="1"/>
  <c r="L53" i="32" s="1"/>
  <c r="K40" i="32"/>
  <c r="K89" i="32"/>
  <c r="K43" i="32"/>
  <c r="K39" i="32"/>
  <c r="K76" i="32"/>
  <c r="K90" i="32"/>
  <c r="K88" i="32"/>
  <c r="K65" i="32"/>
  <c r="K62" i="32"/>
  <c r="K49" i="32"/>
  <c r="K72" i="32"/>
  <c r="K60" i="32"/>
  <c r="K51" i="32"/>
  <c r="K55" i="32"/>
  <c r="K91" i="32"/>
  <c r="K79" i="32"/>
  <c r="K66" i="32"/>
  <c r="K59" i="32"/>
  <c r="K48" i="32"/>
  <c r="K69" i="32"/>
  <c r="K46" i="32"/>
  <c r="K54" i="32"/>
  <c r="K94" i="32"/>
  <c r="K73" i="32"/>
  <c r="K33" i="32"/>
  <c r="K80" i="32"/>
  <c r="K64" i="32"/>
  <c r="K36" i="32"/>
  <c r="K37" i="32"/>
  <c r="K68" i="32"/>
  <c r="K85" i="32"/>
  <c r="K86" i="32"/>
  <c r="K47" i="32"/>
  <c r="K67" i="32"/>
  <c r="K78" i="32"/>
  <c r="K92" i="32"/>
  <c r="K81" i="32"/>
  <c r="I130" i="32"/>
  <c r="K31" i="32"/>
  <c r="K44" i="32"/>
  <c r="K42" i="32"/>
  <c r="K38" i="32"/>
  <c r="K50" i="32"/>
  <c r="K61" i="32"/>
  <c r="K52" i="32"/>
  <c r="K56" i="32"/>
  <c r="K71" i="32"/>
  <c r="J130" i="32"/>
  <c r="K57" i="32"/>
  <c r="K70" i="32"/>
  <c r="K83" i="32"/>
  <c r="K84" i="32"/>
  <c r="K87" i="32"/>
  <c r="K41" i="32"/>
  <c r="K82" i="32"/>
  <c r="K35" i="32"/>
  <c r="K58" i="32"/>
  <c r="K32" i="32"/>
  <c r="K93" i="32"/>
  <c r="K34" i="32"/>
  <c r="K45" i="32"/>
  <c r="K75" i="32"/>
  <c r="K95" i="32"/>
  <c r="K63" i="32"/>
  <c r="K77" i="32"/>
  <c r="K74" i="32"/>
  <c r="M53" i="32" l="1"/>
  <c r="M34" i="32"/>
  <c r="L34" i="32"/>
  <c r="L61" i="32"/>
  <c r="M61" i="32"/>
  <c r="L92" i="32"/>
  <c r="M92" i="32"/>
  <c r="L86" i="32"/>
  <c r="M86" i="32"/>
  <c r="M36" i="32"/>
  <c r="L36" i="32"/>
  <c r="L73" i="32"/>
  <c r="M73" i="32"/>
  <c r="L59" i="32"/>
  <c r="M59" i="32"/>
  <c r="L55" i="32"/>
  <c r="M55" i="32"/>
  <c r="L49" i="32"/>
  <c r="M49" i="32"/>
  <c r="L90" i="32"/>
  <c r="M90" i="32"/>
  <c r="L77" i="32"/>
  <c r="M77" i="32"/>
  <c r="L35" i="32"/>
  <c r="M35" i="32"/>
  <c r="M44" i="32"/>
  <c r="L44" i="32"/>
  <c r="L95" i="32"/>
  <c r="M95" i="32"/>
  <c r="L93" i="32"/>
  <c r="M93" i="32"/>
  <c r="L82" i="32"/>
  <c r="M82" i="32"/>
  <c r="L83" i="32"/>
  <c r="M83" i="32"/>
  <c r="L71" i="32"/>
  <c r="M71" i="32"/>
  <c r="L50" i="32"/>
  <c r="M50" i="32"/>
  <c r="K130" i="32"/>
  <c r="L31" i="32"/>
  <c r="M31" i="32"/>
  <c r="L78" i="32"/>
  <c r="M78" i="32"/>
  <c r="L85" i="32"/>
  <c r="M85" i="32"/>
  <c r="L64" i="32"/>
  <c r="M64" i="32"/>
  <c r="L94" i="32"/>
  <c r="M94" i="32"/>
  <c r="L66" i="32"/>
  <c r="M66" i="32"/>
  <c r="L51" i="32"/>
  <c r="M51" i="32"/>
  <c r="L62" i="32"/>
  <c r="M62" i="32"/>
  <c r="L76" i="32"/>
  <c r="M76" i="32"/>
  <c r="L63" i="32"/>
  <c r="M63" i="32"/>
  <c r="L84" i="32"/>
  <c r="M84" i="32"/>
  <c r="L74" i="32"/>
  <c r="M74" i="32"/>
  <c r="L75" i="32"/>
  <c r="M75" i="32"/>
  <c r="L32" i="32"/>
  <c r="M32" i="32"/>
  <c r="L41" i="32"/>
  <c r="M41" i="32"/>
  <c r="L70" i="32"/>
  <c r="M70" i="32"/>
  <c r="L56" i="32"/>
  <c r="M56" i="32"/>
  <c r="M38" i="32"/>
  <c r="L38" i="32"/>
  <c r="L67" i="32"/>
  <c r="M67" i="32"/>
  <c r="L68" i="32"/>
  <c r="M68" i="32"/>
  <c r="L80" i="32"/>
  <c r="M80" i="32"/>
  <c r="L54" i="32"/>
  <c r="M54" i="32"/>
  <c r="L69" i="32"/>
  <c r="M69" i="32"/>
  <c r="L79" i="32"/>
  <c r="M79" i="32"/>
  <c r="L60" i="32"/>
  <c r="M60" i="32"/>
  <c r="L65" i="32"/>
  <c r="M65" i="32"/>
  <c r="L39" i="32"/>
  <c r="M39" i="32"/>
  <c r="L89" i="32"/>
  <c r="M89" i="32"/>
  <c r="L45" i="32"/>
  <c r="M45" i="32"/>
  <c r="L58" i="32"/>
  <c r="M58" i="32"/>
  <c r="L87" i="32"/>
  <c r="M87" i="32"/>
  <c r="L57" i="32"/>
  <c r="M57" i="32"/>
  <c r="L52" i="32"/>
  <c r="M52" i="32"/>
  <c r="M42" i="32"/>
  <c r="L42" i="32"/>
  <c r="L81" i="32"/>
  <c r="M81" i="32"/>
  <c r="L47" i="32"/>
  <c r="M47" i="32"/>
  <c r="L37" i="32"/>
  <c r="M37" i="32"/>
  <c r="L33" i="32"/>
  <c r="M33" i="32"/>
  <c r="M46" i="32"/>
  <c r="L46" i="32"/>
  <c r="L48" i="32"/>
  <c r="M48" i="32"/>
  <c r="L91" i="32"/>
  <c r="M91" i="32"/>
  <c r="L72" i="32"/>
  <c r="M72" i="32"/>
  <c r="L88" i="32"/>
  <c r="M88" i="32"/>
  <c r="L43" i="32"/>
  <c r="M43" i="32"/>
  <c r="M40" i="32"/>
  <c r="L40" i="32"/>
  <c r="N43" i="32" l="1"/>
  <c r="O43" i="32" s="1"/>
  <c r="N58" i="32"/>
  <c r="O58" i="32" s="1"/>
  <c r="N72" i="32"/>
  <c r="N47" i="32"/>
  <c r="N89" i="32"/>
  <c r="N65" i="32"/>
  <c r="N79" i="32"/>
  <c r="N54" i="32"/>
  <c r="N68" i="32"/>
  <c r="N70" i="32"/>
  <c r="N32" i="32"/>
  <c r="N74" i="32"/>
  <c r="N63" i="32"/>
  <c r="N94" i="32"/>
  <c r="N85" i="32"/>
  <c r="L130" i="32"/>
  <c r="N31" i="32"/>
  <c r="N33" i="32"/>
  <c r="N46" i="32"/>
  <c r="N62" i="32"/>
  <c r="N66" i="32"/>
  <c r="N71" i="32"/>
  <c r="N82" i="32"/>
  <c r="N95" i="32"/>
  <c r="N35" i="32"/>
  <c r="N90" i="32"/>
  <c r="N55" i="32"/>
  <c r="N73" i="32"/>
  <c r="N86" i="32"/>
  <c r="N61" i="32"/>
  <c r="N48" i="32"/>
  <c r="N40" i="32"/>
  <c r="N91" i="32"/>
  <c r="N81" i="32"/>
  <c r="N87" i="32"/>
  <c r="N39" i="32"/>
  <c r="N60" i="32"/>
  <c r="N69" i="32"/>
  <c r="N80" i="32"/>
  <c r="N67" i="32"/>
  <c r="N56" i="32"/>
  <c r="N41" i="32"/>
  <c r="N75" i="32"/>
  <c r="N84" i="32"/>
  <c r="N53" i="32"/>
  <c r="N64" i="32"/>
  <c r="N78" i="32"/>
  <c r="N44" i="32"/>
  <c r="N36" i="32"/>
  <c r="N34" i="32"/>
  <c r="N57" i="32"/>
  <c r="N88" i="32"/>
  <c r="N37" i="32"/>
  <c r="N52" i="32"/>
  <c r="N45" i="32"/>
  <c r="N42" i="32"/>
  <c r="N38" i="32"/>
  <c r="N76" i="32"/>
  <c r="N51" i="32"/>
  <c r="M130" i="32"/>
  <c r="N50" i="32"/>
  <c r="N83" i="32"/>
  <c r="N93" i="32"/>
  <c r="N77" i="32"/>
  <c r="N49" i="32"/>
  <c r="N59" i="32"/>
  <c r="N92" i="32"/>
  <c r="P43" i="32" l="1"/>
  <c r="P58" i="32"/>
  <c r="Q58" i="32" s="1"/>
  <c r="O50" i="32"/>
  <c r="P50" i="32"/>
  <c r="O77" i="32"/>
  <c r="P77" i="32"/>
  <c r="O42" i="32"/>
  <c r="P42" i="32"/>
  <c r="O88" i="32"/>
  <c r="P88" i="32"/>
  <c r="O44" i="32"/>
  <c r="P44" i="32"/>
  <c r="O84" i="32"/>
  <c r="P84" i="32"/>
  <c r="P67" i="32"/>
  <c r="O67" i="32"/>
  <c r="O39" i="32"/>
  <c r="P39" i="32"/>
  <c r="O40" i="32"/>
  <c r="P40" i="32"/>
  <c r="O73" i="32"/>
  <c r="P73" i="32"/>
  <c r="O95" i="32"/>
  <c r="P95" i="32"/>
  <c r="O62" i="32"/>
  <c r="P62" i="32"/>
  <c r="O33" i="32"/>
  <c r="P33" i="32"/>
  <c r="O74" i="32"/>
  <c r="P74" i="32"/>
  <c r="O54" i="32"/>
  <c r="P54" i="32"/>
  <c r="O92" i="32"/>
  <c r="P92" i="32"/>
  <c r="O93" i="32"/>
  <c r="P93" i="32"/>
  <c r="O51" i="32"/>
  <c r="P51" i="32"/>
  <c r="O45" i="32"/>
  <c r="P45" i="32"/>
  <c r="O57" i="32"/>
  <c r="P57" i="32"/>
  <c r="O78" i="32"/>
  <c r="P78" i="32"/>
  <c r="O75" i="32"/>
  <c r="P75" i="32"/>
  <c r="O80" i="32"/>
  <c r="P80" i="32"/>
  <c r="O87" i="32"/>
  <c r="P87" i="32"/>
  <c r="O48" i="32"/>
  <c r="P48" i="32"/>
  <c r="O55" i="32"/>
  <c r="P55" i="32"/>
  <c r="O82" i="32"/>
  <c r="P82" i="32"/>
  <c r="O85" i="32"/>
  <c r="P85" i="32"/>
  <c r="O32" i="32"/>
  <c r="P32" i="32"/>
  <c r="O79" i="32"/>
  <c r="P79" i="32"/>
  <c r="O59" i="32"/>
  <c r="P59" i="32"/>
  <c r="O83" i="32"/>
  <c r="P83" i="32"/>
  <c r="O76" i="32"/>
  <c r="P76" i="32"/>
  <c r="O52" i="32"/>
  <c r="P52" i="32"/>
  <c r="O34" i="32"/>
  <c r="P34" i="32"/>
  <c r="O64" i="32"/>
  <c r="P64" i="32"/>
  <c r="O41" i="32"/>
  <c r="P41" i="32"/>
  <c r="P69" i="32"/>
  <c r="O69" i="32"/>
  <c r="O81" i="32"/>
  <c r="P81" i="32"/>
  <c r="P61" i="32"/>
  <c r="O61" i="32"/>
  <c r="O90" i="32"/>
  <c r="P90" i="32"/>
  <c r="P71" i="32"/>
  <c r="O71" i="32"/>
  <c r="O94" i="32"/>
  <c r="P94" i="32"/>
  <c r="O70" i="32"/>
  <c r="P70" i="32"/>
  <c r="O65" i="32"/>
  <c r="P65" i="32"/>
  <c r="O47" i="32"/>
  <c r="P47" i="32"/>
  <c r="O49" i="32"/>
  <c r="P49" i="32"/>
  <c r="O38" i="32"/>
  <c r="P38" i="32"/>
  <c r="O37" i="32"/>
  <c r="P37" i="32"/>
  <c r="O36" i="32"/>
  <c r="P36" i="32"/>
  <c r="O53" i="32"/>
  <c r="P53" i="32"/>
  <c r="O56" i="32"/>
  <c r="P56" i="32"/>
  <c r="O60" i="32"/>
  <c r="P60" i="32"/>
  <c r="O91" i="32"/>
  <c r="P91" i="32"/>
  <c r="O86" i="32"/>
  <c r="P86" i="32"/>
  <c r="O35" i="32"/>
  <c r="P35" i="32"/>
  <c r="O66" i="32"/>
  <c r="P66" i="32"/>
  <c r="O46" i="32"/>
  <c r="P46" i="32"/>
  <c r="N130" i="32"/>
  <c r="O31" i="32"/>
  <c r="P31" i="32"/>
  <c r="O63" i="32"/>
  <c r="P63" i="32"/>
  <c r="P68" i="32"/>
  <c r="O68" i="32"/>
  <c r="O89" i="32"/>
  <c r="P89" i="32"/>
  <c r="O72" i="32"/>
  <c r="P72" i="32"/>
  <c r="Q89" i="32" l="1"/>
  <c r="Q63" i="32"/>
  <c r="R63" i="32" s="1"/>
  <c r="Q43" i="32"/>
  <c r="R43" i="32" s="1"/>
  <c r="Q66" i="32"/>
  <c r="Q86" i="32"/>
  <c r="Q60" i="32"/>
  <c r="Q53" i="32"/>
  <c r="Q37" i="32"/>
  <c r="Q49" i="32"/>
  <c r="Q65" i="32"/>
  <c r="Q94" i="32"/>
  <c r="Q64" i="32"/>
  <c r="Q52" i="32"/>
  <c r="Q83" i="32"/>
  <c r="Q79" i="32"/>
  <c r="Q85" i="32"/>
  <c r="Q55" i="32"/>
  <c r="Q87" i="32"/>
  <c r="Q75" i="32"/>
  <c r="Q57" i="32"/>
  <c r="Q51" i="32"/>
  <c r="Q92" i="32"/>
  <c r="Q74" i="32"/>
  <c r="Q62" i="32"/>
  <c r="Q73" i="32"/>
  <c r="Q39" i="32"/>
  <c r="Q84" i="32"/>
  <c r="Q88" i="32"/>
  <c r="Q77" i="32"/>
  <c r="R89" i="32"/>
  <c r="S89" i="32"/>
  <c r="Q68" i="32"/>
  <c r="P130" i="32"/>
  <c r="Q46" i="32"/>
  <c r="Q35" i="32"/>
  <c r="Q91" i="32"/>
  <c r="Q56" i="32"/>
  <c r="Q36" i="32"/>
  <c r="Q38" i="32"/>
  <c r="Q47" i="32"/>
  <c r="Q70" i="32"/>
  <c r="Q90" i="32"/>
  <c r="Q81" i="32"/>
  <c r="Q41" i="32"/>
  <c r="Q34" i="32"/>
  <c r="Q76" i="32"/>
  <c r="Q59" i="32"/>
  <c r="Q67" i="32"/>
  <c r="Q72" i="32"/>
  <c r="O130" i="32"/>
  <c r="Q31" i="32"/>
  <c r="Q71" i="32"/>
  <c r="Q61" i="32"/>
  <c r="Q69" i="32"/>
  <c r="R58" i="32"/>
  <c r="S58" i="32"/>
  <c r="Q32" i="32"/>
  <c r="Q82" i="32"/>
  <c r="Q48" i="32"/>
  <c r="Q80" i="32"/>
  <c r="Q78" i="32"/>
  <c r="Q45" i="32"/>
  <c r="Q93" i="32"/>
  <c r="Q54" i="32"/>
  <c r="Q33" i="32"/>
  <c r="Q95" i="32"/>
  <c r="Q40" i="32"/>
  <c r="Q44" i="32"/>
  <c r="Q42" i="32"/>
  <c r="Q50" i="32"/>
  <c r="S63" i="32" l="1"/>
  <c r="S43" i="32"/>
  <c r="T58" i="32"/>
  <c r="U58" i="32" s="1"/>
  <c r="X30" i="30" s="1"/>
  <c r="R93" i="32"/>
  <c r="S93" i="32"/>
  <c r="R81" i="32"/>
  <c r="S81" i="32"/>
  <c r="R84" i="32"/>
  <c r="S84" i="32"/>
  <c r="R75" i="32"/>
  <c r="S75" i="32"/>
  <c r="R79" i="32"/>
  <c r="S79" i="32"/>
  <c r="R52" i="32"/>
  <c r="S52" i="32"/>
  <c r="R49" i="32"/>
  <c r="S49" i="32"/>
  <c r="R86" i="32"/>
  <c r="S86" i="32"/>
  <c r="R40" i="32"/>
  <c r="S40" i="32"/>
  <c r="Q130" i="32"/>
  <c r="R31" i="32"/>
  <c r="S31" i="32"/>
  <c r="R38" i="32"/>
  <c r="S38" i="32"/>
  <c r="R74" i="32"/>
  <c r="S74" i="32"/>
  <c r="R95" i="32"/>
  <c r="S95" i="32"/>
  <c r="R45" i="32"/>
  <c r="S45" i="32"/>
  <c r="R82" i="32"/>
  <c r="S82" i="32"/>
  <c r="R69" i="32"/>
  <c r="S69" i="32"/>
  <c r="R76" i="32"/>
  <c r="S76" i="32"/>
  <c r="R90" i="32"/>
  <c r="S90" i="32"/>
  <c r="R36" i="32"/>
  <c r="S36" i="32"/>
  <c r="R46" i="32"/>
  <c r="S46" i="32"/>
  <c r="R39" i="32"/>
  <c r="S39" i="32"/>
  <c r="R92" i="32"/>
  <c r="S92" i="32"/>
  <c r="R87" i="32"/>
  <c r="S87" i="32"/>
  <c r="R64" i="32"/>
  <c r="S64" i="32"/>
  <c r="R37" i="32"/>
  <c r="S37" i="32"/>
  <c r="R66" i="32"/>
  <c r="S66" i="32"/>
  <c r="R48" i="32"/>
  <c r="S48" i="32"/>
  <c r="R59" i="32"/>
  <c r="S59" i="32"/>
  <c r="R35" i="32"/>
  <c r="S35" i="32"/>
  <c r="R50" i="32"/>
  <c r="S50" i="32"/>
  <c r="R42" i="32"/>
  <c r="S42" i="32"/>
  <c r="R33" i="32"/>
  <c r="S33" i="32"/>
  <c r="R78" i="32"/>
  <c r="S78" i="32"/>
  <c r="R32" i="32"/>
  <c r="S32" i="32"/>
  <c r="R61" i="32"/>
  <c r="S61" i="32"/>
  <c r="R72" i="32"/>
  <c r="S72" i="32"/>
  <c r="R34" i="32"/>
  <c r="S34" i="32"/>
  <c r="R70" i="32"/>
  <c r="S70" i="32"/>
  <c r="R56" i="32"/>
  <c r="S56" i="32"/>
  <c r="R77" i="32"/>
  <c r="S77" i="32"/>
  <c r="R73" i="32"/>
  <c r="S73" i="32"/>
  <c r="R51" i="32"/>
  <c r="S51" i="32"/>
  <c r="R55" i="32"/>
  <c r="S55" i="32"/>
  <c r="R94" i="32"/>
  <c r="S94" i="32"/>
  <c r="R53" i="32"/>
  <c r="S53" i="32"/>
  <c r="R44" i="32"/>
  <c r="S44" i="32"/>
  <c r="R54" i="32"/>
  <c r="S54" i="32"/>
  <c r="R80" i="32"/>
  <c r="S80" i="32"/>
  <c r="R71" i="32"/>
  <c r="S71" i="32"/>
  <c r="R67" i="32"/>
  <c r="S67" i="32"/>
  <c r="R41" i="32"/>
  <c r="S41" i="32"/>
  <c r="R47" i="32"/>
  <c r="S47" i="32"/>
  <c r="R91" i="32"/>
  <c r="S91" i="32"/>
  <c r="R68" i="32"/>
  <c r="S68" i="32"/>
  <c r="R88" i="32"/>
  <c r="S88" i="32"/>
  <c r="R62" i="32"/>
  <c r="S62" i="32"/>
  <c r="R57" i="32"/>
  <c r="S57" i="32"/>
  <c r="R85" i="32"/>
  <c r="S85" i="32"/>
  <c r="R83" i="32"/>
  <c r="S83" i="32"/>
  <c r="R65" i="32"/>
  <c r="S65" i="32"/>
  <c r="R60" i="32"/>
  <c r="S60" i="32"/>
  <c r="T89" i="32" l="1"/>
  <c r="U89" i="32" s="1"/>
  <c r="X61" i="30" s="1"/>
  <c r="T63" i="32"/>
  <c r="U63" i="32" s="1"/>
  <c r="X35" i="30" s="1"/>
  <c r="T43" i="32"/>
  <c r="U43" i="32" s="1"/>
  <c r="T65" i="32"/>
  <c r="U65" i="32" s="1"/>
  <c r="T85" i="32"/>
  <c r="U85" i="32" s="1"/>
  <c r="T62" i="32"/>
  <c r="U62" i="32" s="1"/>
  <c r="T68" i="32"/>
  <c r="U68" i="32" s="1"/>
  <c r="T47" i="32"/>
  <c r="U47" i="32" s="1"/>
  <c r="T67" i="32"/>
  <c r="U67" i="32" s="1"/>
  <c r="T80" i="32"/>
  <c r="U80" i="32" s="1"/>
  <c r="T44" i="32"/>
  <c r="U44" i="32" s="1"/>
  <c r="T94" i="32"/>
  <c r="U94" i="32" s="1"/>
  <c r="T36" i="32"/>
  <c r="U36" i="32" s="1"/>
  <c r="T76" i="32"/>
  <c r="U76" i="32" s="1"/>
  <c r="T82" i="32"/>
  <c r="U82" i="32" s="1"/>
  <c r="T95" i="32"/>
  <c r="U95" i="32" s="1"/>
  <c r="T38" i="32"/>
  <c r="U38" i="32" s="1"/>
  <c r="T51" i="32"/>
  <c r="U51" i="32" s="1"/>
  <c r="T77" i="32"/>
  <c r="U77" i="32" s="1"/>
  <c r="T70" i="32"/>
  <c r="U70" i="32" s="1"/>
  <c r="T32" i="32"/>
  <c r="U32" i="32" s="1"/>
  <c r="T33" i="32"/>
  <c r="U33" i="32" s="1"/>
  <c r="T50" i="32"/>
  <c r="U50" i="32" s="1"/>
  <c r="T59" i="32"/>
  <c r="U59" i="32" s="1"/>
  <c r="T66" i="32"/>
  <c r="U66" i="32" s="1"/>
  <c r="T64" i="32"/>
  <c r="U64" i="32" s="1"/>
  <c r="T92" i="32"/>
  <c r="U92" i="32" s="1"/>
  <c r="S130" i="32"/>
  <c r="T40" i="32"/>
  <c r="U40" i="32" s="1"/>
  <c r="T49" i="32"/>
  <c r="U49" i="32" s="1"/>
  <c r="T79" i="32"/>
  <c r="U79" i="32" s="1"/>
  <c r="T84" i="32"/>
  <c r="U84" i="32" s="1"/>
  <c r="T72" i="32"/>
  <c r="U72" i="32" s="1"/>
  <c r="T60" i="32"/>
  <c r="U60" i="32" s="1"/>
  <c r="T83" i="32"/>
  <c r="U83" i="32" s="1"/>
  <c r="T57" i="32"/>
  <c r="U57" i="32" s="1"/>
  <c r="T88" i="32"/>
  <c r="U88" i="32" s="1"/>
  <c r="T91" i="32"/>
  <c r="U91" i="32" s="1"/>
  <c r="T41" i="32"/>
  <c r="U41" i="32" s="1"/>
  <c r="T71" i="32"/>
  <c r="U71" i="32" s="1"/>
  <c r="T54" i="32"/>
  <c r="U54" i="32" s="1"/>
  <c r="T53" i="32"/>
  <c r="U53" i="32" s="1"/>
  <c r="T46" i="32"/>
  <c r="U46" i="32" s="1"/>
  <c r="T90" i="32"/>
  <c r="U90" i="32" s="1"/>
  <c r="T69" i="32"/>
  <c r="U69" i="32" s="1"/>
  <c r="T45" i="32"/>
  <c r="U45" i="32" s="1"/>
  <c r="T74" i="32"/>
  <c r="U74" i="32" s="1"/>
  <c r="R130" i="32"/>
  <c r="T31" i="32"/>
  <c r="T55" i="32"/>
  <c r="U55" i="32" s="1"/>
  <c r="T73" i="32"/>
  <c r="U73" i="32" s="1"/>
  <c r="T56" i="32"/>
  <c r="U56" i="32" s="1"/>
  <c r="T34" i="32"/>
  <c r="U34" i="32" s="1"/>
  <c r="T61" i="32"/>
  <c r="U61" i="32" s="1"/>
  <c r="T78" i="32"/>
  <c r="U78" i="32" s="1"/>
  <c r="T42" i="32"/>
  <c r="U42" i="32" s="1"/>
  <c r="T35" i="32"/>
  <c r="U35" i="32" s="1"/>
  <c r="T48" i="32"/>
  <c r="U48" i="32" s="1"/>
  <c r="T37" i="32"/>
  <c r="U37" i="32" s="1"/>
  <c r="T87" i="32"/>
  <c r="U87" i="32" s="1"/>
  <c r="T39" i="32"/>
  <c r="U39" i="32" s="1"/>
  <c r="T86" i="32"/>
  <c r="U86" i="32" s="1"/>
  <c r="T52" i="32"/>
  <c r="U52" i="32" s="1"/>
  <c r="T75" i="32"/>
  <c r="U75" i="32" s="1"/>
  <c r="T81" i="32"/>
  <c r="U81" i="32" s="1"/>
  <c r="T93" i="32"/>
  <c r="U93" i="32" s="1"/>
  <c r="X24" i="30" l="1"/>
  <c r="X20" i="30"/>
  <c r="X17" i="30"/>
  <c r="X36" i="30"/>
  <c r="X5" i="30"/>
  <c r="X23" i="30"/>
  <c r="X48" i="30"/>
  <c r="X52" i="30"/>
  <c r="X34" i="30"/>
  <c r="X58" i="30"/>
  <c r="X27" i="30"/>
  <c r="X63" i="30"/>
  <c r="X21" i="30"/>
  <c r="X11" i="30"/>
  <c r="X7" i="30"/>
  <c r="X6" i="30"/>
  <c r="T130" i="32"/>
  <c r="U31" i="32"/>
  <c r="Z51" i="32" s="1"/>
  <c r="X41" i="30"/>
  <c r="X26" i="30"/>
  <c r="X60" i="30"/>
  <c r="Z88" i="32"/>
  <c r="X44" i="30"/>
  <c r="X12" i="30"/>
  <c r="X38" i="30"/>
  <c r="X4" i="30"/>
  <c r="X10" i="30"/>
  <c r="X8" i="30"/>
  <c r="X39" i="30"/>
  <c r="X57" i="30"/>
  <c r="X65" i="30"/>
  <c r="X33" i="30"/>
  <c r="X25" i="30"/>
  <c r="X32" i="30"/>
  <c r="X53" i="30"/>
  <c r="X47" i="30"/>
  <c r="X59" i="30"/>
  <c r="X14" i="30"/>
  <c r="X28" i="30"/>
  <c r="X62" i="30"/>
  <c r="X43" i="30"/>
  <c r="X29" i="30"/>
  <c r="X56" i="30"/>
  <c r="X31" i="30"/>
  <c r="X42" i="30"/>
  <c r="X67" i="30"/>
  <c r="X66" i="30"/>
  <c r="X19" i="30"/>
  <c r="X37" i="30"/>
  <c r="X9" i="30"/>
  <c r="X50" i="30"/>
  <c r="X45" i="30"/>
  <c r="X46" i="30"/>
  <c r="X18" i="30"/>
  <c r="X13" i="30"/>
  <c r="X55" i="30"/>
  <c r="X51" i="30"/>
  <c r="X64" i="30"/>
  <c r="X22" i="30"/>
  <c r="X49" i="30"/>
  <c r="X54" i="30"/>
  <c r="X16" i="30"/>
  <c r="X40" i="30"/>
  <c r="X15" i="30"/>
  <c r="Z65" i="32" l="1"/>
  <c r="Z81" i="32"/>
  <c r="Z50" i="32"/>
  <c r="Z90" i="32"/>
  <c r="Z42" i="32"/>
  <c r="Z43" i="32"/>
  <c r="Z77" i="32"/>
  <c r="Z92" i="32"/>
  <c r="Z83" i="32"/>
  <c r="Z73" i="32"/>
  <c r="Z37" i="32"/>
  <c r="Z47" i="32"/>
  <c r="Z95" i="32"/>
  <c r="Z57" i="32"/>
  <c r="Z87" i="32"/>
  <c r="Z44" i="32"/>
  <c r="Z46" i="32"/>
  <c r="Z59" i="32"/>
  <c r="Z61" i="32"/>
  <c r="Z32" i="32"/>
  <c r="Z40" i="32"/>
  <c r="Z68" i="32"/>
  <c r="Z82" i="32"/>
  <c r="Z79" i="32"/>
  <c r="Z41" i="32"/>
  <c r="Z74" i="32"/>
  <c r="Z78" i="32"/>
  <c r="Z94" i="32"/>
  <c r="Z70" i="32"/>
  <c r="Z84" i="32"/>
  <c r="Z53" i="32"/>
  <c r="Z93" i="32"/>
  <c r="Z36" i="32"/>
  <c r="Z34" i="32"/>
  <c r="Z80" i="32"/>
  <c r="Z69" i="32"/>
  <c r="Z86" i="32"/>
  <c r="Z91" i="32"/>
  <c r="Z64" i="32"/>
  <c r="Z48" i="32"/>
  <c r="Z75" i="32"/>
  <c r="Z60" i="32"/>
  <c r="Z85" i="32"/>
  <c r="Z66" i="32"/>
  <c r="Z72" i="32"/>
  <c r="Z39" i="32"/>
  <c r="U130" i="32"/>
  <c r="F2" i="32" s="1"/>
  <c r="X3" i="30"/>
  <c r="X68" i="30" s="1"/>
  <c r="Z31" i="32"/>
  <c r="Z58" i="32"/>
  <c r="Z63" i="32"/>
  <c r="Z89" i="32"/>
  <c r="Z35" i="32"/>
  <c r="Z49" i="32"/>
  <c r="Z55" i="32"/>
  <c r="Z62" i="32"/>
  <c r="Z76" i="32"/>
  <c r="Z45" i="32"/>
  <c r="Z71" i="32"/>
  <c r="Z56" i="32"/>
  <c r="Z67" i="32"/>
  <c r="Z38" i="32"/>
  <c r="Z54" i="32"/>
  <c r="Z33" i="32"/>
  <c r="Z52" i="32"/>
  <c r="Z130" i="32" l="1"/>
</calcChain>
</file>

<file path=xl/sharedStrings.xml><?xml version="1.0" encoding="utf-8"?>
<sst xmlns="http://schemas.openxmlformats.org/spreadsheetml/2006/main" count="2116" uniqueCount="573">
  <si>
    <t>מס'</t>
  </si>
  <si>
    <t xml:space="preserve">שנה </t>
  </si>
  <si>
    <t>מזהה מגיש הבקשה</t>
  </si>
  <si>
    <t>מס' מגיש</t>
  </si>
  <si>
    <t>שם מגיש הבקשה</t>
  </si>
  <si>
    <t xml:space="preserve">מספר בקשה </t>
  </si>
  <si>
    <t>תיאור בקשה קצר</t>
  </si>
  <si>
    <t xml:space="preserve">סכום מבוקש </t>
  </si>
  <si>
    <t>נימוקים
כולל נימוקי הועדה המייעצת</t>
  </si>
  <si>
    <t>580544427</t>
  </si>
  <si>
    <t>41479304</t>
  </si>
  <si>
    <t>אוצר ערכי החסידות (ע"ר)</t>
  </si>
  <si>
    <t>580270163</t>
  </si>
  <si>
    <t>40383313</t>
  </si>
  <si>
    <t>אוצרות שלמה להוצאת וההדרת כתבי מרן</t>
  </si>
  <si>
    <t>580024560</t>
  </si>
  <si>
    <t>40216019</t>
  </si>
  <si>
    <t>אריאל מפעלי תורה יהדות וחברה בישראל</t>
  </si>
  <si>
    <t>תמיכה במחקרים של אריאל</t>
  </si>
  <si>
    <t>580024503</t>
  </si>
  <si>
    <t>40188700</t>
  </si>
  <si>
    <t>בית המדרש להלכה בהתישבות - אמונת אי"ש</t>
  </si>
  <si>
    <t>580108611</t>
  </si>
  <si>
    <t>40303431</t>
  </si>
  <si>
    <t>580548808</t>
  </si>
  <si>
    <t>41482605</t>
  </si>
  <si>
    <t>בשורת הארץ ע"ש יוסף, נפתלי ודבורה ב</t>
  </si>
  <si>
    <t>תמיכה במכון מחקר תורני</t>
  </si>
  <si>
    <t>580176808</t>
  </si>
  <si>
    <t>40272403</t>
  </si>
  <si>
    <t>580140143</t>
  </si>
  <si>
    <t>40216035</t>
  </si>
  <si>
    <t>510058738</t>
  </si>
  <si>
    <t>40215985</t>
  </si>
  <si>
    <t>הוצאת אנציקלופדיה תלמודית בע"מ (חל"צ)</t>
  </si>
  <si>
    <t>580004059</t>
  </si>
  <si>
    <t>40016849</t>
  </si>
  <si>
    <t>580007433</t>
  </si>
  <si>
    <t>40188797</t>
  </si>
  <si>
    <t>הישיבה הגדולה אהל שמעון מערלוי ירוש</t>
  </si>
  <si>
    <t>580070035</t>
  </si>
  <si>
    <t>40143373</t>
  </si>
  <si>
    <t>580254845</t>
  </si>
  <si>
    <t>40216048</t>
  </si>
  <si>
    <t>המכון למצוות התלויות בארץ (ע"ר)</t>
  </si>
  <si>
    <t>580018653</t>
  </si>
  <si>
    <t>40221455</t>
  </si>
  <si>
    <t>המכון ע"ש מרן הרב צבי יהודה קוק זצ"ל</t>
  </si>
  <si>
    <t>580317535</t>
  </si>
  <si>
    <t>40216063</t>
  </si>
  <si>
    <t>התורה והארץ (ע"ר)</t>
  </si>
  <si>
    <t>תמיכה שוטפת במכוני מחקר תורניים</t>
  </si>
  <si>
    <t>580271856</t>
  </si>
  <si>
    <t>40370657</t>
  </si>
  <si>
    <t>חוסן ישועות לתורת מרן הרב קוק זצ"ל</t>
  </si>
  <si>
    <t>580604999</t>
  </si>
  <si>
    <t>41906703</t>
  </si>
  <si>
    <t>חי בהם תורה לאנשים עובדים (ע"ר)</t>
  </si>
  <si>
    <t>580098689</t>
  </si>
  <si>
    <t>40216027</t>
  </si>
  <si>
    <t>580461754</t>
  </si>
  <si>
    <t>40526317</t>
  </si>
  <si>
    <t>טהרות בעיון (ע"ר)</t>
  </si>
  <si>
    <t>580041101</t>
  </si>
  <si>
    <t>40303383</t>
  </si>
  <si>
    <t>ישיבת בית מאיר ע"ש מרן הגאון ר מאיר</t>
  </si>
  <si>
    <t>מכון מחקר תורני</t>
  </si>
  <si>
    <t>580213973</t>
  </si>
  <si>
    <t>40394900</t>
  </si>
  <si>
    <t>ישיבת הר ברכה (ע"ר)</t>
  </si>
  <si>
    <t>580151728</t>
  </si>
  <si>
    <t>40216037</t>
  </si>
  <si>
    <t>כולל דעת תורה - ומכון להוצאת ספרים,</t>
  </si>
  <si>
    <t>580228625</t>
  </si>
  <si>
    <t>40216046</t>
  </si>
  <si>
    <t>כת"ר - מכון לכלכלה ע"פ התורה (ע"ר)</t>
  </si>
  <si>
    <t>580314847</t>
  </si>
  <si>
    <t>40016969</t>
  </si>
  <si>
    <t>לפיד - אפיקי דעת, שדרות (ע"ר)</t>
  </si>
  <si>
    <t>580008589</t>
  </si>
  <si>
    <t>40015160</t>
  </si>
  <si>
    <t>מוסדות ישיבת כסא רחמים ספרדית (ע"ר)</t>
  </si>
  <si>
    <t>580268563</t>
  </si>
  <si>
    <t>40127702</t>
  </si>
  <si>
    <t>מכון "יחוה דעת" לפרסומים תורניים הל</t>
  </si>
  <si>
    <t>580284800</t>
  </si>
  <si>
    <t>40216056</t>
  </si>
  <si>
    <t>580111573</t>
  </si>
  <si>
    <t>40216032</t>
  </si>
  <si>
    <t>580010536</t>
  </si>
  <si>
    <t>40293106</t>
  </si>
  <si>
    <t>580010015</t>
  </si>
  <si>
    <t>40215993</t>
  </si>
  <si>
    <t>580088706</t>
  </si>
  <si>
    <t>40215998</t>
  </si>
  <si>
    <t>מכון הרב פראנק (ע"ר)</t>
  </si>
  <si>
    <t>580020022</t>
  </si>
  <si>
    <t>40216015</t>
  </si>
  <si>
    <t>תמיכה במכון מחקר תורני בעל חשיבות לאומית</t>
  </si>
  <si>
    <t>580185544</t>
  </si>
  <si>
    <t>40216001</t>
  </si>
  <si>
    <t>580009546</t>
  </si>
  <si>
    <t>40215992</t>
  </si>
  <si>
    <t>580581395</t>
  </si>
  <si>
    <t>41557519</t>
  </si>
  <si>
    <t>מכון להורות נתן (ע"ר)</t>
  </si>
  <si>
    <t>580383107</t>
  </si>
  <si>
    <t>40370620</t>
  </si>
  <si>
    <t>מכון להפצת משפט התורה (ע"ר)</t>
  </si>
  <si>
    <t>580228856</t>
  </si>
  <si>
    <t>40216047</t>
  </si>
  <si>
    <t>מכון לרבני ישובים (ע"ר)</t>
  </si>
  <si>
    <t>580144327</t>
  </si>
  <si>
    <t>40216036</t>
  </si>
  <si>
    <t>580365443</t>
  </si>
  <si>
    <t>40006204</t>
  </si>
  <si>
    <t>מכון משפטי ארץ (ע"ר)</t>
  </si>
  <si>
    <t>תמיכה שוטפת</t>
  </si>
  <si>
    <t>580210060</t>
  </si>
  <si>
    <t>40140418</t>
  </si>
  <si>
    <t>מכון פוע"ה - פוריות ורפואה עפ"י ההל</t>
  </si>
  <si>
    <t>580099810</t>
  </si>
  <si>
    <t>40216028</t>
  </si>
  <si>
    <t>580292167</t>
  </si>
  <si>
    <t>40216006</t>
  </si>
  <si>
    <t>580412278</t>
  </si>
  <si>
    <t>40375459</t>
  </si>
  <si>
    <t>מעמק חברון- מכון חקר תורני (ע"ר)</t>
  </si>
  <si>
    <t>580092187</t>
  </si>
  <si>
    <t>40394714</t>
  </si>
  <si>
    <t>מרכז להפצת תורה ויראה בנגב</t>
  </si>
  <si>
    <t>580528560</t>
  </si>
  <si>
    <t>41090390</t>
  </si>
  <si>
    <t>580120129</t>
  </si>
  <si>
    <t>40015161</t>
  </si>
  <si>
    <t>עטרת ירושלים (ע"ר)</t>
  </si>
  <si>
    <t>580026235</t>
  </si>
  <si>
    <t>40215994</t>
  </si>
  <si>
    <t>עמותת המכון הישראלי לפרסומים תלמודיים</t>
  </si>
  <si>
    <t>580035236</t>
  </si>
  <si>
    <t>40015651</t>
  </si>
  <si>
    <t>צומת-צוותי מדע ותורה</t>
  </si>
  <si>
    <t>יישומים הלכטכניים</t>
  </si>
  <si>
    <t>580529725</t>
  </si>
  <si>
    <t>41375764</t>
  </si>
  <si>
    <t>רשת כוללים ומוסדות תורה בן מלך (ע"ר</t>
  </si>
  <si>
    <t>580462661</t>
  </si>
  <si>
    <t>41970075</t>
  </si>
  <si>
    <t>580419042</t>
  </si>
  <si>
    <t>41968452</t>
  </si>
  <si>
    <t>תורת חב"ד לבני הישיבות שעל ידי צעיר</t>
  </si>
  <si>
    <t>תמיכה שוטפת בפעילות המכון</t>
  </si>
  <si>
    <t>תקציב שוטף</t>
  </si>
  <si>
    <t>מכון שתילי זתים - לחקר מורשת תימן ע</t>
  </si>
  <si>
    <t>טיוט</t>
  </si>
  <si>
    <t>מועד</t>
  </si>
  <si>
    <t>"המכון ללימוד מחקר ובנין המקדש"</t>
  </si>
  <si>
    <t>מכון בית אהרן וישראל למחקר כת"י והו</t>
  </si>
  <si>
    <t>מכון הרי פישל לדרישת התלמוד ומשפט ה</t>
  </si>
  <si>
    <t>מכון התלמוד הישראלי השלם ע"ש הרב הר</t>
  </si>
  <si>
    <t>מס' סעיף במבחני התמיכה</t>
  </si>
  <si>
    <t>4(1)(א)(ב)(ג)</t>
  </si>
  <si>
    <t>4(2)</t>
  </si>
  <si>
    <t>4(3)</t>
  </si>
  <si>
    <t>4(5)(א)</t>
  </si>
  <si>
    <t>4(5)(ב)</t>
  </si>
  <si>
    <t>4(5)(ג)</t>
  </si>
  <si>
    <t>4(5)(ד)</t>
  </si>
  <si>
    <t>4(5)(ה)</t>
  </si>
  <si>
    <t>4(5)(ו)</t>
  </si>
  <si>
    <t>4(8)</t>
  </si>
  <si>
    <t>4(11)</t>
  </si>
  <si>
    <t>המוסד עוסק באחד או יותר מתחומי הפעילות המפורטים במבחני התמיכה, שהכירה בהם הועדה המייעצת</t>
  </si>
  <si>
    <t>בין מטרות המוסד לעסוק בתחומי המחקר התורני</t>
  </si>
  <si>
    <t>הפרסום הינו מקורי וחדש או מהדורה נוספת בעלת תוספות משמעותיות</t>
  </si>
  <si>
    <t>הפרסום מופיע בשפה העברית או התלמודית</t>
  </si>
  <si>
    <t xml:space="preserve">בכל עתקי הפרסום צויינה תמיכת המשרד ככל שניתנה
</t>
  </si>
  <si>
    <t xml:space="preserve"> פורטו שמות החוקרים שעבדו על הפרסום / מאגר מידע / אמצעי יישומי ותאריכי הו"ל
(גופים חדשים - רק בשנת ההערכה)</t>
  </si>
  <si>
    <t>האם יש הסברים על כל השינויים שנערכו בשאלונים הנלווים (ביחס לתכניות עבר)?</t>
  </si>
  <si>
    <t>הערות פנימיות</t>
  </si>
  <si>
    <t>האם המכון עומד בכל תנאי הסף?</t>
  </si>
  <si>
    <t>כן / לא</t>
  </si>
  <si>
    <t>למלא תאריך</t>
  </si>
  <si>
    <t>כן</t>
  </si>
  <si>
    <t>לא רלוונטי</t>
  </si>
  <si>
    <t>לא</t>
  </si>
  <si>
    <t>?</t>
  </si>
  <si>
    <t xml:space="preserve">סה"כ ניקוד </t>
  </si>
  <si>
    <t>4(5)(ט)</t>
  </si>
  <si>
    <t>המוסד הוא בעל זכויות היוצרים בפרסום, והדבר נזכר בפרסום עצמו</t>
  </si>
  <si>
    <t>1987</t>
  </si>
  <si>
    <t>לימוד והפצת הרמב"ם המבואר (ע"ר)</t>
  </si>
  <si>
    <t>מורשת "אור החיים" הקדוש (ע"ר)</t>
  </si>
  <si>
    <t>מכון הלכה חב"ד (ע"ר)</t>
  </si>
  <si>
    <t>מרחבים - מרכז תורני ליהדות וחינוך (</t>
  </si>
  <si>
    <t>מרכז מורשת הרב ניסים הראשון לציון ה</t>
  </si>
  <si>
    <t>מתוקים מדבש - מאור מאיר (ע"ר)</t>
  </si>
  <si>
    <t>שערי ציון להפצת היהדות ברוח הציונות</t>
  </si>
  <si>
    <t>1001795808</t>
  </si>
  <si>
    <t>מחקרי מכון המקדש תשפ"ד</t>
  </si>
  <si>
    <t>1001793677</t>
  </si>
  <si>
    <t>סיוע בעריכת מחקרים בעלי חשיבות לאומית</t>
  </si>
  <si>
    <t>1001792793</t>
  </si>
  <si>
    <t>תמיכה שוטפת 2024</t>
  </si>
  <si>
    <t>1001794097</t>
  </si>
  <si>
    <t>המכון ליחסי ישראל והאנושות</t>
  </si>
  <si>
    <t>580000768</t>
  </si>
  <si>
    <t>40011305</t>
  </si>
  <si>
    <t>אור תורה סטון (ע"ר)</t>
  </si>
  <si>
    <t>1001797048</t>
  </si>
  <si>
    <t>מכוני מחקר 2024</t>
  </si>
  <si>
    <t>580611689</t>
  </si>
  <si>
    <t>42425354</t>
  </si>
  <si>
    <t>1001795320</t>
  </si>
  <si>
    <t>1001795131</t>
  </si>
  <si>
    <t>תמיכה במכוני מחקר תורנים 2024</t>
  </si>
  <si>
    <t>1001793730</t>
  </si>
  <si>
    <t>תמיכה למחקר תורני בעל משמעות לאומית 2024</t>
  </si>
  <si>
    <t>בית ועד הר-חברון (ע"ר)</t>
  </si>
  <si>
    <t>1001805887</t>
  </si>
  <si>
    <t>'בית תלמוד לרבנים בישראל' ע"ר היא עמותה</t>
  </si>
  <si>
    <t>580671675</t>
  </si>
  <si>
    <t>42824243</t>
  </si>
  <si>
    <t>בית תלמוד לרבנים בישראל (ע"ר)</t>
  </si>
  <si>
    <t>1001793357</t>
  </si>
  <si>
    <t>מכון מחקר</t>
  </si>
  <si>
    <t>1001794390</t>
  </si>
  <si>
    <t>דרכי הוראה לרבנים (ע"ר)</t>
  </si>
  <si>
    <t>1001792095</t>
  </si>
  <si>
    <t>עריכת תורנית ומחקרית תלמוד הירושלמי השלם</t>
  </si>
  <si>
    <t>דרכי שמחה (ע"ר)</t>
  </si>
  <si>
    <t>1001793581</t>
  </si>
  <si>
    <t>תמיכה שוטפת לשנת 2024</t>
  </si>
  <si>
    <t>1001796156</t>
  </si>
  <si>
    <t>תמיכה במכון התורני אור עציון - 2024</t>
  </si>
  <si>
    <t>הישיבה הגבוהה אור-עציון (ע"ר)</t>
  </si>
  <si>
    <t>1001792773</t>
  </si>
  <si>
    <t>בקשת תמיכה למכון חתם סופר</t>
  </si>
  <si>
    <t>1001797189</t>
  </si>
  <si>
    <t>580270403</t>
  </si>
  <si>
    <t>40299523</t>
  </si>
  <si>
    <t>הליכות הארץ - משמרת המצוות במשקים ה</t>
  </si>
  <si>
    <t>1001805813</t>
  </si>
  <si>
    <t>תמיכה שוטפת למכון המחקר</t>
  </si>
  <si>
    <t>580654762</t>
  </si>
  <si>
    <t>42206274</t>
  </si>
  <si>
    <t>המאיר לארץ ע"ש ציס"ע אבינו רבינו יו</t>
  </si>
  <si>
    <t>1001792818</t>
  </si>
  <si>
    <t>1001795323</t>
  </si>
  <si>
    <t>בקשת תמיכה למכון מחקר תורני חשיבות לאומי</t>
  </si>
  <si>
    <t>1001793674</t>
  </si>
  <si>
    <t>1001796565</t>
  </si>
  <si>
    <t>1001792597</t>
  </si>
  <si>
    <t>מכון מחקר חי בהם 2024</t>
  </si>
  <si>
    <t>1001796405</t>
  </si>
  <si>
    <t>חכמת שלמה - קלוגר (ע"ר)</t>
  </si>
  <si>
    <t>1001795411</t>
  </si>
  <si>
    <t>תמיכה במכון מחקר תורני על סדר טהרות</t>
  </si>
  <si>
    <t>1001794444</t>
  </si>
  <si>
    <t>1001793654</t>
  </si>
  <si>
    <t>שוטף מכון הר ברכה 2024</t>
  </si>
  <si>
    <t>1001792790</t>
  </si>
  <si>
    <t>תמיכה שוטפת 2024 מכון דעת תורה</t>
  </si>
  <si>
    <t>1001795342</t>
  </si>
  <si>
    <t>580575108</t>
  </si>
  <si>
    <t>42821770</t>
  </si>
  <si>
    <t>1001796650</t>
  </si>
  <si>
    <t>1001792817</t>
  </si>
  <si>
    <t>מכון מחקר תורני 2024</t>
  </si>
  <si>
    <t>1001792296</t>
  </si>
  <si>
    <t>תמיכה במכון חכמי ספרד</t>
  </si>
  <si>
    <t>580413524</t>
  </si>
  <si>
    <t>40350641</t>
  </si>
  <si>
    <t>מוסדות חכמת שלמה ע"ש הרה"צ רבי שלמה</t>
  </si>
  <si>
    <t>1001794391</t>
  </si>
  <si>
    <t>,תמיכה במכון הרב מצליח- כסא רחמים - 2024</t>
  </si>
  <si>
    <t>1001796944</t>
  </si>
  <si>
    <t>580665552</t>
  </si>
  <si>
    <t>42821131</t>
  </si>
  <si>
    <t>1001793515</t>
  </si>
  <si>
    <t>תמיכה למכון יחוה דעת להוציא לאור הלכה בר</t>
  </si>
  <si>
    <t>1001794440</t>
  </si>
  <si>
    <t>מכון "ראש פינה" בירושלים (ע"ר)</t>
  </si>
  <si>
    <t>1001793518</t>
  </si>
  <si>
    <t>הפעלת המכון 2024</t>
  </si>
  <si>
    <t>1001794786</t>
  </si>
  <si>
    <t>תמיכה ב"מכון הכתב" מכון למחקר תורני</t>
  </si>
  <si>
    <t>מכון הכתב (ע"ר)</t>
  </si>
  <si>
    <t>1001792772</t>
  </si>
  <si>
    <t>מחקר להוצאה חדשה של התלמוד הבבלי</t>
  </si>
  <si>
    <t>מכון הלכה ברורה וברור הלכה (ע"ר)</t>
  </si>
  <si>
    <t>1001792261</t>
  </si>
  <si>
    <t>מכון הלכה חב"ד</t>
  </si>
  <si>
    <t>580641397</t>
  </si>
  <si>
    <t>42201057</t>
  </si>
  <si>
    <t>1001793918</t>
  </si>
  <si>
    <t>תמיכה במחקרי המכון</t>
  </si>
  <si>
    <t>1001794516</t>
  </si>
  <si>
    <t>1001793583</t>
  </si>
  <si>
    <t>1001796949</t>
  </si>
  <si>
    <t>תמיכה שוטפת בעמותה למחקר תורני</t>
  </si>
  <si>
    <t>מכון ירושלים בתי מדרש לאברכים (ע"ר)</t>
  </si>
  <si>
    <t>1001793761</t>
  </si>
  <si>
    <t>תמיכה שוטפת במכון מחקר תורני</t>
  </si>
  <si>
    <t>1001792958</t>
  </si>
  <si>
    <t>תמיכה בחקר משפט העברי</t>
  </si>
  <si>
    <t>1001793364</t>
  </si>
  <si>
    <t>1001792297</t>
  </si>
  <si>
    <t>מכון מעליות (ע"ר)</t>
  </si>
  <si>
    <t>1001792371</t>
  </si>
  <si>
    <t>1001793914</t>
  </si>
  <si>
    <t>1001794108</t>
  </si>
  <si>
    <t>מכון שלמה אומן ז"ל (ע"ר)</t>
  </si>
  <si>
    <t>1001793760</t>
  </si>
  <si>
    <t>בקשה לתמיכה בפעילות מכון מחקר תורני</t>
  </si>
  <si>
    <t>1001793734</t>
  </si>
  <si>
    <t>1001796493</t>
  </si>
  <si>
    <t>מכון מרחבים בקשה לתמיכה במימון מחקרים</t>
  </si>
  <si>
    <t>580106177</t>
  </si>
  <si>
    <t>40300458</t>
  </si>
  <si>
    <t>1001793671</t>
  </si>
  <si>
    <t>1001796280</t>
  </si>
  <si>
    <t>יד הרב ניסים- מכוני מחקר- 2024</t>
  </si>
  <si>
    <t>580024917</t>
  </si>
  <si>
    <t>41068775</t>
  </si>
  <si>
    <t>1001796737</t>
  </si>
  <si>
    <t>תמיכה במכון לעבודות מחקר תורניים</t>
  </si>
  <si>
    <t>580658839</t>
  </si>
  <si>
    <t>42251605</t>
  </si>
  <si>
    <t>1001794321</t>
  </si>
  <si>
    <t>תמיכה לתקנת המחקר תורני - סולמות</t>
  </si>
  <si>
    <t>סולמות - יהדות חינוך וחוויה (ע"ר)</t>
  </si>
  <si>
    <t>1001796281</t>
  </si>
  <si>
    <t>מכון מחקר עטרת ירושלים 2024</t>
  </si>
  <si>
    <t>1001793107</t>
  </si>
  <si>
    <t>1001795249</t>
  </si>
  <si>
    <t>1001793733</t>
  </si>
  <si>
    <t>580647956</t>
  </si>
  <si>
    <t>42797623</t>
  </si>
  <si>
    <t>קרן מורשת ספרד והמזרח (ע"ר)</t>
  </si>
  <si>
    <t>1001796725</t>
  </si>
  <si>
    <t>תמיכה במחקרים ופרסומים מכון בן מלך</t>
  </si>
  <si>
    <t>1001795610</t>
  </si>
  <si>
    <t>תמיכה במכון מחקר תורני כפר יונה</t>
  </si>
  <si>
    <t>580521979</t>
  </si>
  <si>
    <t>41565752</t>
  </si>
  <si>
    <t>1001793657</t>
  </si>
  <si>
    <t>בקשת תמיכה לשנת 2024</t>
  </si>
  <si>
    <t>1001793842</t>
  </si>
  <si>
    <t>מכוני מחקר תורניים 2024</t>
  </si>
  <si>
    <t>תורה ומדינה - מכון מחקר (ע"ר) (לשעבר 'שיחת דקלים')</t>
  </si>
  <si>
    <t>אורות חמדה (ע"ר)</t>
  </si>
  <si>
    <t>חדש</t>
  </si>
  <si>
    <t>מומלץ לתמיכה ע"פ סעיפים 3(1)א ו - 9 (הוראת שעה 2024) למבחני התמיכה.
המכון הינו מנושאי הדגל בתחום חקר המקדש וקודשיו, ומהווה מומחה בעל שם בכל הקשור לתורת הטהרות. 
שני הפרסומים שהוכרו לצורך מעבר תנאי סף 4(5): טהרת ישראל ב' (יצא לאור ב 9/21); דרכי התלמוד (יצא לאור ב 10/19).
ניקוד משתנה 'איכות המחקרים' ניתן בשים לב לרמת המחקר ההולכת ומתפתחת, הכוללת עבודה יסודית, מקיפה ומעמיקה. ניקוד משתנה 'חשיבות המחקרים' ניתן לפי קטגורית 'חשיבות רבה', בשים לב להתפתחות המחקרים בנושא ייחודי וחשוב זה.
ניקוד משתנה 'היקף המחקר' הולם את עבודת המחקר במכון, בשים לב להיקפם, למקוריותם ולחשיבותם. ניקוד משתנה 'מספר הפרסומים' לא נוקד, בהעדר פרסום שיצא לאור בשנת ההערכה הקלנדרית 2022.
עזרי מחקר שנוקדו: 2 מבנים ייעודיים, אתר 'ויקימיקדש'.
מהדורות אלקטרוניות (בנוסף למודפסות) המופצות חינם: לא נוקדו, בהעדר פרסומים שיצאו לאור בשנת ההערכה. 
הערה: גוף זה לא נתמך בשנת 2022 ע"י המחלקה למחקר תורני, ולפיכך נבחן כ'גוף חדש' ע"פ הוראת השעה לשנת 2024.</t>
  </si>
  <si>
    <t>מומלץ לתמיכה ע"פ סעיפים 4(1)א,ב ו - 9 (הוראת שעה 2024) למבחני התמיכה.
להלן התייחסות הוועדה המייעצת:
המכון הינו מפעל דגל של תורת החסידות לגווניה השונים, שהינה בעלת חשיבות לאומית. המכון עוסק בחקר ספרות תורת החסידות, החל ממשנתו של מייסד התנועה הבעש"ט הקדוש ותלמידיו גדולי החסידות, לפני למעלה מ 200 שנה ועד ימינו אנו. במסגרת מחקרים אלה נערכת ההדרה מחקרית ומעמיקה, בהסתמך על דפוסים ראשונים, פענוח ראשי תיבות, חשיפת מאות אלפי מראי מקומות, השוואות והרחבות - המועילים להבנת מושגי יסוד בתורת הקבלה וכן מדור הפנינים שהינו קטעים נבחרים המקיפים נושאים שונים מכל תורת החסידות, ע"פ סדר הא'ב'.
בשנים האחרונות הוציא המכון לאור עשרות מיצירותיהם החשובות ביותר של ספרי היסוד בעולם החסידות, דוגמת ספר התניא, ליקוטי מוהר"ן, נועם אלימלך, קדושת לוי, דברי חיים ועוד, אשר יוצאים כעת לאור במהדורה מחקרית חדשה. במכון צוות חוקרים מגוון מעולם היצירה החסידית על גווניה השונים ושיטותיה הרבות. תוצאת המאמץ הגדול ניכרת בסדרות שונות, הכוללות עשרות ספרים, שכבשו מגזרים רבים בארון הספרים היהודי.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ניתן למכון ניקוד בשים לב לחשיבות ארבעת הפרסומים שיצאו לאור בשנת ההערכה.
ניקוד עזרי מחקר: 2 מבנים ייעודיים, מאגר כתבי יד ותוכנה ייחודית.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</si>
  <si>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המכון מתמקד בפעילותו של אחד מגדולי הפוסקים המרכזיים של האומה בדורות האחרונים - הגאון רבי שלמה זלמן אוירבך זצ"ל, וחושף רבדים נוספים ביישום ההלכה בחיי המעשה. הוועדה המייעצת מצאה חשיבות משמעותית בעובדה שסוגיות הש"ס המבוארות ע"פ משנתו, כוללות בתוכן גם פסיקות הלכה למעשה. ההשלכה של עמדת הרב בנושאי חשמל, מעליות, מצוות התלויות בארץ וכו' הינה בעלת משקל מכריע בכל פיתוח עתידי של קשרי תורה ומדע. 
לאור כל האמור לעיל: במשתנים 'איכות הפעילות' ו'חשיבות הפעילות' קיבל המכון את הניקוד המירבי בכל אחד מן המשתנים. ניקוד משתנה 'היקף עבודת המחקר' בשים לב להיקף עבודת המחקר ובהתחשב בכך שהעבודה על המחקר 'קרני אורה' נמשכה שנים רבות; ניקוד משתנה 'מס' הפרסומים' בשים לב לחשיבות הפרסום.
ניקוד עזרי מחקר : מבנה ייעודי, מאגר כתבי יד, ותוכנה ייחודית.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</si>
  <si>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הועדה המייעצת:
המכון מבצע מחקרים בעלי חשיבות לאומית אודות משנתם ההגותית הרחבה של מרן הרב קוק ובנו הרב צבי יהודה זצ"ל. העבודה מתבצעת באמצעות ביאור והרחבת דבריהם, מתוך עיון בכתביהם, שחלקם טרם ראו אור.
שני הפרסומים שהוכרו לצורך מעבר תנאי סף 4(5): לקט אגרות (יצא לאור ב 3/22); על המידות (יצא לאור ב 11/19).
ניקוד משתנה 'איכות המחקרים' ניתן בשים לב לרמת המחקר הנאותה; ניקוד משתנה 'חשיבות המחקרים' ניתן לפי קטגורית 'חשיבות נאותה', בשים לב לחשיבות המחקרים במכון, ביניהם אודות הרבנים קוק זצ"ל ושיעורי הרב שפירא שליט"א, ובהתחשב בעובדה שישנם מכוני מחקר נוספים העובדים בנושאים הדומים שפורטו להלן.
ניקוד משתנה 'היקף המחקר' הולם את עבודת המחקר במכון, בשים לב לכך שחלקם מהווים סיכומי שיחות וספרי תולדות ואורחות חיים; ניקוד משתנה 'מספר הפרסומים' נוקד בהתאם למספר הפרסומים שיצאו לאור בשנת ההערכה, בשים לב לעובדה שחלקם הגדול מהווה חוברות וקבצי מאמרים שאינם ערוכים או סיכומי שיעורים.
באשר למחקרים 'מתוך התורה הגואלת' (על התורה ועל המועדים): הועדה המייעצת התבססה על תוכנית העבודה של המכון, בה נכתב כי במהדורות החדשות שתצאנה לאור, ישנן תוספות משמעותיות.
למכון 6 חוקרים בלבד, אשר עבדו בשנת ההערכה על פרסומים ועבודות מחקר שהוכרו כבעלי חשיבות לאומית (אביחי דביר, אלדר אסא, זיס מתן, טרספולסקי יובל, סויסה חגי אליעזר, סופר ידידיה), ולפיכך עומד בתנאי סף של העסקת חוקרים ע"פ סעיף 4(7)ב למבחני התמיכה.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ומאגר כתבי יד. 
מהדורות אלקטרוניות (בנוסף למודפסות) המופצות חינם: לא נוקדו, בהעדר כאלה בשנת ההערכה.
הערה: גוף זה לא נתמך בשנים 2022 ו 2023 ע"י המחלקה למחקר תורני, ולפיכך נבחן כ'גוף חדש' ע"פ הוראת השעה לשנת 2024.</t>
  </si>
  <si>
    <t xml:space="preserve">מומלץ לתמיכה ע"פ סעיפים 4(1)א,ב ו - 9 (הוראת שעה 2024) למבחני התמיכה 
להלן התייחסות הוועדה המייעצת:
מכון אריאל עוסק בעיקר בחקר כתביו של אחד מגדולי הוגי הדעות בדורנו, הרב הנזיר זצ"ל וכן במחקר רש"י השלם.
ניקוד המשתנים 'איכות המחקרים' נוקד בשים לב לעבודה המחקרית הנאותה המתבצעת במכון; במשתנה חשיבות המחקרים ניתן הניקוד לפי קטגורית 'חשיבות נאותה'. 
משתנה 'היקף המחקר' נוקד בשים לב לעובדה שהמכון לא ציין מספר עמודים משוער של מחקריו, למרות שהתבקש לעשות זאת כבר מספר שנים, כי אם כותב 'בהכנה' - דבר המגביל את יכולת הערכת היקף מחקריו. משתנה 'מס' הפרסומים' בשנת ההערכה נוקד בהלימה להוצאתם לאור של שלושה פרסומים בהיקף נאות.
עזרי מחקר שנוקדו: מבנה ייעודי וכתבי יד.
מהדורות אלקטרוניות (בנוסף למודפסות) המופצות חינם: לא נוקדו, בהעדר כאלה בשנת ההערכה.
</t>
  </si>
  <si>
    <t>מומלץ לתמיכה ע"פ סעיף 4(1)א ו - 9 (הוראת שעה 2024) למבחני התמיכה.
להלן התייחסות הוועדה המייעצת:
המכון עוסק בחקר תלמודה של ארץ ישראל באורינטציה ציונית ועדכנית, באמצעות פירוש של חוקרי המכון, וכן השוואה בין התלמוד הירושלמי לתלמוד הבבלי.
ניקוד המשתנה 'איכות המחקרים' ניתן בשים לב לרמתם הטובה של המחקרים; ניקוד משתנה 'חשיבות המחקרים' ניתן בשים לב לחשיבותם נאותה. 
ניקוד משתנה 'היקף המחקר' ניתן בהתאמה לפעילות המכון ולחשיבותם של המחקרים; ניקוד משתנה 'מס' הפרסומים' נוקד בהתאם לפרסום הראוי שיצא לאור בשנת ההערכה.
עזרי מחקר שנוקדו: מבנה ייעודי.
מהדורות אלקטרוניות (בנוסף למודפסות) המופצות חינם: לא נוקדו, בהעדר פרסומים שיצאו לאור בשנת ההערכה.</t>
  </si>
  <si>
    <t>מומלץ לתמיכה לפי סעיף 4(1)א למבחני התמיכה וע"פ סעיף 9 להורא
המכון עוסק במחקר מקיף בתחומי העיון, הלימוד וההלכה, אשר יש בהם חשיבות לאומית בהמשכיות התורה ובהבנתה, במציאות הלאומית המודרנית כיום. 
לאור האמור לעיל, נוקד המכון במשתנה 'איכות המחקרים', בשים לב לרמת המחקר האיכותית, ובמשתנה 'חשיבות המחקרים' בקטגוריה 'חשיבות רבה', בשים לב לחשיבותם הרבה לציבור רחב.
ניקוד משתנה 'היקף המחקר' הולם את עבודת המחקר הרבה שהתקיימה במכון; ניקוד משתנה 'מספר הפרסומים' נוקד בשים לב לפרסום החשוב שיצא לאור בשנת ההערכה.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מהדורות אלקטרוניות (בנוסף למודפסות) המופצות חינם: לא נוקדו, בהעדר כאלה בשנת ההערכה.</t>
  </si>
  <si>
    <t>מומלץ לתמיכה ע"פ סעיף 4(1)א,ב ו 9  (הוראת השעה 2024) למבחני התמיכה.
להלן התייחסות הוועדה המייעצת:
פסקיו ותורתו של הרב הראשי לשעבר, הראשל"צ מרן הרב מרדכי אליהו זצ"ל, משפיעים על קהל גדול בעולם ההלכה השפעה גדולה ומכרעת, והינם בעלי חשיבות לאומית יוצאת דופן.
ניקוד המשתנים 'איכות המחקרים' ניתן בשים לב לרמת המחקר הטובה ובהשוואה למכוני מחקר מסוגו; ניקוד משתנה 'חשיבות המחקרים' ניתן ע"פ קטגורית 'חשיבות יוצאת דופן' בשל דמות הראשל"צ הרב מרדכי אליהו זצ"ל והשפעתו על ציבור גדול.
ניקוד משתנה 'היקף המחקר' ניתן בהתאם להיקף המחקר הנמוך יחסית; משתנה 'מס' הפרסומים' לא נוקד, בהעדר פרסום שיצא לאור בשנת ההערכה הקלנדרית 2022.
עזרי מחקר שנוקדו: מבנה ייעודי וספריה.
מהדורות אלקטרוניות (בנוסף למודפסות) המופצות חינם: לא נוקדו, בהעדר פרסומים שיצאו לאור בשנת ההערכה.</t>
  </si>
  <si>
    <t>מומלץ לתמיכה ע"פ סעיף 4(1)א,ב למבחני התמיכה ו - 9 (הוראת שעה 2024) למבחני התמיכה.
להלן התייחסות הוועדה המייעצת:
הוועדה המייעצת מעריכה את עבודת המכון על התלמוד הירושלמי ומתרשמת מאד מאיכות העבודה ומרמתה הגבוהה באופן רציף, הכוללת מספר חלקים: ביאור מקיף אור שמחה, ספר המפתח, השוואת הבבלי והירושלמי, תיקון הנוסח ע"פ כתבי יד, דקדוקי סופרים, תוספות ראשונים, מפרשי הירושלמי הקדמונים, אוצר מפרשי הירושלמי וסיכומי סוגיות מורכבות. 
כל זאת, תוך חלוקה חיונית שהתבצעה במכון, ואשר באה לידי ביטוי במהדורות השונות שבכל מסכת: 'מהדורת ירושלים המורחבת' ו'מהדורת טבריה', המבדילות בין הנדרש למחקר וללמידה תורנית מעמיקה (מהדורת ירושלים) לבין ביאורים ופירושים תמציתיים (מהדורת טבריה).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המכון לא נוקד, בשל העובדה שהפרסום שיצא לאור בשנת ההערכה (ברכות, כרך א', מהדורת ירושלים) כבר נוקד בשנת 2022 בניקוד המירבי למשתנה זה כטיוטה מוכנה, בהתאם לסעיף 5(ה)(2) למבחני התמיכה (מדובר היה אז בחלק מתוך סדרה המורכבת מיחידות מחקריות, אשר יצא לאור פרסום של המוסד באותה סדרה, בשנה שקדמה לשנת ההערכה).
עזרי מחקר שנוקדו: מבנה ייעודי וכרטסת ייחודית.
מהדורות אלקטרוניות (בנוסף למודפסות) המופצות חינם: לא נוקדו, בהעדר כאלה בשנת ההערכה.</t>
  </si>
  <si>
    <t>מומלץ לתמיכה ע"פ סעיף 4(1)א,ב למבחני התמיכה  ו - 9 (הוראת שעה 2024) למבחני התמיכה..
להלן התייחסות הוועדה המייעצת:
הוועדה המייעצת ממשיכה לראות במפעל ה'אנציקלופדיה התלמודית' מפעל חשוב ביותר, הנמנה על מכוני הדגל של המחקר התורני במדינת ישראל.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ניתן למכון הניקוד המירבי, בשים לב לשני הפרסומים בעלי החשיבות הלאומית הרבה שיצאו לאור בשנת ההערכה.
עזרי מחקר שנוקדו: מבנה ייעודי וספריה.
מהדורות אלקטרוניות (בנוסף למודפסות) המופצות חינם: לא נוקדו, בהעדר כאלה בשנת ההערכה.</t>
  </si>
  <si>
    <t>מומלץ לתמיכה ע"פ סעיף 4(1)א,ב ו - 9 (הוראת שעה 2024) למבחני התמיכה.
להלן התייחסות הוועדה המייעצת:
המכון עוסק בעבודת ההדרה של ספרות הראשונים וספרות המחשבה של גדולי ישראל מדורות קודמים ומוציא לאור מהדורות מדעיות איכותיות.
ניקוד המשתנה 'איכות המחקרים' ניתן בשים לב לרמת המחקר המקצועית והמעמיקה; משתנה 'חשיבות המחקרים' נוקד לפי קטגורית 'חשיבות רבה'.
משתנה 'היקף המחקר' נוקד בשים לב לגידול בהיקף עבודת המחקר; משתנה 'מס' הפרסומים' נוקד בשים לב לשלושת הפרסומים החשובים שיצאו לאור בשנת ההערכה.
עזרי מחקר שנוקדו: מבנה ייעודי וספריה.
מהדורות אלקטרוניות (בנוסף למודפסות) המופצות חינם: לא נוקדו, בהעדר פרטי תאריך ההפצה / הגשה לפרסום.</t>
  </si>
  <si>
    <t>מומלץ לתמיכה ע"פ סעיף 4(1)א,ב  ו - 9 (הוראת שעה 2024) למבחני התמיכה.
להלן התייחסות הוועדה המייעצת:
המכון עוסק בההדרת תורתו של מרן ה'חתם סופר', בניו ותלמידיו. ה'חתם סופר' השפיע בפסיקתו על דורו ועל הדורות אחריו, עד לימינו אנו. בעקבות משנתו ותורתו זו, יצרו תלמידיו שיטה הלכתית המשפיעה על הפסיקה באופן משמעותי. הוועדה המייעצת רואה חשיבות גדולה במחקר מעמיק אודות כל אלה, אשר המכון מבצע בצורה הולמת וטובה.
ניקוד המשתנים 'איכות המחקרים' ניתן בשים לב לרמת המחקר הטובה; משתנה 'חשיבות המחקרים' ניתן לפי קטגורית 'חשיבות רבה'.
ניקוד משתנה 'היקף המחקר' ירד מזה שנוקד בשנת 2022 (השנה האחרונה בה נוקד המכון) בשל קיטון בהיקף עבודות המחקר שהתבצעו במכון; ניקוד משתנה 'מס' הפרסומים' בהתאם לעליה במספר הפרסומים שיצאו לאור (3), בשים לב לחשיבותם ולהעמקתם.
עזרי מחקר שנוקדו: 2 מבנים ייעודיים, מאגר כתבי יד, 2 תוכנות ייחודיות. 
מהדורות אלקטרוניות (בנוסף למודפסות) המופצות חינם: לא נוקדו, בהעדר כאלה בשנת ההערכה.</t>
  </si>
  <si>
    <t>מומלץ לתמיכה ע"פ סעיף 3(1)ג,א,ב ו - 9 (הוראת שעה 2024) למבחני התמיכה.
להלן התייחסות הוועדה המייעצת:
המכון עוסק בפעילות תורנית יישומית בעלת חשיבות לאומית רבה לכלל הציבור, ומוציא מחקרים בתחומים אלו. המכון הינו מהמובילים בארץ בתחומי החקלאות, ובפרט בתחום המניעה מתולעים. 
לאור כל האמור לעיל: במשתנים 'איכות הפעילות' ו'חשיבות הפעילות' קיבל המכון את הניקוד המירבי בכל אחד מן המשתנים; משתנה 'היקף המחקר' נוקד בשים לב להיקף עבודת המחקר במכון ולכך ש'קצירת השדה תרומות ומעשרות ב'' טרם יצא לאור; ניקוד משתנה 'מס' הפרסומים' ניתן למכון בשים לב לשלושת הפרסומים שיצאו לאור בשנת ההערכה, היקפם וחשיבותם (ספרי שו"ת שיש בהם מחקר תורני שאינו יוצא דופן בחשיבותו).
עזרי מחקר שנוקדו: מבנה ייעודי, מעבדת מחקר, כתבי יד, כתב עת 'תנובות שדה', חממת מחקר.
מהדורות אלקטרוניות (בנוסף למודפסות) המופצות חינם: לא נוקדו, בהעדר כאלה בשנת ההערכה (כתב העת תנובות שדה מנוקד כעזר מחקר, ואינו נחשב פרסום).</t>
  </si>
  <si>
    <t>מומלץ לתמיכה ע"פ סעיפים 4(1)א,ב ו - 9 (הוראת שעה 2024) למבחני התמיכה.
להלן התייחסות הוועדה המייעצת:
המכון עוסק במשנתם של הראי"ה קוק, הרצי"ה קוק ושל הרב הראשי רבי אברהם שפירא זצ"ל, שיש בהם חשיבות לאומית. 
ניקוד משתנה 'איכות המחקרים' נוקד בשים לב לרמת המחקר המקצועית הנאותה; ניקוד משתנה 'חשיבות המחקרים' ניתן לפי קטגורית 'חשיבות נאותה', בשים לב לחשיבות המחקרים אודות הרבנים קוק זצ"ל, שהולכים ומתפתחים בשנים האחרונות.
ניקוד משתנה 'היקף המחקר' הולם את הגידול בהיקף עבודת המחקר במכון, בשים לב לקצב התקדמותם האיטי; משתנה 'מספר הפרסומים' נוקד בשים לב לפרסום שיצא לאור בשנת ההערכה, לאור חשיבותו.
עזרי מחקר שנוקדו: כתבי יד.
מהדורות אלקטרוניות (בנוסף למודפסות) המופצות חינם: לא נוקדו, בהעדר כאלה בשנת ההערכה.</t>
  </si>
  <si>
    <t>מומלץ לתמיכה ע"פ סעיפים 4(1)ג,א ו - 9 (הוראת שעה 2024) למבחני התמיכה. 
להלן התייחסות הוועדה המייעצת:
מכון בעל חשיבות לאומית רבה, העוסק במצוות התלויות בארץ, במישור היישומי והמחקרי ומפיק מחקרים איכותיים. 
לאור האמור לעיל: במשתנים 'איכות הפעילות' ו'חשיבות הפעילות' קיבל המכון את הניקוד המירבי בכל אחד מן המשתנים. 
ניקוד משתנה 'היקף המחקר' הינו בשים לב להיקף המגוון של המחקרים המתבצעים במכון והשפעתם; במשתנה 'מס' הפרסומים' ניתן למכון הניקוד בהתחשב בהיקף הפרסומים והמחקרים שיצאו לאור בשנת ההערכה, ביחס הדומה לשנה קודמת בה נוקד המכון (שנת התמיכה 2022).
עזרי מחקר שנוקדו: מבנה ייעודי, 2 מעבדות מחקר, ספריה תורנית, כתב העת 'אמונת עתיך', עזרי מחקר אחרים ינוקדו בסך 4 נקודות ע"פ הערכת ועדה מייעצת בהעדר מידע ברור אודותיהם. 
מהדרות אלקטרוניות (בנוסף למודפסות) המופצות חינם: לא נוקדו, בהעדר כאלה בשנת ההערכה (פורסמו מחקרים שלא יצאו לאור כספרים מודפסים; פורסם ספר 'מתנות הארץ' באוצר החכמה, שאינו מופץ חינם; פורסם כתב העת שנתמך כבר במסגרת עזרי מחקר ולא כפרסום).</t>
  </si>
  <si>
    <t>מומלץ לתמיכה ע"פ סעיפים 4(1)(א) ו - 9 (הוראת שעה 2024) למבחני התמיכה.
מכון העוסק בהוצאת ספרים המבארים את תורת הרבנים קוק זצ"ל, ע"פ שיעורי תלמידיו. וכן הוצאת ביאורים על ספרי יסוד נוספים ברוח הרב קוק ברמה נאותה.
ניקוד משתנה 'איכות המחקרים' ניתן בשים לב לרמת המחקר הנאותה; ניקוד משתנה 'חשיבות המחקרים' ניתן לפי קטגורית 'חשיבות נאותה', בשים לב לחשיבות המחקרים במכון, ביניהם אודות הרבנים קוק זצ"ל ושיעורי הרב שטרנברג זצ"ל, ובהתחשב בעובדה שישנם מכוני מחקר נוספים העובדים בנושאים הדומים שפורטו להלן.
ניקוד משתנה 'היקף המחקר' הולם את עבודת המחקר במכון, בשים לב לחשיבותם; ניקוד משתנה 'מספר הפרסומים' נוקד בהתאם להיקף הפרסומים שיצאו לאור בשנת ההערכה ולחשיבותם.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מהדורות אלקטרוניות (בנוסף למודפסות) המופצות חינם: לא נוקדו, בהעדר כאלה בשנת ההערכה.</t>
  </si>
  <si>
    <t>מומלץ לתמיכה ע"פ סעיפים 4(1)א ו - 9 (הוראת שעה 2024) למבחני התמיכה.
המכון עוסק במספר תחומי מחקר מרכזיים: עיון, פסיקה והלכה באתגרי השעה; עיסוק בתחומי ממשק שונים בין עולם הידע התורני לתחומי מקצוע שונים (דוגמת משפט וכלכלה, תחומי הנפש, מערכות המדינה ומדע) ועיסוק במחשבה תלמודית.
לאור האמור לעיל, נוקד המכון במשתנה 'איכות המחקרים', בשים לב לרמת המחקר הטובה, ובמשתנה 'חשיבות המחקרים' בקטגוריה 'חשיבות נאותה', בשים לב למידת חדשנותם ולחשיבותם, וביחס לרמת העבודה המחקרית שהתבצעה בהם.
ניקוד משתנה 'היקף המחקר' ניתן בשים לב לחשיבות המחקרים הנערכים במכון, וסוג העבודה הנדרשת אודותיהם; ניקוד משתנה 'מספר הפרסומים' נוקד בשים לב לכך שבחלק ניכר מהפרסומים ישנה כפילות כפילות בהיותם ספרים ומאגרי מידע זהים, שנגישותם לציבור נמוכה (אינם מופיעים באינטרנט).
עזרי מחקר שנוקדו: 3 מבנים ייעודיים, כתב העת 'מבוע'.
מהדורות אלקטרוניות (בנוסף למודפסות) המופצות חינם: לא נוקדו, בהעדר כאלה בשנת ההערכה.</t>
  </si>
  <si>
    <t>מומלץ לתמיכה ע"פ סעיפים 4(1)א ו 9 (הוראת שעה 2024) למבחני התמיכה.
המכון פועל להוצאת ספרי גדולי הדורות – הראשונים והאחרונים. עיקר פעילותו הינה הוצאה הו"ל של כתבי יד של הגאון רבי שלמה קלוגר זצ"ל, הכוללים אלפי גליונות של חידושי תורה, למעלה ממאה חיבורים חדשים עד כה וההדרת ספרים במהדורה מחודשת.
לאור האמור לעיל, נוקד המכון במשתנה 'איכות המחקרים', בשים לב לרמת המחקר האיכותית והמקצועית, ובמשתנה 'חשיבות המחקרים' בקטגוריה 'חשיבות רבה', בשים לב לחשיבותם הרבה לציבור רחב.
ניקוד משתנה 'היקף המחקר' הולם את עבודת המחקר הרבה והחשובה שהתקיימה במכון; ניקוד משתנה 'מספר הפרסומים' נוקד בהתאם לשלושת הפרסומים החשובים שיצאו לאור בשנת ההערכה.
עזרי מחקר שנוקדו: מבנה ייעודי, ותוכנה ייחודית.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</si>
  <si>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מכון טהרות בעיון הינו מכון הדגל בכל הקשור לסדר 'טהרות' של ששה סדרי המשנה והנחלת תורת הטהרה והטומאה בעמ"י. סדר משניות זה טרם נחקר עד היום באופן הולם. במסגרת זו, פועל המכון באפיקים הבאים:
א. באמצעות סדרת 'משניות טהרות' + סדרת 'אוצרות דעת פתחי דעת', הכוללים: א. ההדרת המשניות עצמן ב. ההדרת חיבורי פרשני המשניות: הרמב"ם והר"ש ג. ריכוז כל מובאות חז"ל הדנים במרחבי התלמוד על סדר טהרות ד. יצירת חיבור חדש - שיטה מקובצת ה. עיטור כתבי יד של פירושים על סדר טהרות. 
ב. באמצעות סדרת 'אורחות דעת - הטומאה והטהרה בחיי המעשה': חיבור הלכתי על הלכות טומאה וטהרה, תוך בירור ההלכה לאור המציאות העכשווית. 
לאור כל האמור לעיל: במשתנים 'איכות הפעילות' ו'חשיבות הפעילות' קיבל המכון את הניקוד המירבי בכל אחד מן המשתנים. במשתנה 'היקף המחקר' ניתן למכון הניקוד המירבי, בשל היקף העבודה הרב המתבצע במכון, בשים לב לחשיבותם הרבה של המחקרים; במשתנה 'מס' הפרסומים' ניתן למכון הניקוד המירבי, בשים לב לפרסום בעל ההיקף הגדול והחשיבות הרבה שיצא לאור בשנת ההערכה.
עזרי מחקר שנוקדו: מבנה ייעודי, כתב העת 'אהלי טהרות' (מאגר כתבי יד לא נוקד, בהעדר פרטים חשובים).</t>
  </si>
  <si>
    <t>מומלץ לתמיכה ע"פ סעיפים 4(1)א,ב ו - 9 (הוראת שעה 2024) למבחני התמיכה.
להלן התייחסות הוועדה המייעצת:
המכון עוסק בעיקר במחקר פרשני על בסיס משנתו המוסרית של ראש ישיבת בית מאיר, רבי זלמן רוטברג זצ"ל וממשיכי דרכו - כהמשך לדרכם של בעלי תורת המוסר רבי ישראל מסלנט ורבי ירוחם ממיר זצ"ל. כן עוסק המכון בהמשך נתיבי הלימוד התורני של רבי שמעון שקופ מגרודנא זצ"ל, ובאלה רואה הוועדה המייעצת חשיבות לאומית. בנוסף, המכון עוסק גם בפרשנות על הנ"ך, ע"פ דרך תורת המוסר, שאינה שכיחה בעולם הישיבות, ולפיכך בעלת חשיבות לאומית.
קהל היעד של עבודת מחקר זו הינו תלמידי וחוקרי תנועת המוסר לדורותיה, ובשנים האחרונות אף התרחב לקהלים נוספים על אלה שהיו בעבר, אשר נחשפים כיום להגותו.
משתנה 'איכות המחקרים' נוקד בשים לב לרמת המחקר המקצועית הטובה; ניקוד משתנה 'חשיבות המחקרים' ע"פ קטגורית 'חשיבות נאותה'.
ניקוד משתנה 'היקף המחקר' הולם את עבודת המחקר במכון, בשים לב לחשיבות המחקרים; משתנה 'מס' הפרסומים' נוקד בשים לב לשני הפרסומים שיצאו לאור בשנת הההערכה.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ספריה, מאגר כתבי יד, שני מאגרי ענק של הקלטות ושיעורים.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</si>
  <si>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הוועדה המייעצת:
המכון עוסק בעיקר בחקר ספרות ההלכה באופן ידידותי ונגיש, בהיר ומסודר תוך תוספת ביאור מחקר עדכני לצורך חיי היומיום. בספרי המכון מפורטות השלתלשלות מקורות ההלכה ממקורותיה ועד ימינו אלה, וכן מפורטים ההסברים השונים לכל הלכה והלכה באופן מאיר עיניים, לרבות התייחסות לנושאים אקטואליים.
משתנה 'איכות המחקרים' נוקד בשים לב לרמת המחקר המקצועית הטובה; משתנה 'חשיבות המחקרים' ע"פ קטגורית 'חשיבות רבה'.
ניקוד משתנה 'היקף המחקר' נוקד בניקוד המירבי, בהיותו הולם את עבודת המחקר הגדולה שנערכה במכון; משתנה 'מס' הפרסומים שיצאו לאור' לא נוקד, בשל העדר פרסומים כאמור בשנת ההערכה (קלנדרית 2022).
עזרי מחקר שנוקדו: מבנה ייעודי, ספריה תורנית.
מהדורות אלקטרוניות (בנוסף למודפסות) המופצות חינם: לא נוקדו, בהעדר פרסומים שיצאו לאור בשנת ההערכה.</t>
  </si>
  <si>
    <t>מומלץ לתמיכה ע"פ סעיפים 4(1)א ו - 9 (הוראת שעה 2024) למבחני התמיכה.
להלן התייחסות הוועדה המייעצת:
מכון ייחודי העוסק בנושאי יסוד בכלכלה הישראלית ובעיות תקציב - באופן תורני מובהק וראוי, וכן במחקרים בעלי השלכה יישומית במישור הכלכלה הציבורית.
משתנה 'איכות המחקרים' נוקד בשים לרמת המחקר הטובה בנושאים הנדונים; משתנה 'חשיבות המחקרים' נוקד ע"פ קטגורית 'חשיבות רבה', לאור חשיבות נושאי המחקר.
ניקוד משתנה 'היקף המחקר' הולם את עבודת המחקר שנערכה במכון, בשים לב להתפתחותה; משתנה 'מס' הפרסומים'' נוקד בשים לב להיקף הפרסום החשוב שיצא לאור בשנת ההערכה.
מהדורות אלקטרוניות (בנוסף למודפסות) המופצות חינם: לא נוקדו, בהעדר כאלה בשנת ההערכה.</t>
  </si>
  <si>
    <t>מומלץ לתמיכה ע"פ סעיפים 4(1)א ו 9 (הוראת שעה 2024) למבחני התמיכה.
הלן התייחסות הועדה המייעצת:
המכון מבצע עבודת הנגשת הרמב"ם לציבור הרחב באמצעות ביאור בהיר, מעובד ומתומצת מתוך עשרות מפרשי הרמב"ם, שהינו מחקר תורני בעל חשיבות לאומית.
שני הפרסומים שהוכרו לצורך מעבר תנאי סף 4(5): הרמב"ם המבואר נזיקין ב' (יצא לאור ב 12/22); הרמב"ם המבואר טהרה ג' (יצא לאור ב 5/22).
ניקוד משתנה 'איכות המחקרים' ניתן בשים לב לרמת המחקר, הכוללת בעיקר ביאור, תמצות והנגשה של הרמב"ם וחלק ניכר ממפרשיו, אך לא חקר מעמיק הדורש עיבוד מחודש של החומר; ניקוד משתנה 'חשיבות המחקרים' ניתן לפי קטגורית 'חשיבות נאותה', בשים לב לחשיבות הנגשת ספרי הרמב"ם לציבור, ובהתחשב בעובדה שישנם מכוני מחקר נוספים העובדים על הנגשת דברי הרמב"ם.
ניקוד משתנה 'היקף המחקר' הולם את עבודת המחקר במכון, בשים לב למספרם. ניקוד משתנה 'מספר הפרסומים' נוקד בהתאם למספר הפרסומים שיצאו לאור בשנת ההערכה, בשים לב להיקפם ולחשיבותם.
מהדורות אלקטרוניות (בנוסף למודפסות) המופצות חינם: לא נוקדו, בהעדר כאלה בשנת ההערכה.
הערה: גוף זה לא נתמך בשנים 2022 ו 2023 ע"י המחלקה למחקר תורני, ולפיכך נבחן כ'גוף חדש' ע"פ הוראת השעה לשנת 2024.</t>
  </si>
  <si>
    <t>מומלץ לתמיכה ע"פ סעיפים 4(1)א,ב ו - 9 (הוראת שעה 2024) למבחני התמיכה.
להלן התייחסות הוועדה המייעצת: 
המכון עוסק במחקר ובהוצאת ספרי 'הלכה ברורה' המהווים מאגד מעמיק של ההלכות לבני עדות ישראל. פעילות חשובה שמתבטאת גם בביקוש הגדול לספרי המכון הן על ידי ציבור הלומדים בפרט והן ע"י הציבור הרחב בכלל. הוועדה המייעצת ערה לחדשנות ולתוספת המשמעותית בכתיבת ראש המכון מרן הראשון לציון הגאון רבי דוד יוסף שליט"א - מעבר למופיע בשו"ת של אביו מרן הגאון רבי עובדיה יוסף זצ"ל.
חשיבות מיוחדת רואה הוועדה המייעצת בציונם של אלפי מראי מקומות להלכות הנדונות בסדרה, ולבירורי ההלכה המעמיקים במנהגי הספרדים והאשכנזים כאחד - עד המסקנה הסופית וההחלטית כנדרש. 
לאור האמור לעיל: במשתנים 'איכות הפעילות' ו'חשיבות הפעילות' קיבל המכון את הניקוד המירבי בכל אחד מן המשתנים. 
משתני 'היקף המחקר' ו'מספר הפרסומים' קיבלו את הניקוד המירבי כל אחד מהם, בשים לב להיקפם הגדול של המחקרים, חשיבותם והשפעתם הרבות.
עזרי מחקר שנוקדו: מבנה ייעודי ומאגר כתבי יד.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</si>
  <si>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המכון עוסק בהוצאה לאור של סדרת 'אבן ברורה', המנגישה את חלק 'אבן העזר' של השולחן ערוך לציבור, תוך עבודת מחקר מקצועית וטובה.
משתנה 'איכות המחקרים' נוקד בשים לב לרמת המחקר הטובה; משתנה 'חשיבות המחקרים' נוקד ע"פ קטגורית 'חשיבות נאותה'.
ניקוד סעיף 'היקף המחקר' הולם את עבודת המחקר אודות המחקר שבשלבי עבודה, הדורש התמודדות עם ספרות תורנית מורכבת; ניקוד 'מספר הפרסומים' בשים לב לעבודה המורכבת אודות הפרסום היחיד שיצא לאור בשנת ההערכה.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</si>
  <si>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המכון מתמחה בהוצאתם לאור ובההדרתם של כתבי יד של רבנים חשובים במאות השנים האחרונות, המונחים בקרן זוית; כתבים שלולא עבודת המכון לא היו נחשפים ומפוענחים כראוי. כמו כן, המכון החל בפרויקט חדש של מפעל תורת הגאונים וחכמי הראשונים.
משתנה 'איכות המחקרים' נוקד בשים לב לרמת המחקר המעמיקה והמוקפדת; ניקוד 'חשיבות המחקרים' ע"פ קטגורית 'חשיבות רבה'. 
משתנה 'היקף המחקר' נוקד בניקוד המירבי, בשל העבודה הרבה והחשובה שנערכת במכון. משתנה 'מס' הפרסומים' נוקד בהתאם לארבעת הפרסומים שיצאו לאור בשנת ההערכה, בשים לב למורכבותם.
עזרי מחקר שנוקדו: 3 מבנים ייעודיים, מאגר כתבי יד, כתתב העת 'בית אהרן וישראל', ציוד מיוחד לקריאת כתבי יד; ציוד מיוחד לפירוק כריכות.
מהדורות אלקטרוניות (בנוסף למודפסות) המופצות חינם: גנוזות הרמב"ם ובית מדרשו; פירוש תלמידי הרא"ש על התורה; ספר מקל יעקב; שו"ת רבי שלמה ברוך זלה"ה.</t>
  </si>
  <si>
    <t>מומלץ לתמיכה ע"פ סעיפים 4(1)א,ב ו 9 (הוראת שעה 2024) למבחני התמיכה.
להלן התייחסות הוועדה המייעצת:
המכון עוסק שנים רבות בחקר תורתם של ראשונים מגדולי חכמי ספרד, ובפרט תורת חכמי ארם צובא; בההדרתם ובהוצאתם לאור.
משתנה 'איכות המחקרים' נוקד בשים לב לרמת המחקר המקצועית; משתנה 'חשיבות המחקרים' נוקד ע"פ קטגורית 'חשיבות רבה'.
ניקוד משתנה 'היקף המחקר' הולם את היקף עבודת המחקר הרבה שהתבצעה במכון; משתנה 'מס' הפרסומים' נוקד בהתאם לפרסום שיצא לאור, בשים לב לחשיבותו.
עזרי מחקר שנוקדו: מבנה ייעודי, ספריה תורנית ומאגר כתבי יד.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</si>
  <si>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מכון בעל חשיבות לאומית, העוסק בהוצאת התלמוד ברוח תוכניתו של הראי"ה קוק זצ"ל וחזונו, ע"פ כתבי ידו, תוך הדגשה על שיטת הלימוד המקשרת בין ההלכה לסוגיית התלמוד וחשיבותה. 
לאור האמור לעיל: במשתנים 'איכות הפעילות' ו'חשיבות הפעילות' קיבל המכון את הניקוד המירבי בכל אחד מן המשתנים. 
משתנה 'היקף המחקר' נוקד בניקוד המירבי, בשל היקף הפעילות הגדול המתבצע במכון, ובשים לב לחשיבות הרבה של המחקרים; משתנה 'מספר הפרסומים' לא נוקד, בהעדר פרסום שיצא לאור בשנת ההערכה (שנה קלנדרית 2022). 
עזרי מחקר שנוקדו: מבנה ייעודי, מאגר ממוחשב ייחודי ומפתח לפירושים על משנה תורה, שפותחו ע"י המכון.
מהדורות אלקטרוניות (בנוסף למודפסות) המופצות חינם: לא נוקדו, בהעדר פרסומים שיצאו לאור בשנת ההערכה.</t>
  </si>
  <si>
    <t>מומלץ לתמיכה ע"פ סעיפים 4(1)א,ב ו - 9 (הוראת שעה 2024) למבחני התמיכה.
להלן התייחסות הוועדה המייעצת:
המכון עוסק בהוצאה לאור של כתבי הרב צבי פסח פראנק זצ"ל - אישיות רבנית שהשפעתה ההלכתית חוצה מגזרים, ואשר גדולי הדור האחרון קראו להרחבת המחקר וההוצאה לאור של כתביה. 
משתנה 'איכות המחקרים' נוקד בשים לב לרמת המחקר הטובה; משתנה 'חשיבות המחקרים' נוקד ע"פ קטגורית 'חשיבות נאותה'.
משתנה 'היקף המחקר' נוקד בשים לב להיקף העבודה המשמעותי והחשוב שנערך במכון. משתנה 'מס' הפרסומים' נוקד בהתאם לפרסום שיצא לאור בשנת ההערכה, בשים לב לחשיבותו.
עזרי מחקר שנוקדו: 2 מבנים, ספריה תורנית ומאגר כתבי יד.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</si>
  <si>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הוועדה המייעצת:
המכון עוסק במגוון תחומי היצירה התורנית העוסקים בתחוקה, משפט עברי וההדרת ספרי ראשונים בעלי חשיבות לאומית. 
משתנה 'איכות המחקרים' נוקד בשים לב לרמת המחקר הטובה; משתנה 'חשיבות המחקרים' נוקד ע"פ קטגורית 'חשיבות נאותה'.
משתנה 'היקף המחקר' נוקד בשים לב להיקף העבודה החשובה המתבצעת במכון; משתנה 'מס' הפרסומים' נוקד בהתאם לפרסום שיצא לאור בשנת ההערכה, בשים לב לעובדה שהינו מהדורה מחודשת (בעלת תוספות משמעותיות)  על בסיס פרסום ישן.
עזרי מחקר שנוקדו: 2 מבנים וספריה תורנית.
מהדורות אלקטרוניות (בנוסף למודפסות) המופצות חינם: ראבי"ה מהדורה חדשה ומתוקנת א'.</t>
  </si>
  <si>
    <t>מומלץ לתמיכה ע"פ סעיפים 4(1)א,ב ו - 9 (הוראת שעה 2024) למבחני התמיכה.
להלן התייחסות הוועדה המייעצת:
מכון ותיק ובעל חשיבות לאומית, שעוסק במקצוע החשוב של חילופי גרסאות בש"ס ברמה גבוהה מאד, וכן בההדרתם של ספרי חכמי ה'ראשונים' המרכזיים לעולם התורה. הוועדה המייעצת חוזרת ומדגישה, כי עיקר חשיבות המכון בעיניה הוא העיסוק בחילופי הגרסאות בש"ס תלמוד בבלי, במסגרת סדרת 'דקדוקי סופרים', אשר משמש הוצאות לאור נחשבות של ספרי תלמוד בבלי.
לאור האמור לעיל: במשתנים 'איכות הפעילות' ו'חשיבות הפעילות' קיבל המכון את הניקוד המירבי בכל אחד מן המשתנים. 
משתנה 'היקף המחקר' נוקד בהתאם להיקף עבודת המכון, בשים לב להעמקתה ולחשיבותה. משתנה 'מספר הפרסומים' נוקד בשים לב לשלושת הפרסומים החשובים שיצאו לאור בשנת ההערכה, אשר אחד מהם הינו בעל היקף  נמוך (חידושי ר"י מלוניל על מסכת תענית).
עזרי מחקר שנוקדו: מבנה ייעודי, ספריה תורנית, מאגר כתבי יד; 4 עזרי מחקר ייחודיים נוספים: מחברות שינויי נוסחאות, פילמים, צילומים ופקסימיליות של כת"י, כרטסת מסורת הש"ס, כרטסת ראשונים על ספרות חז"ל.
מהדורות אלקטרוניות (בנוסף למודפסות) המופצות חינם: לא נוקדו, בהעדר כאלה בשנת ההערכה.</t>
  </si>
  <si>
    <t>מומלץ לתמיכה ע"פ סעיפים 4(1)א',ב' ו 9 (הוראת שעה 2024) למבחני התמיכה.
להלן התייחסות הוועדה המייעצת:
מכון להורות נתן עוסק בהוצאה לאור של כתביו ומורשתו התורנית של הגאון רבי נתן גשטטנר זצ"ל, שהיה אחד מגדולי הפוסקים בדור הראשון שלאחר חורבן יהדות אירופה, ושימש כגשר חי ממסורת הפסיקה ההלכתית של אלף שנות פסיקה יהודית בגולה לעבר דור התקומה שקם בארץ ישראל. הרב זצ"ל היה שילוב נדיר של סופר פורה, פוסק מובהק, איש הגות מעמיק עם תכונות של מנהיג ציבור מורם מעם. המורשת הספרותית-תורנית שהשאיר אחריו נדירה בהיקפה וכוללת עשרות ספרים בכל מקצועות התורה, הדרוש, ההלכה, הפסיקה והמחשבה היהודית. מכון 'להורות נתן' קיבל על עצמו את המשימה הגדולה לההדיר מחדש את כתביו שיצאו לאור בחייו ולהוציא לאור עולם את חדושי התורה והפסיקות ההלכתיות שנשארו בכתבי היד הרבים שהשאיר אחריו, ועדיין לא ראו את אור הדפוס.  
משתנה 'איכות המחקרים' נוקד בשים לב לרמת המחקר הטובה; משתנה 'חשיבות המחקרים' נוקד ע"פ קטגורית 'חשיבות רבה'.
משתנה 'היקף המחקר' נוקד בשים לב להיקף העבודה המחקרית במכון והתפתחותה; משתנה 'מס' הפרסומים' נוקד בהתאם להיקף הפרסומים שיצאו לאור בשנת ההערכה, בשים לב לחשיבותם (בעיקר עבור ספרי 'להורות נתן' ההלכתיים ועל הש"ס). 
עזרי מחקר שנוקדו: מבנה ייעודי, ספריה תורנית ומאגר כתבי יד.
מהדורות אלקטרוניות (בנוסף למודפסות) המופצות חינם: להורות נתן שבת ב; להורות נתן שבת ג; אוצרות להורות נתן תורה; אוצרות להורות נתן חינוך.</t>
  </si>
  <si>
    <t>מומלץ לתמיכה לפי סעיפים 4(1)א ו - 9 (הוראת שעה 2024) למבחני התמיכה.
להלן התייחסות הוועדה המייעצת:
המכון עוסק בחקר הפרשנות האקטואלית לסוגיות 'חושן משפט', ע"פ סדר ה'שולחן ערוך', סעיף אחר סעיף. בכך הוא ממשיך את מפעלו המונומנטאלי של מרן ה'חפץ חיים' זצ"ל, שעשה את אותה עבודה על חלק 'אורח חיים'. סדרה זו כבר קנתה לה מהלכים רבים בקרב רבנן ותלמידיהון והקהל הרחב.
משתנה 'איכות המחקרים' נוקד בשים לב לרמת המחקר הטובה; משתנה 'חשיבות המחקרים'נוקד ע"פ קטגורית 'חשיבות נאותה'.
משתנה 'היקף המחקר' נוקד בהתאם לעבודת המחקר שהתבצעה במכון, בשים לב לחשיבותה; משתנה 'מס' הפרסומים' נוקד בהתאם לפרסום שיצא לאור, בשים לב להיקפו ולהשפעתו.
עזרי מחקר שנוקדו: מבנה ייעודי, מאגר כתב יד ומסד נתונים ייחודי.
מהדורות אלקטרוניות (בנוסף למודפסות) המופצות חינם: אוצר מפרשי השו"ע פיקדון ב'.</t>
  </si>
  <si>
    <t>מומלץ לתמיכה ע"פ סעיפים 4(1)א ו - 9 (הוראת שעה 2024) למבחני התמיכה.
להלן התייחסות הוועדה המייעצת:
המכון עוסק במגוון נושאים תורניים, וכן בספרי 'דבר חברון' הכוללים שו"ת של פסקיו ההלכתיים של הרב דב ליאור שליט"א, שהוועדה המייעצת מצאה אותם כמשפיעים על חוגים שונים בעולם היהודי. כמו כן, עוסק המכון במחקר הלכתי אקטואלי מעמיק, המהווה נדבך חשוב המצביע על הרלוונטיות של המחקר התורני לחיי המעשה של מדינת ישראל כיום.
משתנה 'איכות המחקרים' נוקד בשים לב לרמת המחקר הטובה והמגוונת; משתנה 'חשיבות המחקרים' נוקד ע"פ קטגורית 'חשיבות רבה'.
משתנה 'היקף המחקר' נוקד בהתאם לגידול בהיקף העבודה המחקרית המתבצעת במכון, בשים לב לחשיבותה; משתנה 'מס' הפרסומים' נוקד בהתאם לפרסום שיצא לאור בשנת ההערכה, בשים לב לחשיבות נושאו. 
עזרי מחקר שנוקדו: מבנה ייעודי.
מהדורות אלקטרוניות (בנוסף למודפסות) המופצות חינם: לא נוקדו, בהעדר כאלה בשנת ההערכה.</t>
  </si>
  <si>
    <t>מומלץ לתמיכה ע"פ סעיפים 4(1)ג ו - 9 (הוראת שעה 2024) למבחני התמיכה.
המכון מתמקד במחקרים של חומרי יסוד באורינטציה ציונית ממלכתית חדשנית ומקיפה. המכון שם דגש על ענייני קניין, מסחר, תעשייה, כספים, צבא ובטחון - שהם נושאים הראויים לעיון מעמיק ומקיף כפי שאכן מבצע. בכך מספק המכון תרומה לחיי היום יום של מדינת ישראל כמדינה יהודית דמוקרטית.
משתנה 'איכות המחקרים' נוקד בשים לב לרמת המחקר הטובה; משתנה 'חשיבות המחקרים' נוקד ע"פ קטגורית 'חשיבות רבה', בשים לב לעובדה שמשפיעים על מגוון קהלים בעולם המעשה.
משתנה 'היקף המחקר' נוקד בהתאם להיקף העבודה המחקרית המתבצעת במכון, בשים לב לייחודיות הנושאים; משתנה 'מס' הפרסומים' נוקד בהתאם לפרסום שיצא לאור בשנת ההערכה, בשים לב לחדשנות נושאו.
עזרי מחקר שנוקדו: 2 מבנים.
מהדורות אלקטרוניות (בנוסף למודפסות) המופצות חינם: אורות החושן עבודה וקבלנות.</t>
  </si>
  <si>
    <t>מומלץ לתמיכה ע"פ סעיפים 4(1)א,ב ו - 9 (הוראת שעה 2024) למבחני התמיכה.
להלן התייחסות הוועדה המייעצת:
מכון שלמה אומן ז"ל עוסק ביצירה תורנית של ההדרת ספרי הראשונים, אשר הוועדה המייעצת רואה בהם חשיבות לאומית. 
הוועדה המייעצת מבקשת לציין את איכותם ודייקנותם המעולות של המחקרים.
משתנה 'איכות המחקרים' נוקד בשים לב לרמת המחקר המקצועית והמעולה המתבצעת במכון; משתנה 'חשיבות המחקרים' נוקד ע"פ קטגורית 'חשיבות רבה'.
משתנה 'היקף המחקר' נוקד בניקוד המירבי, בהתאם להיקף העבודה המחקרית הרבה והחשובה המתבצעת במכון; ניקוד משתנה 'מס' הפרסומים' נוקד בשים לב לפרסומים החשובים (החדשים) שיצאו לאור.
עזרי מחקר שנוקדו: מבנה ייעודי, כתב העת 'המעיין', מכשירי מיקרופילמים וקריאה.
מהדורות אלקטרוניות (בנוסף למודפסות) המופצות חינם: ספר מצוות גדול לאוין כרך א + כרך ב לרבי משה ב"ר יעקב מקוצי; ספר פני אברהם; ספר מכלול לרד"ק; ספר מצוות גדול העשין.</t>
  </si>
  <si>
    <t>מומלץ לתמיכה ע"פ סעיפים 4(1)א,ב ו 9 (הוראת שעה 2024)למבחני התמיכה.
להלן התייחסות הוועדה המייעצת:
המכון עוסק במחקר על ספר יסוד בעדה התימנית: ספר 'שתילי זיתים' של רבי דוד משראקי זצ"ל.
משתנה 'איכות המחקרים' נוקד בשים לב לרמת המחקר הראויה; משתנה 'חשיבות המחקרים' נוקד ע"פ קטגורית 'חשיבות נאותה'.
משתנה 'היקף המחקר' נוקד בהתאם לקיטון המסוים בהיקף העבודה שהתבצעה במכון; ניקוד משתנה 'מס' הפרסומים' נוקד בשים לב לפרסומים החדשים והחשובים שיצאו לאור בשנת ההערכה.
עזרי מחקר שנוקדו: מבנה ייעודי ומאגר כתבי יד.
מהדורות אלקטרוניות (בנוסף למודפסות) המופצות חינם: שתילי זיתים ב ברכות; שתילי זיתים עירובין וראש חודש; משנת חכמי תימן ג.</t>
  </si>
  <si>
    <t>מומלץ לתמיכה ע"פ סעיפים 4(1)א,ב ו - 9 (הוראת שעה 2024) למבחני התמיכה.
להלן התייחסות הוועדה המייעצת:
המכון מוציא לאור פרסומים בעלי חשיבות לאומית, שאלמלא עבודתו לא ייצאו לאור; בעיקר את הגותו של הרב בלייכר שליט"א. בנוסף, עוסק המכון בספרות תורנית ומחשבתית בעלת השפעה ניכרת על אוכלוסיה ציונית תורנית מובהקת.
משתנה 'איכות המחקרים' נוקד בשים לב לרמת המחקר הראויה משתנה 'חשיבות המחקרים' נוקד ע"פ קטגורית 'חשיבות נאותה'.
משתנה 'היקף המחקר' נוקד בהתאם להיקף העבודה המתבצעת במכון, ובשים לב לעיכובים בהוצאה לאור; ניקוד משתנה 'מס' הפרסומים' לא נוקד, בהעדר פרסום שיצא לאור בשנת ההערכה (קלנדרית 2022)
עזרי מחקר שנוקדו: מבנה ייעודי.
מהדורות אלקטרוניות (בנוסף למודפסות) המופצות חינם: לא נוקדו, בהעדר פרסומים שיצאו לאור בשנת ההערכה.</t>
  </si>
  <si>
    <t>מומלץ לתמיכה ע"פ סעיפים 4(1)א,ב ו - 9 (הוראת שעה 2024) למבחני התמיכה.
המכון עוסק בהאדרה ובהוצאה לאור של מהדורה חדשה עם ביאורים, הערות ומראי מקומות, ע"פ כתבי יד של חיבורי מפרשי השולחן ערוך לרבינו יוסף קארו זצ"ל חלק חושן משפט, ובראשם החיבורים 'ספר קצות החושן' לרבינו אריה לייב הלר זצ"ל וספר 'נתיבות משפט' לרבינו יעקב מליסא זצ"ל. חיבורים אלה מיועדים בעיקר לדיינים.
לאור האמור לעיל, נוקד המכון במשתנה 'איכות המחקרים', בשים לב לרמת המחקר הטובה, ובמשתנה 'חשיבות המחקרים' בקטגוריה 'חשיבות רבה', בהתאם למורכבותם ולחשיבותם, ובשים לב לעובדה שספרים מעין אלה יוצאים לאור גם על ידי מכוני מחקר אחרים.
ניקוד משתנה 'היקף המחקר' הולם את היקף עבודת המחקר הנדרשת במחקרים אלה, בשים לב לעובדה שחלקם לא יצאו לאור זה מספר שנים, למרות מספר החוקרים הרב שעובד עליהם; ניקוד משתנה 'מספר הפרסומים' לא נוקד, בהעדר פרסום שיצא לאור בשנת ההערכה (קלנדרית 2022).
עזרי מחקר שנוקדו: מבנה ייעודי.
מהדורות אלקטרוניות (בנוסף למודפסות) המופצות חינם: לא נוקדו, בהעדר פרסומים שיצאו לאור בשנת ההערכה.</t>
  </si>
  <si>
    <t xml:space="preserve">מומלץ לתמיכה ע"פ סעיפים 4(1)א ו - 9 (הוראת שעה 2024) למבחני התמיכה.
להלן התייחסות הוועדה המייעצת:
המכון מבצע מחקר אודות התפתחות ההלכה ממקורותיה ועד ההלכה למעשה לצורך הנגשתה לציבור הרחב - באופן בהיר וברמה טובה מאד.
משתנה 'איכות המחקרים' נוקד בשים לב לאיכותם הטובה של המחקרים; משתנה 'חשיבות המחקרים' נוקד ע"פ קטגורית 'חשיבות נאותה' בשים לב לחשיבות הנגשת הנושאים לציבור. 
משתנה 'היקף המחקר' נוקד בהתאם לעבודת המחקר, בשים לב לחשיבותה כאמור מעלה; ניקוד משתנה 'מס' הפרסומים' נוקד בהתאם לפרסומים שיצאו לאור בשנת ההערכה, בשים לנחיצותם הציבורית.
עזרי מחקר שנוקדו: 2 מבנים ייעודיים.
מהדורות אלקטרוניות (בנוסף למודפסות) המופצות חינם: לא נוקדו, בהעדר כאלה בשנת ההערכה.
</t>
  </si>
  <si>
    <t>מומלץ לתמיכה ע"פ סעיפים 4(1)א ו - 9 (הוראת שעה 2024) למבחני התמיכה.
להלן התייחסות הוועדה המייעצת:
המכון עוסק בספרי הגות ופסיקה מודרנית ע"י פוסק מובהק, והוא בעל חשיבות לחלקים גדולים בציבוריות הישראלית.
משתנה 'איכות המחקרים' נוקד בשים לב לרמת המחקר הטובה; משתנה 'חשיבות המחקרים' נוקד ע"פ קטגורית 'חשיבות רבה'.
משתנה 'היקף המחקר' נוקד בשים לב להיקף המחקרים ולחשיבותם; משתנה 'מס' הפרסומים' נוקד בהתאם לפרסום היחיד שיצא לאור, בשים לב להיקפו.
מהדורות אלקטרוניות (בנוסף למודפסות) המופצות חינם: לא נוקדו, בהעדר כאלה בשנת ההערכה.</t>
  </si>
  <si>
    <t xml:space="preserve">מומלץ לתמיכה ע"פ סעיפים 4(1)א ו 9 (הוראת שעה 2024) למבחני התמיכה.
להלן התייחסות הועדה המייעצת:  
המכון עוסק, בין היתר, בפרשנות המשנה, תוך הדגשת היבטים היסטוריים ואחרים בעלי חשיבות לאומית וכן במחקרים העוסקים בתורתם של גדולי החסידות. הועדה המייעצת מכירה בעיקר כבעלות חשיבות לאומית בעבודות המכון על המשנה ועל ביאורי תורתם של גדולי החסידות.
משתנה 'איכות המחקרים' נוקד בשים לב לרמתם הטובה של המחקרים; משתנה 'חשיבות המחקרים' נוקד ע"פ קטגורית 'חשיבות רבה', בשל עובדת חשיבותם של המחקרים בקרב ציבור לומדים גדול ומגוון.
משתנה 'היקף המחקר' נוקד בהתאם להיקף המחקר הגדול במכון, בשים לב לכך שחלק ממנו הינם סידור, ברכון, פרק שירה וכדו'; משתנה 'מס' הפרסומים' נוקד בהתאם למספר הרב של הפרסומים שיצאו לאור בשנת ההערכה, בשים לב לכך שמדובר בסדרת 'המשנה המבוארת', בה מתבצעת בעיקר עבודת הנגשה לציבור.
עזרי מחקר שנוקדו: מבנה ייעודי, מאגר כתבי יד, כתבי עת - שפע רב גיליונות תורה אור וליקוטי תורה (נוקדו ב 2 נק', כיון שמשמשים כפלטפורמה לבדיקת מאמרים מוקדמת לצורך שילובם בספרים), מאגר ייעודי של סריקות כתבי היד של הרב.
מהדורות אלקטרוניות (בנוסף למודפסות) המופצות חינם: המשנה המבוארת זרעים א; המשנה המבוארת זרעים ב; המשנה המבוארת מועד א; המשנה המבוארת מועד ב'.
</t>
  </si>
  <si>
    <t>מומלץ לתמיכה ע"פ סעיפים 4(1)ג ו - 9 (הוראת שעה 2024) למבחני התמיכה. 
להלן התייחסות הוועדה המייעצת:
המכון עוסק מזה שנים במחקר ובהמצאת פתרונות הלכ-טכניים לאתגרים שהמציאות המודרנית מעמידה בפנינו. הוועדה המייעצת מוקירה את הפתרונות ההלכתיים שהמכון הפיק במשך השנים מאז קיומו ואשר הפכו לחלק מהמציאות הברוכה של חיינו, בעיקר בכל הנוגע לשבת, רפואה ובטחון. 
יודגש, כי התמיכה במכון צומת הינה במחקרים הקשורים בעיקר לנושאי בטחון ורפואה, ואשר יזומים ע"י המכון (ולא מחקרים שהוזמנו או מומנו ברובם ע"י גורמים חיצוניים). תמיכה זו הינה רק עד לשלב ייצור 'אב הטיפוס', ולא כולל שיפוצים ושיפורים בלתי משמעותיים (להוציא פיתוח שהינו חדשני ומשמעותי לאותו מוצר, דוגמת מעבר ממנורת להט לתאורת לד, אשר יכול להיות מוכר לצורך תמיכה, בהתאם לתנאים לעיל). 
משתנה 'איכות המחקרים' נוקד בשים לב לרמת המחקר הטובה והמקצועית; משתנה 'חשיבות המחקרים' נוקד ע"פ קטגורית 'חשיבות רבה', בשים לב להשפעתם של המחקרים על ציבור גדול בישראל.
משתנה 'היקף המחקר' נוקד בהתאם להיקף המחקר המשמעותי, בשים לב לעובדה כי חלק מהמחקרים הינם מחקרים מתמשכים; משתנה 'מס' הפרסומים' נוקד בשים לב למספר היישומים שיצאו לאור.
עזרי מחקר שנוקדו: מבנה ייעודי, מעבדת מחקר, מאגר כתבי יד.
מהדורות אלקטרוניות (בנוסף למודפסות) המופצות חינם: לא נוקדו, בהעדר כאלה בשנת ההערכה.</t>
  </si>
  <si>
    <t>מומלץ לתמיכה ע"פ סעיפים 4(1)א ו - 9 (הוראת שעה 2024) למבחני התמיכה.
המכון עוסק במתן מענה תורני לאתגרי מדינה וחברה בעת החדשה בכלל, ובמדינת ישראל בפרט. הועדה המייעצת מוצאת כבעל חשיבות לאומית את נושא הממשק שבין תורה למדינה ('רמב"ם מבואר - הלכות מלכים'; 'עיונים בהלכות מדינה - ממשפטי המלוכה'). כמו כן, קבצי מאמרים לא נתמכים במסגרת זו.
משתנה 'איכות המחקרים' נוקד בשים לב לרמת המחקר הטובה; משתנה 'חשיבות המחקרים' נוקד ע"פ קטגורית 'חשיבות נאותה', בשים לב לחשיבותם לציבור.
ניקוד משתנה 'היקף המחקר' הולם את עבודת המחקר במכון, בשים לב לסוג העבודה הנדרשת אודות נושאים אלה; ניקוד משתנה 'מספר הפרסומים' נוקד בהתאם לשלושת הפרסומים שיצאו לאור בשנת ההערכה, בשים לב להיקפם ולחשיבותם.
עזרי מחקר שנוקדו: מבנה ייעודי.
מהדורות אלקטרוניות (בנוסף למודפסות) שהופצו: קשר אמיץ; עדרו ירעה; שולחן מלכים.</t>
  </si>
  <si>
    <t>מומלץ לתמיכה לפי סעיפים 4(1)א ו - 9 (הוראת שעה 2024) למבחני התמיכה.
המכון עוסק במחקר בתורת החסידות, בדגש על תורת חסידות חב"ד. במסגרת זו, מבצע המכון מחקר הכולל השוואת כתבי יד ושינויי נוסחאות ומאמרים של שושלת אדמו"רי חב"ד ותלמידי הבעש"ט - ע"פ דפוסים ראשונים, לצד ביאורים מעמיקים.
לאור האמור לעיל, נוקד המכון במשתנה 'איכות המחקרים', בשים לב לרמת המחקר והביאור המעמיקות והמקצועיות, ובמשתנה 'חשיבות המחקרים' בקטגוריה 'חשיבות רבה', בשים לב לחשיבותם הרבה לציבור גדול המתעניין בתורת החסידות.
המשתנים 'היקף המחקר' ו'מס' הפרסומים' נוקדו בשים לב להיקף עבודת המחקר בשנת ההערכה, כמו גם מס' הפרסומים שיצאו לאור בשנת ההערכה (3), בשים לב לכך שמדובר בעיקר בעבודת ביאור והנגשה.
עזרי מחקר שנוקדו: מבנה ייעודי, כתב עת 'מעיינותיך'.
מהדורות אלקטרוניות (בנוסף למודפסות) שהופצו חינם: לא נוקדו, בהעדר כאלה בשנת ההערכה.</t>
  </si>
  <si>
    <t>מומלץ לתמיכה ע"פ סעיפים 4(1)א,ב ו - (הוראת שעה 2024) למבחני התמיכה.
להלן התייחסות הוועדה המייעצת:
המכון עוסק בעבודת מחקר בעלת חשיבות לאומית על כתביו של אחד מחשובי הפוסקים בדורות האחרונים - המהרש"ם מברזן זצ"ל. 
משתנה 'איכות המחקרים' נוקד בשים לב לעבודה המחקרית המקצועית והראויה; משתנה 'חשיבות המחקרים' ע"פ בקטגורית 'חשיבות נאותה'.
ניקוד משתנה 'היקף המחקר' הולם את עבודת המחקר המתבצעת במכון, בהתאם לחשיבותה; משתנה 'מס' הפרסומים' נוקד בשים לב להיקפו של הפרסום שיצא לאור בשנת ההערכה.
עזרי מחקר שנוקדו: מבנה ייעודי ומאגר כתבי יד.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</si>
  <si>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הוועדה המייעצת:
מכון העוסק בכתביו העמוקים של הרב קוק זצ"ל, באמצעות ביאור בהיר הפונה לציבור רחב. 
משתנה 'איכות המחקרים' נוקד בשים לב לרמת המחקר הטובה; משתנה 'חשיבות המחקרים' נוקד ע"פ קטגורית 'חשיבות נאותה'.
ניקוד משתנה 'היקף המחקר' הולם את הגידול  בעבודת המחקר שנערכה במכון; משתנה 'מס' הפרסומים' נוקד בהתאם לחשיבות הפרסום שיצא לאור בשנת ההערכה.
עזרי מחקר שנוקדו: מבנה ייעודי ומאגר כתבי יד.
מהדורות אלקטרוניות (בנוסף למודפסות) המופצות חינם: לא נוקדו, בהעדר כאלה בשנת ההערכה.
הערה: ככל שסדרת 'אורות הקודש בחמשה כרכים' תיתמך באמצעות מפעל יהדות שע"י מרכז הספר והספריות, לא ניתן יהיה להגיש מחקרים אלה במסגרת בקשת התמיכה למחלקה למחקר תורני.</t>
  </si>
  <si>
    <t>מומלץ לתמיכה ע"פ סעיפים 4(1)א,ב ו - 9 (הוראת שעה 2024) למבחני התמיכה.
להלן התייחסות הוועדה המייעצת:
המכון עוסק בפרסום מהדורה של הרמב"ם עם פירוש של הרב רבינוביץ זצ"ל, וחקר פירוש הרמב"ם על המשנה של הרב יצחק שילת. כמו כן עוסק המכון בביאור הרלב"ג לתורה ולנביאים במהדורה מדעית.
הוועדה המייעצת רואה בהוצאת פירוש 'הרמב"ם המדויק' מפעל בעל חשיבות לאומית רבה, וכן מברכת על מפעלי הרמב"ם השונים.
משתנה 'איכות המחקרים' נוקד בשים לב לרמת המחקר המצוינת; משתנה 'חשיבות המחקרים' נוקד ע"פ קטגורית 'חשיבות רבה'.
משתנה 'היקף המחקר' קיבל את הניקוד המירבי, בהתאם להיקף העבודה המחקרית הרבה והמעמיקה המתבצעת במכון; ניקוד משתנה 'מס' הפרסומים' נוקד בהתאם לפרסומים שיצאו לאור בשנת ההערכה, בשים לב להיקפם ולנושאיהם.
עזרי מחקר שנוקדו: מבנה ייעודי, מעבדת מחקר הכוללת מכונות מיקרופיש, מאגר כתבי יד.
מהדורות אלקטרוניות (בנוסף למודפסות) המופצות חינם: לא נוקדו, בהעדר כאלה בשנת ההערכה.</t>
  </si>
  <si>
    <r>
      <t xml:space="preserve">מומלץ לתמיכה ע"פ סעיף א(1)א,ב למבחני התמיכה העיקריים וע"פ סעיף 9 להוראת השעעה 2024.
להלן התייחסות הוועדה המייעצת:
מפעלי המכון ממשיכים להוות את המרכיב המרכזי בכל הקשור לחקר ההלכה בתחום המצוות התלויות בארץ ובסדר 'זרעים', המתאימים לחיי החקלאות במדינת ישראל. בנוסף, עוסק המכון במחקר ובהוצאה לאור של שו"ת 'ישא יוסף' על חלקי ה'שולחן ערוך', ובו פסקיו של אחד מגדולי הפוסקים המרכזיים של האומה בדורות האחרונים, מרן הגאון רבי יוסף שלום אלישיב זצ"ל, באופן מהימן, מובנה וברור.
יצוין כי פעילות המכון, על חלקיו המגוונים, מבטאים עשייה רבה שהינה שוות ערך לעבודת מספר מכונים גם יחד.
לאור כל האמור לעיל: במשתנים 'איכות הפעילות' ו'חשיבות הפעילות' קיבל המכון את הניקוד המירבי בכל אחד מן המשתנים.
משתנה 'היקף עבודת המחקר': בשים לב להיקף הגדול של נושאי המחקרים המתבצעים במכון ניתן למכון הניקוד המירבי; במשתנה 'מס' הפרסומים' הוענק ניקוד למכון, בשים לב לפרסום היחיד שיצא לאור, שהינו בעל ערך.
</t>
    </r>
    <r>
      <rPr>
        <sz val="10"/>
        <rFont val="Calibri"/>
        <family val="2"/>
      </rPr>
      <t>עזרי מחקר שנוקדו: מבנה ייעודי וכתבי יד.</t>
    </r>
    <r>
      <rPr>
        <sz val="10"/>
        <color rgb="FFFF0000"/>
        <rFont val="Calibri"/>
        <family val="2"/>
      </rPr>
      <t xml:space="preserve">
</t>
    </r>
    <r>
      <rPr>
        <sz val="10"/>
        <rFont val="Calibri"/>
        <family val="2"/>
      </rPr>
      <t>מהדורות אלקטרוניות (בנוסף למודפסות) המופצות חינם: לא נוקדו, בהעדר כאלה בשנת ההערכה.</t>
    </r>
  </si>
  <si>
    <r>
      <t>מומלץ לתמיכה ע"פ סעיפים 4(1)א,ב ו 9 (הוראת שעה 2024) למבחני התמיכה.
להלן התייחסות הוועדה המייעצת:
מכון פורה, השם דגש על מנהגיהם של קהילות המזרח בכלל, וקהילת תוניס בפרט, ושהעניין במחקריו הוא בעל חשיבות רבה.
משתנה 'איכות המחקרים' נוקד בשים לב לרמת המחקר הטובה; משתנה נוקד בקטגורית 'חשיבות רבה''. 
ניק</t>
    </r>
    <r>
      <rPr>
        <sz val="10"/>
        <rFont val="Calibri"/>
        <family val="2"/>
      </rPr>
      <t>וד משתנה 'היקף המחקר' הולם את עבודת המחקר העניפה שנערכה במכון; משתנה 'מס' הפרסומים' נוקד בהתאם לשני הפרסומים שיצאו לאור בשנת ההערכה, בשים לב לכך שאחד מהם הינו מהדורה נוספת בחלקו (ע"פ עמוד השער של הפרסום 'הוראה ברורה הלכות מליחה' שצורף לדיווחי המכון - נראה כי מדובר במהדורה נוספת בחלקה לפרסומים שיצאו כבר לאור בשנים תשע"ה ותשע"ח).</t>
    </r>
    <r>
      <rPr>
        <sz val="10"/>
        <color theme="1"/>
        <rFont val="Calibri"/>
        <family val="2"/>
      </rPr>
      <t xml:space="preserve">
עזרי מחקר שנוקדו: מבנה ייעודי, ספריה, מאגר כתבי יד, שני כתבי עת: 'ויען שמואל' ו'משה אלעזר'.
מהדורות אלקטרוניות (בנוסף למודפסות) המופצות חינם: לא נוקדו, בהעדר כאלה בשנת ההערכה.</t>
    </r>
  </si>
  <si>
    <r>
      <t>מומלץ ע"פ ע"פ סעיפים 4(1)א,ב ו - 9 (הוראת שעה 2024) למבחני התמיכה.
להלן התייחסות הוועדה המייעצת: 
מכון ירושלים נמנה על מכוני הדגל של המחקר התורני במדינת ישראל, והוועדה המייעצת מציינת בסיפוק את המשך פועלו בתחום זה. המכון מרכז תחתיו מפעלים שונים המתבטאים בעושר גדול של ספרים ובעבודת מחקר והוצאה לאור הראויים לציון ולשבח.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ניתן למכון הניקוד המירבי, בשים לב לפרסומים הרבים בעלי החשיבות הרבה שיצאו לאור בשנת ההערכה.
עזרי מחקר שנוקדו: 3 מבנים ייעודיים, ספרי</t>
    </r>
    <r>
      <rPr>
        <sz val="10"/>
        <rFont val="Calibri"/>
        <family val="2"/>
      </rPr>
      <t xml:space="preserve">ה תורנית, כתב העת 'מוריה'.
מהדורות אלקטרוניות (בנוסף למודפסות) המופצות חינם: גינת ביתן; נחמת שלמה; פיסת בר; </t>
    </r>
  </si>
  <si>
    <r>
      <t>מומלץ לתמיכה ע"פ סעיפים 4(1)ג ו - 9 (הוראת שעה ה2024) למבחני התמיכה.
המכון עוסק במחקר תורני מדעי המחבר בין עולם הרפואה והמדע להלכה היישומית, בדגש על יילוד ופוריות, תוך מציאת פתרונות מעשיים ויישומם בחיי המעשה.
ניקוד משתנה 'איכות המחקרים' ניתן בשל רמת המחקרים המקצועית והטובה; ניקוד משתנה 'חשיבות המחקרים' ניתן לפי קטגורית 'חשיבות רבה', בשים לב לחשיבות המחקרים במכון ולייחודיותם. 
ניקוד משתנה 'היקף המחקר' הולם את עבודת המחקר במכ</t>
    </r>
    <r>
      <rPr>
        <sz val="10"/>
        <rFont val="Calibri"/>
        <family val="2"/>
      </rPr>
      <t>ון, בשים לב לכך שחלק מהמחקרים הינם מהדורות נוספות (ולא חדשות</t>
    </r>
    <r>
      <rPr>
        <sz val="10"/>
        <color theme="1"/>
        <rFont val="Calibri"/>
        <family val="2"/>
      </rPr>
      <t>); ניקוד משתנה 'מספר הפרסומים' נוקד בהתאם לפרסום החדש שיצא לאור לאור בשנת ההערכה.
מהדורות אלקטרוניות (בנוסף למודפסות) המופצות חינם: לא נוקדו, בהעדר כאלה בשנת ההערכה.</t>
    </r>
  </si>
  <si>
    <r>
      <t>מומלץ לתמיכה ע"פ סעיפים 4(1)א ו - 9 (הוראת שעה 2024) למבחני התמיכה.
להלן התייחסות הוועדה המייעצת:
המכון מפתח פרשנות על התורה ועל הש"ס, בדרכו הייחודית של הרב לייב מינצברג זצ"ל, דרך שקנתה לה מהלכים בחוגים נרחבים של עולם התורה. הייחוד המחשבתי של פרשנות זו חיוני לקירוב חוגים נוספים לעיון בפשוטו של מקרא על טהרת הקודש. שיטת המחקר הייחודית משלבת את סגנון הלמדנות של ישיבות ליטא עם שיטת לימוד הישוב הישן בירושלים.
משתנה 'איכות המחקרים' נוקד בשים לב לרמת המחקר הטובה והחדשנית; 'חשיבות המחקרים' נוקד ע"פ קטגורית 'חשיבות נאותה'.
משתנה 'היקף המחקר' נוקד בהתאם להיקף המחקר המשמעותי שהתבצע במכון, בשים לב שחלקו הינו מהדורה נוספת של הגדה של פסח וכן סידורים שאינם מוכרים כבעלי חשיבות לאומית (בשונה מן הפעם הקודמת בה הוכרו בטעות. ה</t>
    </r>
    <r>
      <rPr>
        <sz val="10"/>
        <color theme="4" tint="-0.249977111117893"/>
        <rFont val="Calibri"/>
        <family val="2"/>
      </rPr>
      <t>חלטה זו הינה על דעת כל חברי הועדה המייעצת</t>
    </r>
    <r>
      <rPr>
        <sz val="10"/>
        <color theme="1"/>
        <rFont val="Calibri"/>
        <family val="2"/>
      </rPr>
      <t>); משתנה 'מס' הפרסומים' לא נוקד, בהעדר פרסומים שיצאו לאור בשנת ההערכה.
עזרי מחקר שנוקדו: מבנה ייעודי,  מאגר כתבי יד, כתב עת 'אוצרות בן מלך', אלפי קלטות מתועדות של שיעורי הרב מינצברג (כולל קטלוגן) ועשרות קבצי וידיאו משיעורים מוקלטים של הרב מינצברג.
מהדורות אלקטרוניות (בנוסף למודפסות) המופצות חינם: לא נוקדו, בהעדר פרסומים שיצאו לאור בשנת ההערכה.</t>
    </r>
  </si>
  <si>
    <t>הפחתה של עד 4 נקודות</t>
  </si>
  <si>
    <t>תתוספת / הפחתה של עד 2 נקודות</t>
  </si>
  <si>
    <t>0 - 20 נקודות</t>
  </si>
  <si>
    <t>0 - 12 נקודות
בשנת 2024:
0 - 19 נקודות</t>
  </si>
  <si>
    <t>0 - 10 נקודות
בשנת 2024:
0 - 14 נקודות</t>
  </si>
  <si>
    <t>0 - 2 נקודות</t>
  </si>
  <si>
    <t>0 - 6 נקודות
בשנת 2024:
0 - 8 נקודות</t>
  </si>
  <si>
    <t>היקף המחקר בשנת ההערכה</t>
  </si>
  <si>
    <t>חשיבות המחקרים המתבצעים במוסד (מבחינה לאומית)</t>
  </si>
  <si>
    <t xml:space="preserve">איכות המחקרים המתבצעים במוסד בהיבט אקדמי 
</t>
  </si>
  <si>
    <t>מס' הפרסומים שפורסמו לציבור בשנת ההערכה</t>
  </si>
  <si>
    <t xml:space="preserve">מס' חוקרים (מעבר ל 7) </t>
  </si>
  <si>
    <t xml:space="preserve">עזרי מחקר </t>
  </si>
  <si>
    <t>מקצועיות תוכנית עבודה לשנת הגשת התמיכה</t>
  </si>
  <si>
    <t>מהדורות אלקטרוניות (חינם)</t>
  </si>
  <si>
    <t>הפחתת ניקוד בגין הגשת מחקרים שהמכון התבקש לא להגישם שנית</t>
  </si>
  <si>
    <t>ניקוד נוסף בגין איכות הגשת הבקשה</t>
  </si>
  <si>
    <t>4(4) + 9(א)(1)</t>
  </si>
  <si>
    <t>4(5) + 9(ב)(4)</t>
  </si>
  <si>
    <t xml:space="preserve">שני הפרסומים הוכרו ע"י הועדה המייעצת כבעלי חשיבות לאומית 
</t>
  </si>
  <si>
    <t>הפרסומים הודפסו ב 400 עותקים לפחות
(גופים חדשים - רק בשנת ההערכה; לפני כן צריכים 200 עותקים)</t>
  </si>
  <si>
    <t>4(7) + 9(ב)(4)</t>
  </si>
  <si>
    <t>4(12)</t>
  </si>
  <si>
    <t>המוסד קבע תקנון למניעת הטרדה מינית</t>
  </si>
  <si>
    <t>1991</t>
  </si>
  <si>
    <t>1971</t>
  </si>
  <si>
    <t>2017</t>
  </si>
  <si>
    <t>1988</t>
  </si>
  <si>
    <t>1993</t>
  </si>
  <si>
    <t>1.1.20</t>
  </si>
  <si>
    <t>המוסד ביצע פעילות מחקרית באמצעות חוקרי המכון והוציא לאור או פיתח שני פרסומים לפחות בשנים 2019 - 2022 או 2020 עד 2023 ע"פ הוראת השעה 2024, שעונים על התנאים האמורים במבחן התמיכה (ומפורטים בטורים הבאים L-Q)</t>
  </si>
  <si>
    <r>
      <rPr>
        <b/>
        <u/>
        <sz val="10"/>
        <color theme="1"/>
        <rFont val="Calibri"/>
        <family val="2"/>
      </rPr>
      <t xml:space="preserve">מכונים יישומיים בלבד: </t>
    </r>
    <r>
      <rPr>
        <b/>
        <sz val="10"/>
        <color theme="1"/>
        <rFont val="Calibri"/>
        <family val="2"/>
      </rPr>
      <t xml:space="preserve">
פיתוח האמצעים היישומיים מומן ברובו ע"י המוסד (ולא ע"י גורם חיצוני)</t>
    </r>
  </si>
  <si>
    <r>
      <t xml:space="preserve">השאלונים הוגשו באופן מלא, מפורט ומדוייק </t>
    </r>
    <r>
      <rPr>
        <b/>
        <sz val="10"/>
        <rFont val="Calibri"/>
        <family val="2"/>
      </rPr>
      <t>כנדרש</t>
    </r>
  </si>
  <si>
    <t>לא מולא שאלון החוקרים, וכן מולאו חלקית שאלונים נוספים. 
לפיכך, לא ניתן לוודא עמידה בתנאי סף שונים.</t>
  </si>
  <si>
    <t>1) לא מולאו היקפי משרה של החוקרים, ולפיכך לא ניתן היה לוודא עמידה בתנאי סף.
2) אין 2 פרסומים בעלי חשיבות לאומית, בהיות המכון עוסק בתולדות חיים של חכמי ספרד ובאורחות חייהם.
3) גם לו היו מוכרים כל המחקרים כבעלי חשיבות לאומית - לא היו למכון 7 חוקרים שעובדים עליהם.</t>
  </si>
  <si>
    <t>אין צורך לבדוק - פרסומים מלפני שנת ההערכה</t>
  </si>
  <si>
    <t>שני הפרסומים שהוכרו לצורך מעבר תנאי הסף הינם משנים 2020 ו 2019 ולפיכך אין צורך לבדוק לגביהם את נושא שמות החוקרים. מס' העותקים עבור שניהם היה 300.</t>
  </si>
  <si>
    <t>1) שני הפרסומים שהוכרו לצורך מעבר תנאי סף עומדים בתנאים הנדרשים (ניתן למצוא שניים כאלה).
2) חלק מהספרים שדווחו הינם מהדורות נוספות ללא תוספות משמעותיות, ולפיכך לא הוכרו כבעלי ח"ל.
3) למכון אין 7 חוקרים שעובדים על מחקרים ופרסומים בעלי ח"ל באחת משנות ההערכה האפשריות.</t>
  </si>
  <si>
    <t>הוכר רק פרסום אחד ("ושמו אחד") כבעל חשיבות לאומית - שעמד בתנאים הנדרשים.</t>
  </si>
  <si>
    <t>חלקית</t>
  </si>
  <si>
    <t>1) מבדיקה מדגמית עולה כי שמות החוקרים פורסמו בספרים, והספרים יצאו לאור במספר עותקים תקין.
2) זכויות הספר 'שיעורי למען שמו' שייכות למחבר.</t>
  </si>
  <si>
    <t>1) מבדיקה מדגמית עולה כי שמות החוקרים פורסמו בספרים והספרים יצאו לאור במס' עותקים תקין.
2) הזכויות בספרים שמורות לרב אברג'ל ולא למכון.</t>
  </si>
  <si>
    <t>מוסדות ותיקים</t>
  </si>
  <si>
    <t>מוסדות חדשים (לא נתמכו בשנים 2023 ו 2022)</t>
  </si>
  <si>
    <t>עמידה בתנאי סף של שני פרסומים, ע"פ סעיפים 4(5) ו - 9 (הוראת שעה 2024) למבחני התמיכה 
ובהתאם לדיווחי המוסדות והצהרותיהם בשאלונים הנלווים לבקשת התמיכה 2024</t>
  </si>
  <si>
    <t>המוסד לא הגיש שאלונים נלווים לבקשת התמיכה 2024, ולפיכך לא ניתן היה לבדוק את בקשתו.</t>
  </si>
  <si>
    <t>נבדקה עמידה בתנאי סף של שמות חוקרים ומס' עותקים רק על הפרסום 'לקט אגרות', שאכן עומד בתנאי זה. הפרסום האחר 'על המידות' יצא לפני שנת ההערכה. ב 400 עותקים.</t>
  </si>
  <si>
    <t>המכון הצהיר ששמות חוקריו נכתבו בפרסומים, אך בדיקה מדגמית העלתה שבפרסום 'עוז לעמו במדבר' לא הייתה התאמה למלאה לרשימת החוקרים שהופיעה בשאלונים הנלווים (שמו של החוקר ישמח מיכאל נעדר).
בכל מקרה, זה לא רלוונטי, בהעדר הכרה כבעלי ח"ל בשני פרסומים.</t>
  </si>
  <si>
    <r>
      <rPr>
        <b/>
        <sz val="10"/>
        <color theme="1"/>
        <rFont val="Calibri"/>
        <family val="2"/>
      </rPr>
      <t>תאריך רישום כעמותה, כחברה לתועלת הציבור, כהקדש או כתאגיד אחר שהוא מוסד ציבור בהגדרתו בסעיף 3א לחוק</t>
    </r>
    <r>
      <rPr>
        <b/>
        <sz val="9"/>
        <color theme="1"/>
        <rFont val="Calibri"/>
        <family val="2"/>
      </rPr>
      <t xml:space="preserve">
</t>
    </r>
    <r>
      <rPr>
        <sz val="9"/>
        <color theme="1"/>
        <rFont val="Calibri"/>
        <family val="2"/>
      </rPr>
      <t>(בהתאם למופיע בשאלונים הנלווים שהגיש המכון)</t>
    </r>
  </si>
  <si>
    <r>
      <rPr>
        <b/>
        <sz val="10"/>
        <color theme="1"/>
        <rFont val="Calibri"/>
        <family val="2"/>
      </rPr>
      <t>תאריך תחילת פעילות כמכון מחקר תורני</t>
    </r>
    <r>
      <rPr>
        <b/>
        <sz val="9"/>
        <color theme="1"/>
        <rFont val="Calibri"/>
        <family val="2"/>
      </rPr>
      <t xml:space="preserve">
</t>
    </r>
    <r>
      <rPr>
        <sz val="9"/>
        <color theme="1"/>
        <rFont val="Calibri"/>
        <family val="2"/>
      </rPr>
      <t>(בהתאם למופיע בשאלונים הנלווים שהגיש המכון)</t>
    </r>
  </si>
  <si>
    <r>
      <t xml:space="preserve">במוסד מתקיימים התנאים הנדרשים ממוסד נתמך בהתאם לנוהל 
</t>
    </r>
    <r>
      <rPr>
        <sz val="10"/>
        <color theme="1"/>
        <rFont val="Calibri"/>
        <family val="2"/>
      </rPr>
      <t>נבדק בהתאם להתחייבות הגוף במרכבה</t>
    </r>
  </si>
  <si>
    <r>
      <rPr>
        <b/>
        <sz val="10"/>
        <color theme="1"/>
        <rFont val="Calibri"/>
        <family val="2"/>
      </rPr>
      <t xml:space="preserve">המוסד אינו מוסד אקדמי המתוקצב מכח חוק השכלה גבוהה ואינו מקבל מימון לפעילותו המחקרית מתאגיד סטטוטורי </t>
    </r>
    <r>
      <rPr>
        <b/>
        <sz val="9"/>
        <color theme="1"/>
        <rFont val="Calibri"/>
        <family val="2"/>
      </rPr>
      <t xml:space="preserve">
</t>
    </r>
    <r>
      <rPr>
        <sz val="9"/>
        <color theme="1"/>
        <rFont val="Calibri"/>
        <family val="2"/>
      </rPr>
      <t>(בהתאם להצהרת המוסד בשאלון 1)</t>
    </r>
  </si>
  <si>
    <r>
      <rPr>
        <sz val="12"/>
        <color rgb="FFFF0000"/>
        <rFont val="Calibri"/>
        <family val="2"/>
      </rPr>
      <t>לא רלוונטי</t>
    </r>
    <r>
      <rPr>
        <sz val="12"/>
        <rFont val="Calibri"/>
        <family val="2"/>
      </rPr>
      <t xml:space="preserve">
</t>
    </r>
    <r>
      <rPr>
        <sz val="10"/>
        <rFont val="Calibri"/>
        <family val="2"/>
      </rPr>
      <t>בהעדר תנאי סף של 2 פרסומים שהוכרו כבעלי חשיבות לאומית</t>
    </r>
  </si>
  <si>
    <t>נבחן כמכון חדש כיון שלא נתמך בשנת 2022.</t>
  </si>
  <si>
    <r>
      <rPr>
        <sz val="14"/>
        <color rgb="FFFF0000"/>
        <rFont val="Calibri"/>
        <family val="2"/>
      </rPr>
      <t>לא</t>
    </r>
    <r>
      <rPr>
        <sz val="14"/>
        <rFont val="Calibri"/>
        <family val="2"/>
      </rPr>
      <t xml:space="preserve">
הוכר רק פרסום אחד</t>
    </r>
  </si>
  <si>
    <r>
      <t xml:space="preserve">לא ניתן לדעת 
</t>
    </r>
    <r>
      <rPr>
        <sz val="10"/>
        <color rgb="FFFF0000"/>
        <rFont val="Calibri"/>
        <family val="2"/>
      </rPr>
      <t>(רק בחלק מהספרים)</t>
    </r>
  </si>
  <si>
    <t>כן
בפרסום שהוכר</t>
  </si>
  <si>
    <t>תמיכה סופית 2023</t>
  </si>
  <si>
    <t xml:space="preserve">סכום תמיכה 2024
לפני הגבלה לסכום הבקשה 
והגנה </t>
  </si>
  <si>
    <t>סכום תמיכה 2024
כולל הגבלה לסכום הבקשה 
והגנה של 80% משיעור תמיכת 2023</t>
  </si>
  <si>
    <t>שנת התקציב</t>
  </si>
  <si>
    <t xml:space="preserve">תקציב שנתי </t>
  </si>
  <si>
    <t>סה"כ</t>
  </si>
  <si>
    <t>בדוק נתוני הזנה</t>
  </si>
  <si>
    <t>שיעור פיחות מירבי בתמיכה</t>
  </si>
  <si>
    <t>שיעור תמיכה מינימלי משנה קודמת</t>
  </si>
  <si>
    <t>מספר סידורי</t>
  </si>
  <si>
    <t>שם המוסד</t>
  </si>
  <si>
    <t>שיעור תמיכה לפני הגנה</t>
  </si>
  <si>
    <t xml:space="preserve">שיעור תמיכה יחסי בשנה תקציבית קודמת </t>
  </si>
  <si>
    <t>זכאי להגנה</t>
  </si>
  <si>
    <t>זקוק להגנה</t>
  </si>
  <si>
    <t>אינדיקציית הגנה 1</t>
  </si>
  <si>
    <t>הגנה 1</t>
  </si>
  <si>
    <t>שיעור יחסי לאחר הגנה 1</t>
  </si>
  <si>
    <t>זקוק להגנה 2</t>
  </si>
  <si>
    <t>אינדיקציית הגנה 2</t>
  </si>
  <si>
    <t>הגנה 2</t>
  </si>
  <si>
    <t>שיעור יחסי לאחר הגנה 2</t>
  </si>
  <si>
    <t>זקוק להגנה 3</t>
  </si>
  <si>
    <t>אינדיקציית הגנה 3</t>
  </si>
  <si>
    <t>הגנה 3</t>
  </si>
  <si>
    <t>שיעור יחסי לאחר הגנה 3</t>
  </si>
  <si>
    <t>זקוק להגנה 4</t>
  </si>
  <si>
    <t>אינדיקציית הגנה 4</t>
  </si>
  <si>
    <t>הגנה 4</t>
  </si>
  <si>
    <t>שיעור יחסי לאחר הגנה 4</t>
  </si>
  <si>
    <t>זקוק להגנה 5</t>
  </si>
  <si>
    <t>אינדיקציית הגנה 5</t>
  </si>
  <si>
    <t>הגנה 5</t>
  </si>
  <si>
    <t>שיעור יחסי לאחר הגנה 5</t>
  </si>
  <si>
    <t>זקוק להגנה 6</t>
  </si>
  <si>
    <t>אינדיקציית הגנה 6</t>
  </si>
  <si>
    <t>הגנה 6</t>
  </si>
  <si>
    <t>שיעור יחסי לאחר הגנה 6</t>
  </si>
  <si>
    <t>זקוק להגנה 7</t>
  </si>
  <si>
    <t>אינדיקציית הגנה 7</t>
  </si>
  <si>
    <t>הגנה 7</t>
  </si>
  <si>
    <t>שיעור יחסי לאחר הגנה 7</t>
  </si>
  <si>
    <t>זקוק להגנה 8</t>
  </si>
  <si>
    <t>אינדיקציית הגנה 8</t>
  </si>
  <si>
    <t>הגנה 8</t>
  </si>
  <si>
    <t>שיעור יחסי לאחר הגנה 8</t>
  </si>
  <si>
    <t>זקוק להגנה 9</t>
  </si>
  <si>
    <t>אינדיקציית הגנה 9</t>
  </si>
  <si>
    <t>הגנה 9</t>
  </si>
  <si>
    <t>שיעור יחסי לאחר הגנה 9</t>
  </si>
  <si>
    <t>זקוק להגנה 10</t>
  </si>
  <si>
    <t>אינדיקציית הגנה 10</t>
  </si>
  <si>
    <t>הגנה 10</t>
  </si>
  <si>
    <t>שיעור יחסי לאחר הגנה</t>
  </si>
  <si>
    <t>שיעור תמיכה לאחר הגנה</t>
  </si>
  <si>
    <t>סכום תמיכה לאחר הגנה</t>
  </si>
  <si>
    <t>0/1</t>
  </si>
  <si>
    <t>בקרת נתון זכאי להגנה</t>
  </si>
  <si>
    <t>גובה סכום התמיכה המבוקש</t>
  </si>
  <si>
    <t>גובה תמיכה מומלצת</t>
  </si>
  <si>
    <t>האם קיימת הגבלה ראשונית?</t>
  </si>
  <si>
    <t xml:space="preserve">תמיכה מקסימאלית </t>
  </si>
  <si>
    <t>גובה תמיכה לאחר הגבלה לסכום מבוקש</t>
  </si>
  <si>
    <t>תמיכה יחסית לאחר הגבלה לסכום מבוקש</t>
  </si>
  <si>
    <t>שיעור תמיכה יחסי</t>
  </si>
  <si>
    <t>בקרת סכום התמיכה המבוקש</t>
  </si>
  <si>
    <t>נתון עזר 2</t>
  </si>
  <si>
    <t>תמיכה מקסימאלית 2</t>
  </si>
  <si>
    <t>תמיכה 2</t>
  </si>
  <si>
    <t>נתון עזר 3</t>
  </si>
  <si>
    <t>תמיכה מקסימאלית 3</t>
  </si>
  <si>
    <t>תמיכה 3</t>
  </si>
  <si>
    <t>נתון עזר 4</t>
  </si>
  <si>
    <t>תמיכה מקסימאלית 4</t>
  </si>
  <si>
    <t>תמיכה 4</t>
  </si>
  <si>
    <t>נתון עזר 5</t>
  </si>
  <si>
    <t>תמיכה מקסימאלית 5</t>
  </si>
  <si>
    <t>תמיכה 5</t>
  </si>
  <si>
    <r>
      <t xml:space="preserve">מומלץ לתמיכה ע"פ סעיפים 3(1)א,ב ו – 9 (הוראת שעה 2024) למבחני התמיכה.
שנת ההערכה הקובעת למעבר תנאי הסף של שבעה חוקרים שעסקו בפרסומים ובמחקרים שהוכרו כבעלי ח"ל (סעיף 4(7)) היא שנת ההערכה </t>
    </r>
    <r>
      <rPr>
        <u/>
        <sz val="10"/>
        <color theme="1"/>
        <rFont val="Calibri"/>
        <family val="2"/>
      </rPr>
      <t>המקורית (ע"פ סעיף 9(א)(3) להוראת השעה 2024)</t>
    </r>
    <r>
      <rPr>
        <sz val="10"/>
        <color theme="1"/>
        <rFont val="Calibri"/>
        <family val="2"/>
      </rPr>
      <t xml:space="preserve">, ובהתאם לה נוקדו גם סעיפי משתני התמיכה.
המכון עוסק בפעילות מחקרית תורנית בעלת חשיבות לאומית, שמתבטאת בההדרה והוצאה לאור של כתבי יד של גדולי חכמי ישראל, בדגש על חכמים מתפוצת חכמי ספרד לאורך הדורות האחרונים וכן אודות חכמי תקופת הגאונים.
שני הפרסומים שהוכרו לצורך מעבר תנאי סף 4(5): לכלל ולפרט הלכות קצובות ג (יצא לאור ב 11/19); לכלל ולפרט הלכות קצובות ד (יצא לאור ב 12/20).
ניקוד משתנה 'איכות המחקרים' ניתן בשל רמת המחקר המקצועית והמוקפדת, בשים לב לכך שחלק מהמחקרים אינם פרי עבודת חוקרי המכון. ניקוד משתנה 'חשיבות המחקרים' ניתן לפי קטגורית 'חשיבות רבה', בשים לב לנושאי המחקר בעלי הערך.
ניקוד משתנה 'היקף המחקר' הולם את עבודות המחקר במכון, בשים לב להיקפם, למקוריותם ולחשיבותם; ניקוד משתנה 'מספר הפרסומים' נוקד בהתאם לשני הפרסומים שיצאו לאור בשנת ההערכה המקורית, בהתחשב בסגנון המחקר שהתבצע בגינם, שאינו מחקר תורני קלאסי בעל חשיבות לאומית.
עזרי מחקר שנוקדו: מבנה ייעודי, מאגר כתבי יד, ארכיון אלקטרוני של מכתבים ותשובות של הרב נסים, רשימת שו"ת של הרב נסים, כרטסת מקורות ונושאים לספרי הרב נסים.
</t>
    </r>
    <r>
      <rPr>
        <sz val="10"/>
        <rFont val="Calibri"/>
        <family val="2"/>
      </rPr>
      <t>מהדורות אלקטרוניות (בנוסף למודפסות) המופצות חינם: לא נוקדו, בהעדר כאלה בשנת ההערכה.</t>
    </r>
    <r>
      <rPr>
        <sz val="10"/>
        <color rgb="FFFF0000"/>
        <rFont val="Calibri"/>
        <family val="2"/>
      </rPr>
      <t xml:space="preserve">
</t>
    </r>
    <r>
      <rPr>
        <sz val="10"/>
        <color theme="1"/>
        <rFont val="Calibri"/>
        <family val="2"/>
      </rPr>
      <t>הערה: גוף זה לא נתמך בשנים 2022 ו 2023 ע"י המחלקה למחקר תורני, ולפיכך נבחן כ'גוף חדש' ע"פ הוראת השעה לשנת 2024.</t>
    </r>
  </si>
  <si>
    <t>4(10)</t>
  </si>
  <si>
    <t>המוסד השלים באופן תקיף ובמועד הנדרש את הגשת כל השאלונים הנלווים ומסמכים נוספים לבקשת התמיכה, כנדרש בידי המינהל במסגרת הגשת בקשת התמיכה</t>
  </si>
  <si>
    <t>מס' בקשה במרכבה</t>
  </si>
  <si>
    <r>
      <rPr>
        <b/>
        <sz val="9"/>
        <color rgb="FF000000"/>
        <rFont val="Calibri"/>
        <family val="2"/>
      </rPr>
      <t>המוסד הוא מכון מחקר תורני בעל פעילות מחקרית ממשית בישראל ורשום</t>
    </r>
    <r>
      <rPr>
        <sz val="8"/>
        <color rgb="FF000000"/>
        <rFont val="Calibri"/>
        <family val="2"/>
      </rPr>
      <t xml:space="preserve"> כעמותה, כחברה לתועלת הציבור, כהקדש או כתאגיד אחר שהוא מוסד ציבור כהגדרתו בסעיף 3א לחוק ארבע שנים לפחות; התנאי האמור יתקיים במוסד עד ליום 1 בינואר של שנת התמיכה.
(פעילות ממשית נבדקה בעיקר ע"פ דוחות חוקרים)</t>
    </r>
  </si>
  <si>
    <r>
      <t xml:space="preserve">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כי אם פרסום אחד בלבד, בהתאם לפירוט הבא:
</t>
    </r>
    <r>
      <rPr>
        <b/>
        <sz val="10"/>
        <color theme="1"/>
        <rFont val="Calibri"/>
        <family val="2"/>
      </rPr>
      <t>(א) הפרסום 'ושמו אחד</t>
    </r>
    <r>
      <rPr>
        <sz val="10"/>
        <color theme="1"/>
        <rFont val="Calibri"/>
        <family val="2"/>
      </rPr>
      <t xml:space="preserve">' הוכר כבעל חשיבות לאומית, בהיותו מחקר מקורי וחדשני בתחום שאלות היסוד של יחסי ישראל והאנושות בעת הזו, שטרם נחקר עד כה, המקיף מקורות תורניים והגותיים רבים בסוגיה זו.
</t>
    </r>
    <r>
      <rPr>
        <b/>
        <sz val="10"/>
        <color theme="1"/>
        <rFont val="Calibri"/>
        <family val="2"/>
      </rPr>
      <t xml:space="preserve">(ב) מאגר המידע 'ישראל והעמים' </t>
    </r>
    <r>
      <rPr>
        <sz val="10"/>
        <color theme="1"/>
        <rFont val="Calibri"/>
        <family val="2"/>
      </rPr>
      <t xml:space="preserve">לא הוכר, היות שמדובר במאגר מצומצם מאד שאינו מובנה, ערוך ונגיש לשימוש לציבור הרחב, דבר שאף מקשה על בחינתו. לפיכך, לא מאושר כבעל חשיבות לאומית בשלב זה. ניתן להגישו לבחינה בעתיד, עם הרחבתו, סידורו והבנייתו.
</t>
    </r>
    <r>
      <rPr>
        <b/>
        <sz val="10"/>
        <color theme="1"/>
        <rFont val="Calibri"/>
        <family val="2"/>
      </rPr>
      <t>(ג) הפרסום 'סיפורי ישראל והאנושות</t>
    </r>
    <r>
      <rPr>
        <sz val="10"/>
        <color theme="1"/>
        <rFont val="Calibri"/>
        <family val="2"/>
      </rPr>
      <t>' אינו מוכר כבעל חשיבות לאומית. מדובר בספר סיפורים, שהינו יצירה תרבותית יצירתית ומקורית בעלת דגש ספרותי, ולא מחקר תורני.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</si>
  <si>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 xml:space="preserve">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t>
    </r>
    <r>
      <rPr>
        <b/>
        <sz val="10"/>
        <color theme="1"/>
        <rFont val="Calibri"/>
        <family val="2"/>
      </rPr>
      <t xml:space="preserve">(א) סדרת 'אוצר ההלכות' </t>
    </r>
    <r>
      <rPr>
        <sz val="10"/>
        <color theme="1"/>
        <rFont val="Calibri"/>
        <family val="2"/>
      </rPr>
      <t xml:space="preserve">הינה סדרה חשובה המפרטת את כל המקורות בנושאים הלכתיים משמעותיים, אך לא בנויה כחיבור אחד ערוך, אלא כקובץ של מראי מקומות ומקורות, ולפיכך לא ניתן להכיר בה כמחקר תורני בעל חשיבות לאומית.
</t>
    </r>
    <r>
      <rPr>
        <b/>
        <sz val="10"/>
        <color theme="1"/>
        <rFont val="Calibri"/>
        <family val="2"/>
      </rPr>
      <t>(ב) כתבי העת 'ההיכל' ו'ספר ההיכל על הלכות פרוזבול</t>
    </r>
    <r>
      <rPr>
        <sz val="10"/>
        <color theme="1"/>
        <rFont val="Calibri"/>
        <family val="2"/>
      </rPr>
      <t xml:space="preserve">' אינם מוכרים כפרסומים, אלא ככתבי עת, אשר מנוקדים במסגרת 'עזרי המחקר' ככל שהגוף זכאי לתמיכה.
</t>
    </r>
    <r>
      <rPr>
        <b/>
        <sz val="10"/>
        <color theme="1"/>
        <rFont val="Calibri"/>
        <family val="2"/>
      </rPr>
      <t xml:space="preserve">(ג) </t>
    </r>
    <r>
      <rPr>
        <sz val="10"/>
        <color theme="1"/>
        <rFont val="Calibri"/>
        <family val="2"/>
      </rPr>
      <t>הפרסומים '</t>
    </r>
    <r>
      <rPr>
        <b/>
        <sz val="10"/>
        <color theme="1"/>
        <rFont val="Calibri"/>
        <family val="2"/>
      </rPr>
      <t>זהרי אליהו סדר ליל שבת</t>
    </r>
    <r>
      <rPr>
        <sz val="10"/>
        <color theme="1"/>
        <rFont val="Calibri"/>
        <family val="2"/>
      </rPr>
      <t>', '</t>
    </r>
    <r>
      <rPr>
        <b/>
        <sz val="10"/>
        <color theme="1"/>
        <rFont val="Calibri"/>
        <family val="2"/>
      </rPr>
      <t>מזמור לאסף ברכות</t>
    </r>
    <r>
      <rPr>
        <sz val="10"/>
        <color theme="1"/>
        <rFont val="Calibri"/>
        <family val="2"/>
      </rPr>
      <t>' ו '</t>
    </r>
    <r>
      <rPr>
        <b/>
        <sz val="10"/>
        <color theme="1"/>
        <rFont val="Calibri"/>
        <family val="2"/>
      </rPr>
      <t>הוידוי המבואר</t>
    </r>
    <r>
      <rPr>
        <sz val="10"/>
        <color theme="1"/>
        <rFont val="Calibri"/>
        <family val="2"/>
      </rPr>
      <t xml:space="preserve">' הינם חיבורים שימושיים לצרכי תפילות ולקחי מוסר שאינם מוכרים כמחקר תורני בעל חשיבות לאומית.
</t>
    </r>
    <r>
      <rPr>
        <b/>
        <sz val="10"/>
        <color theme="1"/>
        <rFont val="Calibri"/>
        <family val="2"/>
      </rPr>
      <t xml:space="preserve">(ד) </t>
    </r>
    <r>
      <rPr>
        <sz val="10"/>
        <color theme="1"/>
        <rFont val="Calibri"/>
        <family val="2"/>
      </rPr>
      <t>הפרסום</t>
    </r>
    <r>
      <rPr>
        <b/>
        <sz val="10"/>
        <color theme="1"/>
        <rFont val="Calibri"/>
        <family val="2"/>
      </rPr>
      <t xml:space="preserve"> 'וירא פנחס</t>
    </r>
    <r>
      <rPr>
        <sz val="10"/>
        <color theme="1"/>
        <rFont val="Calibri"/>
        <family val="2"/>
      </rPr>
      <t>': יצא לאור בפברואר 2023 ע"י הרב פנחס בוטרשווילי שאינו נמנה עם חוקרי המכון (בהתאם לדיווחי המכון לתקופה זו, כמתחייב ע"פ מבחן התמיכה), ובכל מקרה, מדובר בלקט מקורות על סדר השו"ע, שעם כל חשיבותו, אינו מהווה מחקר תורני בעל חשיבות לאומית.
(ה) ספר '</t>
    </r>
    <r>
      <rPr>
        <b/>
        <sz val="10"/>
        <color theme="1"/>
        <rFont val="Calibri"/>
        <family val="2"/>
      </rPr>
      <t>שיעורי מלאכות</t>
    </r>
    <r>
      <rPr>
        <sz val="10"/>
        <color theme="1"/>
        <rFont val="Calibri"/>
        <family val="2"/>
      </rPr>
      <t>': יצא לאור באפריל 2023 ע"י הרב מיכאל שילוני, שאינו חוקר תקני במכון, כמתחייב ע"פ מבחן התמיכה (לא מקבל תשלום ולא ברור מתי הועסק), כחלק מסדרת ספריו המוכרת. ובכל מקרה, מדובר בחיבור תורני של חידושי תורה, שעם כל חשיבותו, אינו מהווה מחקר תורני בעל חשיבות לאומית.
(ו) ספר '</t>
    </r>
    <r>
      <rPr>
        <b/>
        <sz val="10"/>
        <color theme="1"/>
        <rFont val="Calibri"/>
        <family val="2"/>
      </rPr>
      <t>שיעורי למען שמו</t>
    </r>
    <r>
      <rPr>
        <sz val="10"/>
        <color theme="1"/>
        <rFont val="Calibri"/>
        <family val="2"/>
      </rPr>
      <t xml:space="preserve">': יצא לאור במרץ 2021 ע" הרב פרצוביץ, שזכויות הספר שמורות לו ולא למכון (בניגוד לסעיף 4(5)(ב) למבחן התמיכה). בנוסף, מדובר בסיכומי שיעורים שאינם בעלי חשיבות ייחודית בעולם התורני, ואינם מהווים מחקר תורני בעל חשיבות לאומית. 
</t>
    </r>
    <r>
      <rPr>
        <b/>
        <sz val="10"/>
        <color theme="1"/>
        <rFont val="Calibri"/>
        <family val="2"/>
      </rPr>
      <t>(ז)</t>
    </r>
    <r>
      <rPr>
        <sz val="10"/>
        <color theme="1"/>
        <rFont val="Calibri"/>
        <family val="2"/>
      </rPr>
      <t xml:space="preserve"> הפרסום '</t>
    </r>
    <r>
      <rPr>
        <b/>
        <sz val="10"/>
        <color theme="1"/>
        <rFont val="Calibri"/>
        <family val="2"/>
      </rPr>
      <t>בית הלוי על מצוות הביטח</t>
    </r>
    <r>
      <rPr>
        <sz val="10"/>
        <color theme="1"/>
        <rFont val="Calibri"/>
        <family val="2"/>
      </rPr>
      <t xml:space="preserve">ון': הינו הוצאה מחודשת של ספר מוכר, בתוספת דברי מוסר שאינם מהווים מחקר תורני בעל חשיבות לאומית.
</t>
    </r>
    <r>
      <rPr>
        <b/>
        <sz val="10"/>
        <color theme="1"/>
        <rFont val="Calibri"/>
        <family val="2"/>
      </rPr>
      <t>(ח)</t>
    </r>
    <r>
      <rPr>
        <sz val="10"/>
        <color theme="1"/>
        <rFont val="Calibri"/>
        <family val="2"/>
      </rPr>
      <t xml:space="preserve"> הפרסום '</t>
    </r>
    <r>
      <rPr>
        <b/>
        <sz val="10"/>
        <color theme="1"/>
        <rFont val="Calibri"/>
        <family val="2"/>
      </rPr>
      <t>צרור החיים</t>
    </r>
    <r>
      <rPr>
        <sz val="10"/>
        <color theme="1"/>
        <rFont val="Calibri"/>
        <family val="2"/>
      </rPr>
      <t>' לרבי משה חאגיז זצ"ל': הינו הדפסה מחודשת של פרסום ישן, בעל היקף מצומצם שאינו מהווה מחקר תורני בעל חשיבות לאומית.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</si>
  <si>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 xml:space="preserve">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כי אם פרסום אחד בלבד, בהתאם לפירוט הבא:
</t>
    </r>
    <r>
      <rPr>
        <b/>
        <sz val="10"/>
        <color theme="1"/>
        <rFont val="Calibri"/>
        <family val="2"/>
      </rPr>
      <t>(א) ספר 'חוקות חיים כלאיים, מראי מקומות מסכת כלאים - נתיב בינה':</t>
    </r>
    <r>
      <rPr>
        <sz val="10"/>
        <color theme="1"/>
        <rFont val="Calibri"/>
        <family val="2"/>
      </rPr>
      <t xml:space="preserve"> הוכר כבעל חשיבות לאומית, בהיותו חיבור מקיף התורם להעמקת הידע בתחום שיש צורך לבצע מחקרים תורניים בעניינו.
</t>
    </r>
    <r>
      <rPr>
        <b/>
        <sz val="10"/>
        <color theme="1"/>
        <rFont val="Calibri"/>
        <family val="2"/>
      </rPr>
      <t>(ב) ספר 'פסקי השמיטה'</t>
    </r>
    <r>
      <rPr>
        <sz val="10"/>
        <color theme="1"/>
        <rFont val="Calibri"/>
        <family val="2"/>
      </rPr>
      <t>: מדובר בחיבור שעיקרו שאלות ותשובות קצרות שעלו בפני חכמי בית המדרש בנושא מוכר וידוע, שאינו נחשב מחקר תורני מעמיק בעל חשיבות לאומית.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</si>
  <si>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 xml:space="preserve">אינו מומלץ לתמיכה ע"פ סעיפים 4(5) ו - 9 (הוראת שעה 2024) למבחני התמיכה.
</t>
    </r>
    <r>
      <rPr>
        <b/>
        <sz val="10"/>
        <color theme="1"/>
        <rFont val="Calibri"/>
        <family val="2"/>
      </rPr>
      <t xml:space="preserve">1) </t>
    </r>
    <r>
      <rPr>
        <sz val="10"/>
        <color theme="1"/>
        <rFont val="Calibri"/>
        <family val="2"/>
      </rPr>
      <t xml:space="preserve">הזכויות בפרסומי המכון שהוגשו שייכות לרב ישראל אברג'ל שליט"א, ולא לעמותה, ולפיכך המוסד אינו עומד בתנאי הסף 4(5)ב למבחני התמיכה.
</t>
    </r>
    <r>
      <rPr>
        <b/>
        <sz val="10"/>
        <color theme="1"/>
        <rFont val="Calibri"/>
        <family val="2"/>
      </rPr>
      <t xml:space="preserve">2) </t>
    </r>
    <r>
      <rPr>
        <sz val="10"/>
        <color theme="1"/>
        <rFont val="Calibri"/>
        <family val="2"/>
      </rPr>
      <t>המכון אינו עומד בתנאי הסף הדורשים שני פרסומים בעלי חשיבות לאומית, לפי סעיף 4(5)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במכון מתבצעת פעילות בהיקף רחב, והוא מציא פרסומים רבים וחשובים תחת ידיו. עבודתו העיקרית של המכון מתמקדת בחיבורים רבים ועשירים המכילים לקט מקורות, שיחות מוסר, חיזוק, התעוררות וביאורים שונים שכולם בעלי ערך מוסרי סביב התורה, המגילות וספרי חסידות, אך אינם כוללים חקר ופרשנות.
לפיכך, חיבורים אלה, עם כל חשיבותם, השפעם על קהלים רחבים ותרומתם העצומה, אינם משתייכים לתחום המחקר ה</t>
    </r>
    <r>
      <rPr>
        <sz val="10"/>
        <rFont val="Calibri"/>
        <family val="2"/>
      </rPr>
      <t>תורני בעל החשיבות הלאומית.</t>
    </r>
    <r>
      <rPr>
        <sz val="10"/>
        <color theme="1"/>
        <rFont val="Calibri"/>
        <family val="2"/>
      </rPr>
      <t xml:space="preserve">
לאור האמור לעיל, המכון אינו עומד בתנאי הסף הדורשים שני פרסומים בעלי חשיבות לאומית.
הערה: גוף זה לא נתמך בשנים 2022 ו 2023 ע"י המחלקה למחקר תורני, ולפיכך נבחן כ'גוף חדש' ע"פ הוראת השעה לשנת 2024.</t>
    </r>
  </si>
  <si>
    <r>
      <t xml:space="preserve">אינו מומלץ לתמיכה ע"פ סעיפים 4(5), (7)(א) ו- 4(11) למבחני התמיכה.
</t>
    </r>
    <r>
      <rPr>
        <b/>
        <sz val="10"/>
        <rFont val="Calibri"/>
        <family val="2"/>
      </rPr>
      <t>1)</t>
    </r>
    <r>
      <rPr>
        <sz val="10"/>
        <rFont val="Calibri"/>
        <family val="2"/>
      </rPr>
      <t xml:space="preserve"> המכון לא ציין בבקשתו לתמיכה את מספר שעות העבודה השבועיות של החוקרים, ולפיכך אינו עומד בתנאי הסף של 7 חוקרים העובדים 4 ש"ש לפחות (לא ניתן לדעת את היקף שעות העבודה של החוקרים).
</t>
    </r>
    <r>
      <rPr>
        <b/>
        <sz val="10"/>
        <rFont val="Calibri"/>
        <family val="2"/>
      </rPr>
      <t>2)</t>
    </r>
    <r>
      <rPr>
        <sz val="10"/>
        <rFont val="Calibri"/>
        <family val="2"/>
      </rPr>
      <t xml:space="preserve"> המוסד אינו עומד גם בסעיף 4(5) למבחני התמיכה: למכון אין שני פרסומים בין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במכון מתבצעת פעילות אודות תולדות חייהם של חכמי ספרד, אשר הינה מחקר הסטורי אודות תולדות חכמי ישראל ואורחות חייהם, שאינו מוכר כמחקר תורני בעל חשיבות לאומית ע"פ מבחני התמיכה.
</t>
    </r>
    <r>
      <rPr>
        <b/>
        <sz val="10"/>
        <rFont val="Calibri"/>
        <family val="2"/>
      </rPr>
      <t xml:space="preserve">3) </t>
    </r>
    <r>
      <rPr>
        <sz val="10"/>
        <rFont val="Calibri"/>
        <family val="2"/>
      </rPr>
      <t xml:space="preserve">גם לו היו מוכרים כל מחקרי המכון כבעלי חשיבות לאומית ופרטי החוקרים היו מלאים, הוא לא היה עומד בתנאי הסף הדורש 7 חוקרים שעבדו באחת משתי שנות ההערכה האפשריות ע"פ מבחני התמיכה והוראת השעה 2024 (סעיפים 2 (הגדרת 'שנת ההערכה') ו - 9((א)(3) למבחני התמיכה), כיון שע"פ השאלונים הנלווים שהגיש למחלקה המקצועית עולה כי רק 5 חוקרים עבדו על הפרסומים והמחקרים השונים (בוכריס אליעזר, כהן טל, מלכיאלי יוסף, נזרי יהודה, פרץ משה).
</t>
    </r>
    <r>
      <rPr>
        <b/>
        <sz val="10"/>
        <rFont val="Calibri"/>
        <family val="2"/>
      </rPr>
      <t xml:space="preserve">4) </t>
    </r>
    <r>
      <rPr>
        <sz val="10"/>
        <rFont val="Calibri"/>
        <family val="2"/>
      </rPr>
      <t>המוסד אינו עומד בתנאי הסף 4(4) הדורש כי בין מטרות המוסד יהיה לעסוק בתחומי המחקר התורני. בתעודה לרישום עמותה ובאתר גיידסטאר נכתב כי מטרותיה הן: "לייסד בתי כנסת, מקוה טהרה, ישיבה גדולה, ישיבה קטנה, כולל אברכים, תלמוד תורה, גני ילדים, קרנות לגמילות חסדים לעזרה למשפחות נזקקות, קמחא דפסחא. לייסד מרכזי חינוך ותרבות תורנית".
לאור האמור לעיל, המוסד אינו מומלץ לתמיכה לשנת 2024.
הערה: גוף זה לא נתמך בשנים 2022 ו 2023 ע"י המחלקה למחקר תורני, ולפיכך נבחן כ'גוף חדש' ע"פ הוראת השעה לשנת 2024.</t>
    </r>
  </si>
  <si>
    <r>
      <t xml:space="preserve">אינו מומלץ לתמיכה ע"פ קריטריון 4(7) למבחני התמיכה.
להלן התייחסות הועדה המייעצת:
למכון אין שבעה חוקרים שעבדו באחת משתי שנות ההערכה האפשריות ע"פ מבחני התמיכה והוראת השעה 2024 (סעיפים 2 (הגדרת 'שנת ההערכה') ו - 9((א)(3) למבחני התמיכה) על מחקרים ופרסומים שהוכרו ע"י הועדה המייעצת כבעלי חשיבות לאומית, בהתאם לפירוט הבא:
</t>
    </r>
    <r>
      <rPr>
        <b/>
        <u/>
        <sz val="10"/>
        <rFont val="Calibri"/>
        <family val="2"/>
      </rPr>
      <t xml:space="preserve">הפרסומים הבאים </t>
    </r>
    <r>
      <rPr>
        <b/>
        <u/>
        <sz val="12"/>
        <rFont val="Calibri"/>
        <family val="2"/>
      </rPr>
      <t>הוכרו</t>
    </r>
    <r>
      <rPr>
        <b/>
        <u/>
        <sz val="10"/>
        <rFont val="Calibri"/>
        <family val="2"/>
      </rPr>
      <t xml:space="preserve"> כבעלי חשיבות לאומית לצורך מעבר תנאי סף 4(5): </t>
    </r>
    <r>
      <rPr>
        <b/>
        <sz val="10"/>
        <rFont val="Calibri"/>
        <family val="2"/>
      </rPr>
      <t xml:space="preserve">
</t>
    </r>
    <r>
      <rPr>
        <sz val="10"/>
        <rFont val="Calibri"/>
        <family val="2"/>
      </rPr>
      <t xml:space="preserve">פרי תואר תערובות (יצא לאור ב 7/22) ופרי תואר בשר וחלב (יצא לאור ב 6/21). חיבורים אלה כוללים ביאור מקיף ומעמיק שיש בו מחקר תורני בעל חשיבות לאומית.
</t>
    </r>
    <r>
      <rPr>
        <b/>
        <u/>
        <sz val="10"/>
        <rFont val="Calibri"/>
        <family val="2"/>
      </rPr>
      <t xml:space="preserve">הפרסומים והמחקרים הבאים, שהתבצעו בשנות ההערכה, </t>
    </r>
    <r>
      <rPr>
        <b/>
        <u/>
        <sz val="12"/>
        <rFont val="Calibri"/>
        <family val="2"/>
      </rPr>
      <t>הוכרו</t>
    </r>
    <r>
      <rPr>
        <b/>
        <u/>
        <sz val="10"/>
        <rFont val="Calibri"/>
        <family val="2"/>
      </rPr>
      <t xml:space="preserve"> כבעלי חשיבות לאומית לצורך בדיקת עמידת המוסד בתנאי סף של 7 חוקרים: </t>
    </r>
    <r>
      <rPr>
        <sz val="10"/>
        <rFont val="Calibri"/>
        <family val="2"/>
      </rPr>
      <t xml:space="preserve">
ראשון לציון פסקים שו"ע; פרי תואר מאכלי עכו"ם; כתבי האור החיים הקדוש ותלמידיו, פרי תואר שחיטה וטריפות.
</t>
    </r>
    <r>
      <rPr>
        <b/>
        <u/>
        <sz val="10"/>
        <rFont val="Calibri"/>
        <family val="2"/>
      </rPr>
      <t xml:space="preserve">המחקרים והפרסומים הבאים, שהתבצעו בשנות ההערכה, </t>
    </r>
    <r>
      <rPr>
        <b/>
        <u/>
        <sz val="12"/>
        <rFont val="Calibri"/>
        <family val="2"/>
      </rPr>
      <t xml:space="preserve">לא הוכרו </t>
    </r>
    <r>
      <rPr>
        <b/>
        <u/>
        <sz val="10"/>
        <rFont val="Calibri"/>
        <family val="2"/>
      </rPr>
      <t>כבעלי חשיבות לאומית לצורך מעבר תנאי סף של 7 חוקרים:</t>
    </r>
    <r>
      <rPr>
        <sz val="10"/>
        <rFont val="Calibri"/>
        <family val="2"/>
      </rPr>
      <t xml:space="preserve">
</t>
    </r>
    <r>
      <rPr>
        <b/>
        <sz val="10"/>
        <rFont val="Calibri"/>
        <family val="2"/>
      </rPr>
      <t xml:space="preserve">(א) סדרת ראשון לציון </t>
    </r>
    <r>
      <rPr>
        <sz val="10"/>
        <rFont val="Calibri"/>
        <family val="2"/>
      </rPr>
      <t xml:space="preserve">(למעט 'ראשון לציון פסקים שולחן ערוך'): הינה מהדורות חדשות של פרסומים שיצאו כבר לאור בעבר ע"י המכון, ללא תוספות משמעותיות המהוות מחקר תורני בעל חשיבות לאומית.
</t>
    </r>
    <r>
      <rPr>
        <b/>
        <sz val="10"/>
        <rFont val="Calibri"/>
        <family val="2"/>
      </rPr>
      <t>(ב) סדרת חפץ ה</t>
    </r>
    <r>
      <rPr>
        <sz val="10"/>
        <rFont val="Calibri"/>
        <family val="2"/>
      </rPr>
      <t xml:space="preserve">': הינה סדרה של מחקרים שכמותם יש נוספים, אשר אין בהם תוספות משמעותיות, דוגמת ביאור מקיף ועמוק, המהוות מחקר תורני בעל חשיבות לאומית.
</t>
    </r>
    <r>
      <rPr>
        <b/>
        <sz val="10"/>
        <rFont val="Calibri"/>
        <family val="2"/>
      </rPr>
      <t>(ג) ספרי 'נר המערבי'</t>
    </r>
    <r>
      <rPr>
        <sz val="10"/>
        <rFont val="Calibri"/>
        <family val="2"/>
      </rPr>
      <t xml:space="preserve">: הינם ספרי תולדות חיים אודות בעל ה'אור החיים' הקדוש, ואורחות חייו, שאינם מהווים מחקר תורני בעל חשיבות לאומית.
</t>
    </r>
    <r>
      <rPr>
        <b/>
        <sz val="10"/>
        <rFont val="Calibri"/>
        <family val="2"/>
      </rPr>
      <t>(ד) שערי אור החיים:</t>
    </r>
    <r>
      <rPr>
        <sz val="10"/>
        <rFont val="Calibri"/>
        <family val="2"/>
      </rPr>
      <t xml:space="preserve"> מדובר במהדורה חדשה של ספר שכמותו יצאו לאור רבים, ושאין בו תוספות משמעותיות בעלות חשיבות לאומית.
</t>
    </r>
    <r>
      <rPr>
        <b/>
        <sz val="10"/>
        <rFont val="Calibri"/>
        <family val="2"/>
      </rPr>
      <t>(ה) אור החיים עם ביאורי החסידות (על ספרי בראשית ודברים)</t>
    </r>
    <r>
      <rPr>
        <sz val="10"/>
        <rFont val="Calibri"/>
        <family val="2"/>
      </rPr>
      <t xml:space="preserve">: מדובר בביאור שנכתב בסגנון דרשות סביב ספר אור החיים, שאינו מהווה מחקר תורני מעמיק בעל חשיבות לאומית. 
</t>
    </r>
    <r>
      <rPr>
        <b/>
        <sz val="10"/>
        <rFont val="Calibri"/>
        <family val="2"/>
      </rPr>
      <t>(ו) סידור, תהלים וזמירות לשבת:</t>
    </r>
    <r>
      <rPr>
        <sz val="10"/>
        <rFont val="Calibri"/>
        <family val="2"/>
      </rPr>
      <t xml:space="preserve"> מדובר בחיבורים שימושיים, שאינם מהווים מחקר תורני בעל חשיבות לאומית.
</t>
    </r>
    <r>
      <rPr>
        <b/>
        <sz val="10"/>
        <rFont val="Calibri"/>
        <family val="2"/>
      </rPr>
      <t>לאור האמור לעיל</t>
    </r>
    <r>
      <rPr>
        <sz val="10"/>
        <rFont val="Calibri"/>
        <family val="2"/>
      </rPr>
      <t xml:space="preserve">, ע"פ בדיקה שנערכה, עולה כי על הפרסומים והמחקרים שהוכרו כבעלי חשיבות לאומית בשתי שנות ההערכה האפשריות (כאמור מעלה) עבדו רק </t>
    </r>
    <r>
      <rPr>
        <b/>
        <sz val="10"/>
        <rFont val="Calibri"/>
        <family val="2"/>
      </rPr>
      <t>5 חוקרים</t>
    </r>
    <r>
      <rPr>
        <sz val="10"/>
        <rFont val="Calibri"/>
        <family val="2"/>
      </rPr>
      <t xml:space="preserve"> (בוים דוד יהודה לייב, בוים אברהם בנימין מאיר, דויד שמחה עוזיאל שלמה, רבינוביץ אריה מרדכי, שכטר יצחק אייזיק) ולפיכך, המכון אינו עומד בתנאי הסף 4(7), הדורש 7 חוקרים שעבדו על מחקרים ופרסומים בעלי חשיבות לאומית בשנת ההערכה, ואינו מומלץ לתמיכה.</t>
    </r>
  </si>
  <si>
    <r>
      <t xml:space="preserve">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t>
    </r>
    <r>
      <rPr>
        <b/>
        <sz val="10"/>
        <color theme="1"/>
        <rFont val="Calibri"/>
        <family val="2"/>
      </rPr>
      <t>(א) סדרת הספרים 'הלכה למעשה'</t>
    </r>
    <r>
      <rPr>
        <sz val="10"/>
        <color theme="1"/>
        <rFont val="Calibri"/>
        <family val="2"/>
      </rPr>
      <t xml:space="preserve"> הינה חיבורים שהם מדריכים הלכתיים תמציתיים שאינם מוסברים ומנומקים בהיקף משמעותי ומעמיק דיו - ולפיכך אינם מהווים מחקר תורני בעל חשיבות לאומית.
</t>
    </r>
    <r>
      <rPr>
        <b/>
        <sz val="10"/>
        <color theme="1"/>
        <rFont val="Calibri"/>
        <family val="2"/>
      </rPr>
      <t>(ב) הפרסום 'המבדיל בין ישראל לעמים</t>
    </r>
    <r>
      <rPr>
        <sz val="10"/>
        <color theme="1"/>
        <rFont val="Calibri"/>
        <family val="2"/>
      </rPr>
      <t>': לא צורפו לבקשת התמיכה דפים מתוך הספר, על מנת שניתן יהיה להעריכו.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</si>
  <si>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אינו מומלץ לתמיכה ע"פ סעיפים 4(4) ו - 9(א)1 למבחני התמיכה.
בסעיף 4(4) למבחני התמיכה נאמר:</t>
    </r>
    <r>
      <rPr>
        <b/>
        <sz val="10"/>
        <color theme="1"/>
        <rFont val="Calibri"/>
        <family val="2"/>
      </rPr>
      <t xml:space="preserve"> "בין מטרות המוסד, על פי מסמכי היסוד שלו לפי כל דין, לעסוק בתחומי המחקר התורני; התנאי האמור יתקיים במוסד לא יאוחר מיום 31 בדצמבר של שנת ההערכה;"; </t>
    </r>
    <r>
      <rPr>
        <sz val="10"/>
        <color theme="1"/>
        <rFont val="Calibri"/>
        <family val="2"/>
      </rPr>
      <t xml:space="preserve">בסעיף 9(א)1 נאמר: </t>
    </r>
    <r>
      <rPr>
        <b/>
        <sz val="10"/>
        <color theme="1"/>
        <rFont val="Calibri"/>
        <family val="2"/>
      </rPr>
      <t>"על אף האמור במבחנים אלה, בשנת 2024 –  בסעיף 4(4), במקום "31 בדצמבר של שנת ההערכה" יבוא "ט"ו בתשרי התשפ"ד (30 בספטמבר 2023)";</t>
    </r>
    <r>
      <rPr>
        <sz val="10"/>
        <color theme="1"/>
        <rFont val="Calibri"/>
        <family val="2"/>
      </rPr>
      <t xml:space="preserve">
במסמכי היסוד של המוסד אין מטרה אודות עיסוקו בתחומי המחקר התורני או הוצאת ספרים כנדרש. המטרות הרשומות של המוסד, כפי שמופיעות בתעודת רישום העמותה ובאתר גיידססטאר הינן: </t>
    </r>
    <r>
      <rPr>
        <b/>
        <sz val="10"/>
        <color theme="1"/>
        <rFont val="Calibri"/>
        <family val="2"/>
      </rPr>
      <t xml:space="preserve">"מתן תמיכה ועזרה, כלכלית, תורנית ומקצועית למכללה התורנית – מרחבים. עידוד וקידום הכשרת מורים, בני תורה". </t>
    </r>
    <r>
      <rPr>
        <sz val="10"/>
        <color theme="1"/>
        <rFont val="Calibri"/>
        <family val="2"/>
      </rPr>
      <t xml:space="preserve">
לאור האמור לעיל, המוסד אינו עומד בתנאי הסף האמורים מעלה, ואינו זכאי לתמיכה.
הערה: גוף זה לא נתמך בשנים 2022 ו 2023 ע"י המחלקה למחקר תורני, ולפיכך נבחן כ'גוף חדש' ע"פ הוראת השעה לשנת 2024.</t>
    </r>
  </si>
  <si>
    <t xml:space="preserve">אינו מומלץ לתמיכה ע"פ סעיפים 4(10) למבחני התמיכה.
לא הוגשו שאלונים נלווים לבקשת התמיכה לשנת 2024, המהווים חלק מבקשת התמיכה.
יודגש, שלפיכך לא ניתן היה לבדוק את עמידת המוסד בתנאי הסף. </t>
  </si>
  <si>
    <t>אינו מומלץ לתמיכה ע"פ סעיפים (4)7, 10, 11 למבחני התמיכה.
המכון לא מילא את שאלון החוקרים (שאלון 4), וכן מילא חלקית בלבד שאלונים אחרים (שאלון 2 עם פרטי חוקרים חסרים ושאלון 5 שאינו חתום).
לאור האמור לעיל, לא ניתן היה לבדוק את בקשתו לתמיכה לצורך עמידה בחלק מתנאי הסף, ולפיכך, אינו מומלץ לתמיכה.
הערה: גוף זה לא נתמך בשנים 2022 ו 2023 ע"י המחלקה למחקר תורני, ולפיכך נבחן כ'גוף חדש' ע"פ הוראת השעה לשנת 2024.</t>
  </si>
  <si>
    <r>
      <t xml:space="preserve">אינו מומלץ לתמיכה ע"פ סעיפים 4(5) ו - 9 (הוראת שעה 2024) למבחני התמיכה.
למכון אין שני פרסומים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t>
    </r>
    <r>
      <rPr>
        <b/>
        <sz val="10"/>
        <color theme="1"/>
        <rFont val="Calibri"/>
        <family val="2"/>
      </rPr>
      <t>(א) סדרת הספרים 'אהלי שם</t>
    </r>
    <r>
      <rPr>
        <sz val="10"/>
        <color theme="1"/>
        <rFont val="Calibri"/>
        <family val="2"/>
      </rPr>
      <t xml:space="preserve">' הינה חיבורים שהם מדריכים הלכתיים תמציתיים המהווים קיצור וסיכום של ההלכה, שאינם מוסברים ומנומקים בהיקף משמעותי ומעמיק, ולפיכך אינם נחשבים מחקר תורני בעל חשיבות לאומית.
</t>
    </r>
    <r>
      <rPr>
        <b/>
        <sz val="10"/>
        <color theme="1"/>
        <rFont val="Calibri"/>
        <family val="2"/>
      </rPr>
      <t>(ב) סדרת הספרים 'עוז לעמו'</t>
    </r>
    <r>
      <rPr>
        <sz val="10"/>
        <color theme="1"/>
        <rFont val="Calibri"/>
        <family val="2"/>
      </rPr>
      <t xml:space="preserve">: הינה סדרת ספרי דרשות ושיעורי מוסר על התורה, שאינם מהווים מחקר בעל חשיבות לאומית. 
</t>
    </r>
    <r>
      <rPr>
        <b/>
        <sz val="10"/>
        <color theme="1"/>
        <rFont val="Calibri"/>
        <family val="2"/>
      </rPr>
      <t>(ג) מאגר המידע 'מקור משותף':</t>
    </r>
    <r>
      <rPr>
        <sz val="10"/>
        <color theme="1"/>
        <rFont val="Calibri"/>
        <family val="2"/>
      </rPr>
      <t xml:space="preserve"> מדובר ברעיון יפה, המאפשר העמקת ידיעות בנושאים תורניים, אך בשלב זה הוא מאגר ראשוני למדי, בהיקף שלא מוכר כבעל חשיבות לאומית. 
לאור האמור לעיל, המכון אינו עומד בתנאי הסף הדורשים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</si>
  <si>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 xml:space="preserve">המוסד מעסיק בשכר 7 חוקרים תקינים שעבדו על פרסומים ומחקרים בעלי חשיבות לאומית בשנת ההערכה
</t>
    </r>
    <r>
      <rPr>
        <sz val="10"/>
        <color theme="1"/>
        <rFont val="Calibri"/>
        <family val="2"/>
      </rPr>
      <t xml:space="preserve">(אחת מבין שתי שנות ההערכה האפשריות) </t>
    </r>
    <r>
      <rPr>
        <b/>
        <sz val="10"/>
        <color theme="1"/>
        <rFont val="Calibri"/>
        <family val="2"/>
      </rPr>
      <t xml:space="preserve">
</t>
    </r>
  </si>
  <si>
    <r>
      <rPr>
        <b/>
        <sz val="14"/>
        <color theme="1"/>
        <rFont val="Calibri"/>
        <family val="2"/>
      </rPr>
      <t>עמידה בתנאי סף חוקרים</t>
    </r>
    <r>
      <rPr>
        <b/>
        <sz val="12"/>
        <color theme="1"/>
        <rFont val="Calibri"/>
        <family val="2"/>
      </rPr>
      <t xml:space="preserve">
</t>
    </r>
    <r>
      <rPr>
        <b/>
        <sz val="10"/>
        <color theme="1"/>
        <rFont val="Calibri"/>
        <family val="2"/>
      </rPr>
      <t>ע"פ סעיפים 4(7) ו - 9(א)(3) למבחני התמיכה העיקריים</t>
    </r>
    <r>
      <rPr>
        <b/>
        <sz val="12"/>
        <color theme="1"/>
        <rFont val="Calibri"/>
        <family val="2"/>
      </rPr>
      <t xml:space="preserve">
</t>
    </r>
    <r>
      <rPr>
        <b/>
        <sz val="10"/>
        <color theme="1"/>
        <rFont val="Calibri"/>
        <family val="2"/>
      </rPr>
      <t>וסעיף 1(4) להוראת השעה לשנת 2024</t>
    </r>
  </si>
  <si>
    <t>דיון הוועדה המייעצת בהשגות הגופים</t>
  </si>
  <si>
    <t>המוסד הגיש ערעור על החלטת ועדת התמיכות, אשר הובאה לדיון בפני הועדה המייעצת.
בערעורו טוען המוסד כי עליו לקבל את הניקוד המירבי בסעיף 'מס' פרסומים שיצאו לאור בשנת ההערכה' בשל ארבעת הפרסומים רחבי ההיקף שהוציא ומספר החוקרים הרב שעובדים במסגרת מחקרי המכון.
הועדה המייעצת עיינה במכתב הערעור והחליטה כי בשל היקף העבודה הרב שנדרש אודות ארבעת הפרסומים הללו, ובהתחשב גם בשעות עבודת החוקרים שנדרשו לצורך הפרסומים, יושווה הניקוד לזה שהיה בשנה האחרונה בה נוקד - והניקוד יעודכן לניקוד המירבי (19 נקודות).</t>
  </si>
  <si>
    <t>המוסד הגיש ערעור על החלטת ועדת התמיכות, אשר הובאה לדיון בפני הועדה המייעצת.
המוסד מערער אודות אי הכרה במאגר המידע 'ישראל והעמים' כבעל חשיבות לאומית, דבר שמנע ממנו מלעמוד בתנאי הסף הדורש שני פרסומים בעלי חשיבות לאומית.
הועדה המייעצת עיינה במכתב הערעור ובמאגר המידע שהוגש לפניה והחליטה כי אין מקום לשנות את המלצתה הקודמת, כיון שמדובר באוסף מאמרים (וסרטונים). חלק מן המאמרים אינם מהווים מקורות מחקריים - תורניים - יהודיים וחלקם אינם בשפה העברית, כנדרש במבחני התמיכה. המאגר אינו מובנה ומונגש באופן שניתן להפיק ממנו מחקר תורני ובנוסף, אינו נגיש לכל באופן המקובל והציבור אינו יודע על קיומו והוצאתו לאור. לאור הדברים, המאגר אינו מהווה מאגר מידע מחקרי-תורני בעל חשיבות לאומית. 
לאור האמור לעיל, ערעור המכון נדחה.</t>
  </si>
  <si>
    <t>המוסד הגיש ערעור על החלטת ועדת התמיכות, אשר הובאה לדיון בפני הועדה המייעצת.
המוסד מערער אודות אי הכרה כבעלי חשיבות לאומית בארבעה מהפרסומים שהגיש במסגרת בקשת התמיכה, דבר שמנע ממנו מלעמוד בתנאי הסף הדורש שני פרסומים בעלי חשיבות לאומית: 'אוצר ההלכות' שלטענתו הינו חיבור עצום שמכיל אלפי עמודים ובו סיכום של כל הדעות והשיטות בתחומים רבים, כולל הנהגות גדולי הדור; 'ספר ההיכל על הלכות פרוזבול', הכולל מעל מאה ושלושים סוגי פרוזבול עתיקים, לרבות ציון החילוקים ביניהם; 'הווידוי המבואר' הכולל מחקר תורני, הבאת גנזים, השוואת מקורות ופירוש; ספר 'צרור החיים' לרבי משה חאגיז, הכולל הדפסה מחודשת, פתיחת ר"ת וכו'.
הועדה המייעצת עיינה במכתב הערעור ובספרים שהוגשו לפניה והחליטה כי אין מקום לשנות את המלצתה הקודמת, כדלקמן:
אוצר ההלכות: מדובר בסגנון חיבור סיכומי הכולל אוסף שיטות. על אף מגוון המקורות והשיטות המצויות בו לא ניתן להכיר כמחקר תורני בעל חשיבות לאומית בסגנון פרסומים מעין אלו, שאינם מהווים חיבורים ערוכים (כפי שקיים במכוני מחקר אחרים), אלא סיכומי שיטות קצרים במתכונת של הכנה ומיקוד למבחן.
ספר ההיכל על הלכות פרוזבול: הינו קובץ מאמרים שלא נתמך במסגרת מחקרים תורניים בעלי חשיבות לאומית.
ספר הווידוי המבואר: כשמו כן הוא – חלק מהתפילה עם ביאור. ספרים מעין אלה לא נתמכים במסגרת מחקרים תורניים בעלי חשיבות לאומית. 
ספר צרור החיים לרבי משה חאגיז: הינו ספר ישן וקטן כמות. הועדה המייעצת אינה מכירה בהקלדות מחדש כעבודת מחקר תורנית מעמיקה בעלת חשיבות לאומית.
לאור האמור לעיל, ערעור המכון נדחה.</t>
  </si>
  <si>
    <t>המוסד הגיש ערעור על החלטת ועדת התמיכות, אשר הובאה לדיון בפני הועדה המייעצת.
בערעורו טוען המוסד כי עליו לקבל ניקוד גבוה יותר במשתנים 'איכות המחקרים', 'חשיבות המחקרים', 'היקף המחקר בשנת ההערכה', בשל היקף העבודה הרב והחשוב שבוצע במכון.
הועדה המייעצת עיינה במכתב הערעור והחליטה כי:
בסעיפי האיכות והחשיבות אין מקום לבצע שינויי ניקוד, כיון שלא חל שינוי מהותי בעבודת המכון משנים עברו. מדובר במכון שעוסק בהוצאת פירוש הירושלמי ומחקרים נוספים בעלי תרומה חשובה, והועדה המייעצת סבורה כי הניקוד שניתן משקף את הערך המשמעותי של העבודה..
לעניין משתנה 'היקף המחקר בשנת ההערכה': הועדה המייעצת עיינה במכתב הערעור והחליטה כי בשל היקף העבודה שנדרש אודות ארבעת המחקרים, ובהתחשב גם בשעות עבודת החוקרים אודות מחקרים אלה, יועלה הניקוד מ 8 נקודות ל 10 נקודות.</t>
  </si>
  <si>
    <t>המוסד הגיש ערעור על החלטת ועדת התמיכות, אשר הובאה לדיון בפני הועדה המייעצת.
בערעורו טוען המוסד כי עליו לקבל את הניקוד המירבי במשתנים 'איכות המחקרים', 'חשיבות המחקרים', 'היקף המחקר בשנת ההערכה', 'מס' פרסומים שיצאו לאור בשנת ההערכה' בשל היקף העבודה הרב והחשוב שבוצע במכון ובשל מספר החוקרים המועסקים במכון.
הועדה המייעצת עיינה במכתב הערעור והחליטה כי:
בסעיפי האיכות והחשיבות אין מקום לבצע שינויי ניקוד, כיון שלא חל שינוי מהותי בעבודת המכון משנים עברו. מדובר במכון העוסק בדמותו החשובה של מרן החתם סופר זצ"ל, מגדולי הפוסקים בכל הדורות והועדה המייעצת אכן מברכת על כך. עם זאת, העבודה אודות המחקרים והפרסומים שהובאו בפני הועדה המייעצת, הינה בעיקר ההדרת חיבורים שיצאו לאור בעבר, לעתים באמצעות איסופם של מספר ספרים לספר אחד, שיש בו השוואות והערות ברמה מחקרית שאינה יוצאת דופן. לפיכך, על אף המהדורות החשובות, מדובר בעבודה מחקרית שעיקר עניינה הנגשת חיבורים קיימים, ולא הוצאת חיבורים חדשים מכתבי יד.
לעניין משתנה 'היקף המחקר בשנת ההערכה': המוסד ציין 6 מחקרים בשלבי עבודה בלבד, לעומת 11 בשנה האחרונה בה נוקד, ולפיכך ירד הניקוד בהתאם. עם זאת, ייתכן כי טעה באופן הדיווח הראשוני בשאלון 2 (לא ציין פרסומים שיצאו לאור בתקופה 1.10.22 עד 30.9.23 כמחקרים בשלבי עבודה בשנה קלנדרית 2022) ולפיכך יועלה הניקוד ב 2 נקודות בשל עבודת החוקרים אודות המחקרים האמורים, בשים לב לעובדה שגם המחקרים הנוספים שצוינו ('חתם סופר על התורה' ו'שיר מעון') הם למעשה מהדורות מחודשות של פרסומים שיצאו כבר לאור, שחלקם גם אינם של מרן בעל ה'חתם סופר' עצמו. 
לעניין משתנה 'מס' הפרסומים בשנת ההערכה': הניקוד אף גדל מזה שהיה בפעם האחרונה בה נוקד, בשל הפרסום הנוסף שיצא לאור (3 פרסומים השנה לעומת 2 פרסומים בפעם הקודמת), אשר שניים מהם הינם מהדורה נוספת של פרסום שיצא כבר בעבר ואחד הינו ספר מפתחות. לפיכך, הניקוד יישאר על כנו.</t>
  </si>
  <si>
    <t>המוסד הגיש ערעור על החלטת ועדת התמיכות, אשר הובאה לדיון בפני הועדה המייעצת.
בערעורו טוען המוסד כי לא נוקד כראוי במשתנים הבאים: חשיבות המחקרים, היקף המחקר בשנת ההערכה, מס' הפרסומים בשנת ההערכה.
הועדה המייעצת עיינה במכתב הערעור והחליטה כי אין מקום לשנות את המלצותיה הקודמות, כדלקמן:
1) משתנה 'חשיבות המחקרים': אין מקום לבצע שינוי ניקוד, כיון שלא חל שינוי מהותי בעבודת המכון משנים עברו. 
2) משתנה 'היקף המחקר בשנת ההערכה': לאחר עיון נוסף בעקבות ערעור המכון, מסתבר כי חלק מהמחקרים הינם בסיסיים למדי, הן בהיקפם (מס' עמודים קטן) והן בהעמקתם ובעבודת המחקר הנדרשת אודותיהם, ואינם בעלי חשיבות לאומית. מאגרי מידע שנגישותם לציבור אינה ברורה ו'לקט מקורות' אינם נחשבים מחקרים בעלי חשיבות לאומית, ואין להגישם לעיון הועדה בשנים הבאות כמחקרים. לאור זאת, אין מקום לבצע שינוי ניקוד.
3) משתנה 'מס' הפרסומים בשנת ההערכה': מדובר במאגרי מידע לא מוכרים כבעלי חשיבות לאומית ובפרסומים בעלי היקף עבודה קטן יחסית ושחשיבותם הלאומית אינה רבה, לאור זאת, החליטה הועדה השנה להמליץ על ניקוד בהתאם לנתונים אלה. לפיכך, הניקוד יישאר על כנו.
לאור האמור לעיל, ערעור המכון נדחה.</t>
  </si>
  <si>
    <t>המוסד הגיש ערעור על החלטת ועדת התמיכות, אשר הובאה לדיון בפני הועדה המייעצת.
בערעורו טוען המוסד אודות אי הכרה בספר 'פסקי שמיטה' כבעל חשיבות לאומית, דבר שמנע ממנו מלעמוד בתנאי הסף הדורש שני פרסומים בעלי חשיבות לאומית. לטענת המכון מדובר במחקר הלכתי מעמיק, אשר מתאים גם לכל שכבות העם.
הועדה המייעצת עיינה במכתב הערעור ובפרסום המלא שהוגש לפניה, והחליטה כי יש מקום לשנות את החלטתה הקודמת, כדלקמן:
מומלץ לתמיכה ע"פ סעיפים 4(1)א ו - 9 (הוראת שעה 2024) למבחני התמיכה.
המכון עוסק במחקר מקיף ומעמיק בעל חשיבות לאומית בעיקר אודות ההלכות התלויות בארץ.
שני הפרסומים שהוכרו לצורך מעבר תנאי סף 4(5): חוקות חיים כלאיים (יצא לאור ב 6/22); פסקי השמיטה (יצא לאור ב 9/21).
ניקוד משתנה 'איכות המחקרים' (6 נק') ניתן בשים לב לרמת המחקר הטובה; ניקוד משתנה 'חשיבות המחקרים' (6 נק') ניתן לפי קטגורית 'חשיבות נאותה', בשים לב לנושאי המחקר שהינם חשובים אך נחקרים גם על ידי מכוני מחקר נוספים.
ניקוד משתנה 'היקף המחקר' (4 נק') הולם את המחקר האחד שהתבצע במכון בשנת ההערכה; ניקוד משתנה 'מספר הפרסומים' (4 נק') נוקד בהתאם לפרסום היחיד שיצא לאור בשנת ההערכה, בשים לב לכך שאינו חלק אינטגרלי מפעילותו של המכון אודות המצוות התלויות בארץ.
עזרי מחקר שנוקדו: (2 נק') עבור מבנה ייעודי שהמכון משכיר לצורך פעילותו.
מהדורות אלקטרוניות (בנוסף למודפסות) המופצות חינם: לא נוקדו, בהעדר כאלה בשנת ההערכה.
הערה: גוף זה לא נתמך בשנים 2022 ו 2023 ע"י המחלקה למחקר תורני, ולפיכך נבחן כ'גוף חדש' ע"פ הוראת השעה לשנת 2024.
ערעור המוסד התקבל. הניקוד וסכום התמיכה יפורטו במודל המתוקן.</t>
  </si>
  <si>
    <t xml:space="preserve">המוסד הגיש ערעור על החלטת ועדת התמיכות, אשר הובאה לדיון בפני הועדה המייעצת.
בערעורו טוען המוסד כי עליו לקבל ניקוד גבוה יותר בסעיף 'מס' פרסומים שיצאו לאור בשנת ההערכה' בשל העובדה שהפרסום שנוקד כמהדורה נוספת ('הוראה ברורה הלכות מליחה' שיצא כבר לאור בשנים תשע"ה ו - תשע"ח) כלל רק חלק מהספר המקורי, ולנוכח תוספת רבה שיש במהדורה הנוכחית יש להכיר בו כפרסום "רגיל", כפי שנכתב.
המוסד נוקד ע"י הועדה המייעצת ב 5 נקודות מתוך 19 במשתנה "מספר הפרסומים של המוסד שפורסמו לציבור בשנת ההערכה" (סעיף 5(ה)(2) למבחן), למעשה בגין הפרסום 'הלכה ברורה אבלות' וכן עבור החלק החדש בפרסום 'הלכה ברורה מליחה'. הועדה המייעצת עיינה במכתב הערעור והחליטה כי אין מקום לשנות את החלטתה הקודמת. הועדה המייעצת הכירה בעבר בספר 'הלכה ברורה מליחה' כבעל חשיבות לאומית, ומטבע הדברים הוא קיבל אז ניקוד לפי סעיף 5(ה)(2). אין כל סיבה להעניק מלוא הניקוד לפי סעיף 5(ה)(2) לספר שכבר יצא לאור ברובו קודם לכן, מה גם שהמוסד לא ציין בבקשת התמיכה המקורית את ההבדלים בין המהדורה הישנה והחדשה. 
לאור האמור לעיל, ערעור המכון נדחה.
עו"ד מאיר (התייחסות לאחר מעשה לחוות דעת הוועדה המייעצת): לשאלותיי, המחלקה המקצועית ערכה כמה בדיקות ונמצא כדלקמן:
1.	המחלקה לא הצליחה למצוא באתר הספרייה הלאומית את הפרסום "הוראה ברורה הלכות מליחה" במהדורה החדשה שלה. מספר המערכת של הפרסום החדש, שמופיע בשאלון 2 לבקשת התמיכה, מפנה לפרסום הישן משנת תשע"ח (2018).
2.	לא ברור מה היה היקף החלק שנוסף למהדורה הראשונה, כי בשאלון מס' 2 לבקשת התמיכה המוסד רשם שמדובר ב"פרסום ראשוני" ולא צוינו ההבדלים בין המהדורה הישנה והחדשה, למרות שמדובר בפרסום שהוגש למחלקה במסגרת בקשת תמיכה קודמת והוכר בעבר כבעל חשיבות לאומית. 
3.	ע"פ שני קבצי תוכן העניינים שצורף להשגה, נראה כי:
א.	המהדורה המקורית של הפרסום "הוראה ברורה הלכות מליחה" (משנת תשע"ח – 2018) כוללת כ-152 עמודים;
ב.	המהדורה החדשה משנת 2022 כוללת כ-310 עמודים ואילו בשאלון לשנת 2024 המוסד הצהיר שהמהדורה החדשה הינה בת 600 עמודים. 
4.	יש בדברים הנ"ל כדי לעורר תהייה מסוימת. לא מן הנמנע שאילו הוועדה המייעצת הייתה ממליצה להגדיל את הניקוד במשתנה 5(ה)(2) הייתי סובר שיש מקום לבחון אם לא מדובר במקרה של "דיווח לא נכון" כהגדרתו בנוהל לתמיכות מתקציב המדינה במוסדות ציבור, על התוצאות האפשריות שיש בכך, אך הגעתי למסקנה שאין תועלת מעשית לעשות כן בהינתן שהוועדה המליצה לא לקבל את ערעור המוסד. </t>
  </si>
  <si>
    <t>המוסד הגיש ערעור על החלטת ועדת התמיכות, אשר הובאה לדיון בפני הועדה המייעצת.
בערעורו טוען המוסד כי עליו יש להכיר בסדרת 'חפץ ה' כבעלת חשיבות לאומית לצורך מעבר תנאי הסף 4(7) של 7 חוקרים בשנת ההערכה. לטענתו, מדובר בסדרה בעלת חשיבות לאומית ותרומה לכלל הלומדים.
הועדה המייעצת עיינה במכתב הערעור והחליטה כי אין מקום לשנות את החלטתה הקודמת. במסמכים שהוגשו עבור ספרי 'חפץ ה'' שבת ושאר מסכתות הש"ס לא ניכרת עבודה משמעותית, כי אם הערות בודדות שחשיבותן אינה מצדיקה הכרה במחקרים אלה כבעלי מחקר תורני מעמיק בעל חשיבות לאומית. עוד יוער, כי טקסט הספר עצמו של בעל האור החיים הקדוש, שחשיבותו אינה מוטלת בספק, יצא כבר לאור בצורה הולמת במסגרות אחרות. 
לאור האמור לעיל, ערעור המכון נדחה.</t>
  </si>
  <si>
    <t xml:space="preserve">המוסד הגיש ערעור על החלטת ועדת התמיכות, אשר הובאה לדיון בפני הועדה המייעצת.
בערעורו טוען המוסד כי עליו לקבל ניקוד בסעיף 'מס' פרסומים שיצאו לאור בשנת ההערכה', למרות שלא הוציא לאור פרסומים בשנה זו, בשל העובדה שהוא מוציא פרסומים בהיקף גדול, שהם חלק מסדרה. 
הועדה המייעצת עיינה במכתב הערעור והחליטה כי אין מקום לשנות את החלטתה הקודמת. לא ניתן לנקד משתנה כמותי זה כאשר לא יצאו לאור פרסומים בתקופה הנדונה. ההחלטה אודות חלוקת הספרים לכרכים ומועדי הוצאתם לאור הינה של המכון, וככל שהוא בחר להוציא לאור היקף עבודה של שני כרכים בכרך אחד ובמועד מסוים, הרי שלא ניתן לנקד אותו כשני פרסומים שיצאו לאור.
אזכור המוסד בדבר תנאי הסף סעיף 4(5) למבחני התמיכה "המוסד הוציא לאור או פיתח בשנת ההערכה או בשנתיים שקדמו לה" אינו רלוונטי לניקוד משתנה תמיכה זה של מס' פרסומים שיצאו לאור בשנת ההערכה לפי סעיף 5(ה)(2) למבחן.
לאור האמור לעיל, ערעור המכון נדחה.
עו"ד מאיר (התייחסות לאחר מעשה לחוות דעת הוועדה המייעצת): נושא סעיף 5(ה)(2) למבחן הוא "מספר הפרסומים של המוסד שפורסמו לציבור בשנת ההערכה,...". אכן, הוועדה המייעצת יישמה כראוי את המשתנה. לא ניתן לתת ניקוד לפי סעיף 5(ה)(2) אם המוסד לא הוציא לאור פרסומים בשנת ההערכה. זאת, גם אם ניתן היה כעיקרון לפצל פרסום, שיצא לאור לפני שנת ההערכה, לשני פרסומים. (האמירה היא היפותטית כמובן. איני מביע כל דעה אם בפועל זהו המצב אם לאו). </t>
  </si>
  <si>
    <t>המוסד הגיש ערעור על החלטת ועדת התמיכות, אשר הובאה לדיון בפני הועדה המייעצת.
המוסד מערער אודות אי הכרה כבעלת חשיבות לאומית בסדרת 'הלכה למעשה', אשר לטענתו מהווה מחקר מקיף, הכוללת הקדמות ומקורות, והיא בעלת חשיבות רבה לכל שליחי חב"ד בעולם ומהווה תמצית לתשובות רבות שניתנו לאלפי שאלות.
הועדה המייעצת עיינה במכתב הערעור שהוגש לפניה והחליטה כי אין מקום לשנות את המלצתה הקודמת, והיא שבה וחזרת על קביעתה שהתוצר הסופי מהווה מדריך קצר ותמציתי בנושאים הלכתיים מוכרים וידועים, שהוא סוג חיבור שאינו נמנה על המחקרים בעלי חשיבות לאומית.  
לאור האמור לעיל, ערעור המכון נדחה.</t>
  </si>
  <si>
    <t>להלן החלטת הלשכה המשפטית (עו"ד גבריאל מאיר):
ע"פ פרוטוקול של ישיבת האספה הכללית של העמותה, שהתקיימה ב-5.2.2001 "הרב יגאל שפרן מעלה את ההצעה להוסיף למטרות העמותה את המשפט הבא: "ייזום, מחקר וניהול פעילויות, כולל פעילויות חינוכיות, אתיות, תורניות, רפואיות ומדעיות, במישרין ובעקיפין" והאספה אישרה את ההצעה פה אחד.
לפי החותמת שהמסמך נושא רשם העמותות אישר את עדכון מטרות עמותה ב-6.5.2001.
די בנוסח המטרה הנ"ל כדי לעמוד בסעיפים 4(4) למבחני התמיכה. (בסעיף 4(4) למבחני התמיכה נאמר: "בין מטרות המוסד, על פי מסמכי היסוד שלו לפי כל דין, לעסוק בתחומי המחקר התורני; התנאי האמור יתקיים במוסד לא יאוחר מיום 31 בדצמבר של שנת ההערכה"). אציין, שהפרקטיקה בהתייחס לבחינת העמידה בסעיף 4(4) למבחן היא להקל, בהינתן המגוון הגדול שקיים באופן ניסוח המטרה אצל העמותות.
לאור האמור, יש לקבל את השגת העמותה ולאשר לו תמיכה בהתאם למבחני התמיכה ולמודל חלוקת תמיכה ל-2024, ובלבד שהיא עומדת בכל יתר התנאים לקבלת תמיכה לפי המבחן.
להלן התייחסות הועדה המייעצת:
מומלץ לתמיכה ע"פ סעיפים 4(1)א, ב, ג ו - 9 (הוראת שעה 2024) למבחני התמיכה.
המכון עוסק במחקר וההדרה בעלי חשיבות לאומית של חיבורים תורניים קלאסיים, בפרט של רבני רומניה והאזור, על פי כתבי יד ודפוסים ישנים, כולל מנגנון של זיהוי ופיענוח כתבי יד והוספת הערות, מקורות, מבואות היסטוריים ותורניים, נספחים ומפתחות.
שני הפרסומים שהוכרו לצורך מעבר תנאי סף 4(5): משנת הרב"ז (יצא לאור ב 4/23); מפי גאולים א (יצא לאור ב 9/23).
ניקוד משתנה 'איכות המחקרים' (8 נק') ניתן בשים לב לרמת המחקר הטובה; ניקוד משתנה 'חשיבות המחקרים' (8 נק') ניתן לפי קטגורית 'חשיבות נאותה', בשים לב למחקרים פורצי הדרך בנושאים אקטואליים חשובים (מדע והלכה).
ניקוד משתנה 'היקף המחקר' (6 נק') הולם את שני המחקרים במכון בשנת ההערכה, בשים לב להיותם בעיקר דרשות והגהות; ניקוד משתנה 'מספר הפרסומים' (6 נק') נוקד בהתאם למספר הפרסומים והיישומים שיצאו לאור בשנת ההערכה, בשים לב לייחודיותם.
עזרי מחקר שנוקדו: (6 נק') עבור מבנה ייעודי, מאגר כתבי יד, 4 מכשירי ברקו להקרנה בו זמנית עבור מפגשי מדענים ורבנים.
מהדורות אלקטרוניות (בנוסף למודפסות) המופצות חינם: לא נוקדו, בהעדר כאלה בשנת ההערכה (אוצר החכמה אינו מהווה מהדורה דיגיטלית המופצת חינם).
הערות:
א)	גוף זה לא נתמך בשנים 2022 ו 2023 ע"י המחלקה למחקר תורני, ולפיכך נבחן כ'גוף חדש' ע"פ הוראת השעה לשנת 2024.
ב)	ההשגה נדונה ע"י שני חברי הועדה המייעצת במקום שלושה; ליתר ביטחון, חבר הועדה השלישי לא השתתף בדיון, מפאת חשש לאפשרות של ניגוד עניינים.</t>
  </si>
  <si>
    <t>המוסד הגיש ערעור על החלטת ועדת התמיכות, אשר הובאה לדיון בפני הועדה המייעצת.
המוסד מערער אודות אי הכרה כבעלי חשיבות לאומית בשלושת הספרים שהגיש במסגרת בקשת התמיכה, דבר שמנע ממנו מלעמוד בתנאי הסף הדורש שני פרסומים בעלי חשיבות לאומית: 'אהלי שם' שמהווה לטענת המכון ספר משמעותי ומפורט, הכולל גם מאמרי הגות; 'עוז לעמו ויקרא' שיש בו מעבר לדרשות של רב מקומי השקפת עולם ומטען רוחני רב ערך; מאגר מקור משותף שעשוי לשמש את הציבור הרחב כמאגר מידע חשוב.
הועדה המייעצת עיינה במכתב הערעור שהוגש לפניה והחליטה כי אין מקום לשנות את המלצתה הקודמת, כדלקמן:
הספר 'אהלי שם' הינו ספר הלכות מועדים ועוסק בדברים המצויים, ואינו חיבור משמעותי וחדשני.
הספר 'עוז לעמו' הוא חיבור דרשות שבדרך כלל אינו מאושר במסגרת מבחני התמיכה, למעט במקרים חריגים. הספר הנוכחי, עם כל חשיבותו, אינו נחשב כמחקר תורני מעמיק בעל חשיבות לאומית. 
מאגר המידע מהווה יוזמה יפה, אך  נכון להיום מדובר במאגר דל למדי, שאינו יכול להיות מוכר כמחקר בעל חשיבות לאומית.
לאור האמור לעיל, ערעור המכון נדחה.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</si>
</sst>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 #,##0_ ;_ &quot;₪&quot;\ * \-#,##0_ ;_ &quot;₪&quot;\ * &quot;-&quot;_ ;_ @_ "/>
    <numFmt numFmtId="43" formatCode="_ * #,##0.00_ ;_ * \-#,##0.00_ ;_ * &quot;-&quot;??_ ;_ @_ "/>
    <numFmt numFmtId="164" formatCode="#,##0_ ;\-#,##0\ "/>
    <numFmt numFmtId="165" formatCode="_ * #,##0_ ;_ * \-#,##0_ ;_ * &quot;-&quot;??_ ;_ @_ "/>
    <numFmt numFmtId="166" formatCode="&quot;₪&quot;\ #,##0"/>
    <numFmt numFmtId="167" formatCode="[$₪-40D]\ #,##0"/>
    <numFmt numFmtId="168" formatCode="_ &quot;₪&quot;\ * #,##0_ ;_ &quot;₪&quot;\ * \-#,##0_ ;_ &quot;₪&quot;\ * &quot;-&quot;??_ ;_ @_ "/>
  </numFmts>
  <fonts count="88" x14ac:knownFonts="1">
    <font>
      <sz val="11"/>
      <color theme="1"/>
      <name val="Arial"/>
      <family val="2"/>
      <charset val="177"/>
      <scheme val="minor"/>
    </font>
    <font>
      <sz val="11"/>
      <color theme="1"/>
      <name val="Arial"/>
      <family val="2"/>
      <charset val="177"/>
      <scheme val="minor"/>
    </font>
    <font>
      <sz val="8"/>
      <color theme="1"/>
      <name val="Calibri"/>
      <family val="2"/>
    </font>
    <font>
      <b/>
      <sz val="14"/>
      <color theme="1"/>
      <name val="Calibri"/>
      <family val="2"/>
    </font>
    <font>
      <b/>
      <sz val="11"/>
      <color theme="1"/>
      <name val="Calibri"/>
      <family val="2"/>
    </font>
    <font>
      <b/>
      <sz val="12"/>
      <color theme="1"/>
      <name val="Calibri"/>
      <family val="2"/>
    </font>
    <font>
      <b/>
      <sz val="9"/>
      <color theme="1"/>
      <name val="Calibri"/>
      <family val="2"/>
    </font>
    <font>
      <sz val="11"/>
      <color theme="1"/>
      <name val="Calibri"/>
      <family val="2"/>
    </font>
    <font>
      <sz val="10"/>
      <name val="Arial"/>
      <family val="2"/>
    </font>
    <font>
      <sz val="10"/>
      <name val="Calibri"/>
      <family val="2"/>
    </font>
    <font>
      <sz val="12"/>
      <name val="Calibri"/>
      <family val="2"/>
    </font>
    <font>
      <sz val="10"/>
      <color theme="1"/>
      <name val="Calibri"/>
      <family val="2"/>
    </font>
    <font>
      <sz val="10"/>
      <color rgb="FFFF0000"/>
      <name val="Calibri"/>
      <family val="2"/>
    </font>
    <font>
      <sz val="12"/>
      <color rgb="FFFF0000"/>
      <name val="Calibri"/>
      <family val="2"/>
    </font>
    <font>
      <b/>
      <sz val="10"/>
      <name val="Calibri"/>
      <family val="2"/>
    </font>
    <font>
      <sz val="12"/>
      <color theme="1"/>
      <name val="Calibri"/>
      <family val="2"/>
    </font>
    <font>
      <b/>
      <sz val="11"/>
      <color theme="1"/>
      <name val="Arial"/>
      <family val="2"/>
      <charset val="177"/>
      <scheme val="minor"/>
    </font>
    <font>
      <b/>
      <sz val="8"/>
      <color theme="1"/>
      <name val="Calibri"/>
      <family val="2"/>
    </font>
    <font>
      <b/>
      <sz val="14"/>
      <name val="Calibri"/>
      <family val="2"/>
    </font>
    <font>
      <sz val="9"/>
      <color theme="1"/>
      <name val="Calibri"/>
      <family val="2"/>
    </font>
    <font>
      <b/>
      <sz val="11"/>
      <color theme="1"/>
      <name val="Calibri"/>
      <family val="2"/>
      <charset val="177"/>
    </font>
    <font>
      <b/>
      <sz val="9"/>
      <color rgb="FFFF0000"/>
      <name val="Calibri"/>
      <family val="2"/>
    </font>
    <font>
      <b/>
      <sz val="10"/>
      <color theme="1"/>
      <name val="Arial"/>
      <family val="2"/>
      <scheme val="minor"/>
    </font>
    <font>
      <sz val="11"/>
      <color theme="0" tint="-0.34998626667073579"/>
      <name val="Calibri"/>
      <family val="2"/>
    </font>
    <font>
      <sz val="11"/>
      <color theme="1" tint="0.499984740745262"/>
      <name val="Calibri"/>
      <family val="2"/>
    </font>
    <font>
      <b/>
      <sz val="11"/>
      <color theme="0" tint="-0.34998626667073579"/>
      <name val="Calibri"/>
      <family val="2"/>
      <charset val="177"/>
    </font>
    <font>
      <sz val="8"/>
      <name val="Calibri"/>
      <family val="2"/>
    </font>
    <font>
      <b/>
      <sz val="12"/>
      <name val="Calibri"/>
      <family val="2"/>
    </font>
    <font>
      <sz val="8"/>
      <color theme="0" tint="-0.34998626667073579"/>
      <name val="Calibri"/>
      <family val="2"/>
    </font>
    <font>
      <sz val="8"/>
      <color rgb="FFFF0000"/>
      <name val="Calibri"/>
      <family val="2"/>
    </font>
    <font>
      <sz val="11"/>
      <name val="Arial"/>
      <family val="2"/>
      <charset val="177"/>
      <scheme val="minor"/>
    </font>
    <font>
      <sz val="8"/>
      <color theme="1"/>
      <name val="Arial"/>
      <family val="2"/>
      <scheme val="minor"/>
    </font>
    <font>
      <sz val="8"/>
      <color theme="1"/>
      <name val="Arial"/>
      <family val="2"/>
      <charset val="177"/>
      <scheme val="minor"/>
    </font>
    <font>
      <sz val="11"/>
      <color theme="1"/>
      <name val="Arial"/>
      <family val="2"/>
      <scheme val="minor"/>
    </font>
    <font>
      <sz val="11"/>
      <color rgb="FF000000"/>
      <name val="Calibri"/>
      <family val="2"/>
    </font>
    <font>
      <u/>
      <sz val="10"/>
      <color theme="1"/>
      <name val="Calibri"/>
      <family val="2"/>
    </font>
    <font>
      <b/>
      <sz val="10"/>
      <color theme="1"/>
      <name val="Calibri"/>
      <family val="2"/>
    </font>
    <font>
      <b/>
      <u/>
      <sz val="10"/>
      <name val="Calibri"/>
      <family val="2"/>
    </font>
    <font>
      <sz val="10"/>
      <color theme="4" tint="-0.249977111117893"/>
      <name val="Calibri"/>
      <family val="2"/>
    </font>
    <font>
      <b/>
      <sz val="15"/>
      <color theme="1"/>
      <name val="Calibri"/>
      <family val="2"/>
    </font>
    <font>
      <b/>
      <sz val="15"/>
      <color rgb="FF9966FF"/>
      <name val="Calibri"/>
      <family val="2"/>
    </font>
    <font>
      <b/>
      <sz val="15"/>
      <color rgb="FF000000"/>
      <name val="Calibri"/>
      <family val="2"/>
    </font>
    <font>
      <b/>
      <sz val="18"/>
      <color theme="1"/>
      <name val="Calibri"/>
      <family val="2"/>
    </font>
    <font>
      <b/>
      <sz val="16"/>
      <color theme="1"/>
      <name val="Calibri"/>
      <family val="2"/>
    </font>
    <font>
      <b/>
      <sz val="16"/>
      <color rgb="FF000000"/>
      <name val="Calibri"/>
      <family val="2"/>
    </font>
    <font>
      <sz val="14"/>
      <color rgb="FF000000"/>
      <name val="Calibri"/>
      <family val="2"/>
    </font>
    <font>
      <sz val="14"/>
      <color theme="1"/>
      <name val="Calibri"/>
      <family val="2"/>
    </font>
    <font>
      <b/>
      <sz val="10"/>
      <color rgb="FFFF0000"/>
      <name val="Calibri"/>
      <family val="2"/>
    </font>
    <font>
      <b/>
      <sz val="14"/>
      <color rgb="FF000000"/>
      <name val="Calibri"/>
      <family val="2"/>
    </font>
    <font>
      <b/>
      <sz val="11.5"/>
      <color theme="1"/>
      <name val="Calibri"/>
      <family val="2"/>
    </font>
    <font>
      <sz val="11"/>
      <color rgb="FFFF0000"/>
      <name val="Arial"/>
      <family val="2"/>
      <charset val="177"/>
      <scheme val="minor"/>
    </font>
    <font>
      <sz val="8"/>
      <name val="Arial"/>
      <family val="2"/>
      <charset val="177"/>
      <scheme val="minor"/>
    </font>
    <font>
      <b/>
      <u/>
      <sz val="10"/>
      <color theme="1"/>
      <name val="Calibri"/>
      <family val="2"/>
    </font>
    <font>
      <b/>
      <sz val="20"/>
      <name val="Calibri"/>
      <family val="2"/>
    </font>
    <font>
      <sz val="12"/>
      <color theme="1"/>
      <name val="Arial"/>
      <family val="2"/>
      <charset val="177"/>
      <scheme val="minor"/>
    </font>
    <font>
      <sz val="12"/>
      <name val="Arial"/>
      <family val="2"/>
      <scheme val="minor"/>
    </font>
    <font>
      <b/>
      <sz val="12"/>
      <name val="Calibri"/>
      <family val="2"/>
      <charset val="177"/>
    </font>
    <font>
      <b/>
      <sz val="13"/>
      <name val="Calibri"/>
      <family val="2"/>
    </font>
    <font>
      <b/>
      <sz val="14"/>
      <color theme="1"/>
      <name val="Calibri"/>
      <family val="2"/>
      <charset val="177"/>
    </font>
    <font>
      <b/>
      <sz val="14"/>
      <color rgb="FFFF0000"/>
      <name val="Calibri"/>
      <family val="2"/>
    </font>
    <font>
      <b/>
      <sz val="15"/>
      <name val="Calibri"/>
      <family val="2"/>
    </font>
    <font>
      <sz val="14"/>
      <name val="Calibri"/>
      <family val="2"/>
    </font>
    <font>
      <sz val="14"/>
      <color rgb="FFFF0000"/>
      <name val="Calibri"/>
      <family val="2"/>
    </font>
    <font>
      <sz val="12"/>
      <color rgb="FF000000"/>
      <name val="Calibri"/>
      <family val="2"/>
    </font>
    <font>
      <b/>
      <sz val="20"/>
      <color theme="1"/>
      <name val="Calibri"/>
      <family val="2"/>
    </font>
    <font>
      <b/>
      <sz val="20"/>
      <color rgb="FF000000"/>
      <name val="Calibri"/>
      <family val="2"/>
    </font>
    <font>
      <b/>
      <sz val="20"/>
      <color rgb="FFFF0000"/>
      <name val="Calibri"/>
      <family val="2"/>
    </font>
    <font>
      <b/>
      <sz val="14"/>
      <color theme="1"/>
      <name val="Arial"/>
      <family val="2"/>
      <scheme val="minor"/>
    </font>
    <font>
      <b/>
      <sz val="14"/>
      <name val="Arial"/>
      <family val="2"/>
      <scheme val="minor"/>
    </font>
    <font>
      <sz val="12"/>
      <color theme="1"/>
      <name val="David"/>
      <family val="2"/>
      <charset val="177"/>
    </font>
    <font>
      <sz val="12"/>
      <color theme="1"/>
      <name val="David"/>
      <family val="2"/>
    </font>
    <font>
      <sz val="12"/>
      <color theme="1"/>
      <name val="Arial"/>
      <family val="2"/>
      <scheme val="minor"/>
    </font>
    <font>
      <b/>
      <sz val="12"/>
      <color theme="1"/>
      <name val="David"/>
      <family val="2"/>
    </font>
    <font>
      <b/>
      <sz val="12"/>
      <name val="David"/>
      <family val="2"/>
    </font>
    <font>
      <b/>
      <sz val="12"/>
      <color theme="1"/>
      <name val="Arial"/>
      <family val="2"/>
      <scheme val="minor"/>
    </font>
    <font>
      <b/>
      <sz val="14"/>
      <color theme="0"/>
      <name val="David"/>
      <family val="2"/>
    </font>
    <font>
      <sz val="10"/>
      <name val="Arial"/>
      <family val="2"/>
      <scheme val="minor"/>
    </font>
    <font>
      <sz val="12"/>
      <name val="David"/>
      <family val="2"/>
    </font>
    <font>
      <b/>
      <sz val="11"/>
      <name val="David"/>
      <family val="2"/>
    </font>
    <font>
      <b/>
      <sz val="12"/>
      <color theme="0"/>
      <name val="David"/>
      <family val="2"/>
    </font>
    <font>
      <b/>
      <sz val="12"/>
      <name val="Arial"/>
      <family val="2"/>
      <scheme val="minor"/>
    </font>
    <font>
      <sz val="10"/>
      <color rgb="FF000000"/>
      <name val="Arial"/>
      <family val="2"/>
    </font>
    <font>
      <b/>
      <sz val="12"/>
      <color rgb="FFFF0000"/>
      <name val="Arial"/>
      <family val="2"/>
      <scheme val="minor"/>
    </font>
    <font>
      <b/>
      <sz val="14"/>
      <color theme="0"/>
      <name val="Arial"/>
      <family val="2"/>
      <scheme val="minor"/>
    </font>
    <font>
      <b/>
      <sz val="10"/>
      <name val="Arial"/>
      <family val="2"/>
      <scheme val="minor"/>
    </font>
    <font>
      <sz val="8"/>
      <color rgb="FF000000"/>
      <name val="Calibri"/>
      <family val="2"/>
    </font>
    <font>
      <b/>
      <sz val="9"/>
      <color rgb="FF000000"/>
      <name val="Calibri"/>
      <family val="2"/>
    </font>
    <font>
      <b/>
      <u/>
      <sz val="12"/>
      <name val="Calibri"/>
      <family val="2"/>
    </font>
  </fonts>
  <fills count="16">
    <fill>
      <patternFill patternType="none"/>
    </fill>
    <fill>
      <patternFill patternType="gray125"/>
    </fill>
    <fill>
      <patternFill patternType="solid">
        <fgColor rgb="FFFFFF99"/>
        <bgColor indexed="64"/>
      </patternFill>
    </fill>
    <fill>
      <patternFill patternType="solid">
        <fgColor theme="9" tint="0.59999389629810485"/>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FFFFCC"/>
        <bgColor indexed="64"/>
      </patternFill>
    </fill>
    <fill>
      <patternFill patternType="solid">
        <fgColor rgb="FFFFCCCC"/>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7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auto="1"/>
      </top>
      <bottom/>
      <diagonal/>
    </border>
    <border>
      <left style="medium">
        <color indexed="64"/>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ck">
        <color indexed="64"/>
      </left>
      <right style="thin">
        <color indexed="64"/>
      </right>
      <top/>
      <bottom style="thin">
        <color indexed="64"/>
      </bottom>
      <diagonal/>
    </border>
  </borders>
  <cellStyleXfs count="22">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167" fontId="69" fillId="0" borderId="0"/>
    <xf numFmtId="167" fontId="8" fillId="0" borderId="0"/>
    <xf numFmtId="9" fontId="8" fillId="0" borderId="0" applyFont="0" applyFill="0" applyBorder="0" applyAlignment="0" applyProtection="0"/>
    <xf numFmtId="167" fontId="8" fillId="0" borderId="0"/>
    <xf numFmtId="43" fontId="69" fillId="0" borderId="0" applyFont="0" applyFill="0" applyBorder="0" applyAlignment="0" applyProtection="0"/>
    <xf numFmtId="9" fontId="69" fillId="0" borderId="0" applyFont="0" applyFill="0" applyBorder="0" applyAlignment="0" applyProtection="0"/>
    <xf numFmtId="43" fontId="8" fillId="0" borderId="0" applyFont="0" applyFill="0" applyBorder="0" applyAlignment="0" applyProtection="0"/>
    <xf numFmtId="0" fontId="69" fillId="0" borderId="0"/>
    <xf numFmtId="0" fontId="81" fillId="0" borderId="0"/>
    <xf numFmtId="0" fontId="69" fillId="0" borderId="0"/>
    <xf numFmtId="9" fontId="69" fillId="0" borderId="0" applyFont="0" applyFill="0" applyBorder="0" applyAlignment="0" applyProtection="0"/>
  </cellStyleXfs>
  <cellXfs count="387">
    <xf numFmtId="0" fontId="0" fillId="0" borderId="0" xfId="0"/>
    <xf numFmtId="0" fontId="0" fillId="0" borderId="0" xfId="0" applyFill="1" applyAlignment="1">
      <alignment horizontal="center" vertical="center"/>
    </xf>
    <xf numFmtId="0" fontId="7" fillId="0" borderId="0" xfId="0" applyFont="1"/>
    <xf numFmtId="0" fontId="0" fillId="0" borderId="0" xfId="0" applyAlignment="1">
      <alignment horizontal="center" vertical="center"/>
    </xf>
    <xf numFmtId="0" fontId="4" fillId="2" borderId="14" xfId="0" applyFont="1" applyFill="1" applyBorder="1" applyAlignment="1">
      <alignment horizontal="center" vertical="center" readingOrder="2"/>
    </xf>
    <xf numFmtId="0" fontId="4" fillId="2" borderId="2" xfId="0" applyFont="1" applyFill="1" applyBorder="1" applyAlignment="1">
      <alignment horizontal="center" vertical="center" readingOrder="2"/>
    </xf>
    <xf numFmtId="0" fontId="22" fillId="0" borderId="0" xfId="0" applyFont="1" applyAlignment="1">
      <alignment horizontal="center" vertical="center" wrapText="1"/>
    </xf>
    <xf numFmtId="0" fontId="22" fillId="0" borderId="0" xfId="0" applyFont="1" applyFill="1" applyAlignment="1">
      <alignment horizontal="center" vertical="center" wrapText="1"/>
    </xf>
    <xf numFmtId="0" fontId="0" fillId="0" borderId="0" xfId="0" applyFont="1" applyAlignment="1">
      <alignment horizontal="center" vertical="center"/>
    </xf>
    <xf numFmtId="0" fontId="0" fillId="0" borderId="36" xfId="0" applyBorder="1" applyAlignment="1">
      <alignment horizontal="center" vertical="center"/>
    </xf>
    <xf numFmtId="0" fontId="7" fillId="0" borderId="0" xfId="0" applyFont="1" applyAlignment="1">
      <alignment wrapText="1"/>
    </xf>
    <xf numFmtId="0" fontId="26" fillId="0" borderId="10" xfId="0" applyFont="1" applyFill="1" applyBorder="1" applyAlignment="1">
      <alignment horizontal="center" vertical="center" wrapText="1"/>
    </xf>
    <xf numFmtId="0" fontId="30" fillId="0" borderId="0" xfId="0" applyFont="1" applyFill="1" applyAlignment="1">
      <alignment horizontal="center" vertical="center"/>
    </xf>
    <xf numFmtId="0" fontId="0" fillId="0" borderId="0" xfId="0" applyBorder="1" applyAlignment="1">
      <alignment horizontal="center" vertical="center"/>
    </xf>
    <xf numFmtId="0" fontId="31" fillId="0" borderId="0" xfId="0" applyFont="1" applyAlignment="1">
      <alignment horizontal="center" vertical="center" wrapText="1"/>
    </xf>
    <xf numFmtId="0" fontId="16" fillId="0" borderId="0" xfId="0" applyFont="1" applyBorder="1" applyAlignment="1">
      <alignment horizontal="center" vertical="center"/>
    </xf>
    <xf numFmtId="0" fontId="32" fillId="0" borderId="0" xfId="0" applyFont="1" applyAlignment="1">
      <alignment horizontal="center" vertical="center" wrapText="1"/>
    </xf>
    <xf numFmtId="0" fontId="7" fillId="0" borderId="0" xfId="0" applyFont="1" applyAlignment="1">
      <alignment vertical="center"/>
    </xf>
    <xf numFmtId="0" fontId="7" fillId="0" borderId="0" xfId="0" applyFont="1" applyAlignment="1">
      <alignment wrapText="1" readingOrder="2"/>
    </xf>
    <xf numFmtId="165" fontId="2" fillId="0" borderId="0" xfId="1" applyNumberFormat="1" applyFont="1" applyFill="1" applyAlignment="1">
      <alignment horizontal="center" vertical="center"/>
    </xf>
    <xf numFmtId="0" fontId="11" fillId="0" borderId="0" xfId="0" applyFont="1" applyAlignment="1">
      <alignment vertical="center" wrapText="1"/>
    </xf>
    <xf numFmtId="0" fontId="39" fillId="0" borderId="0" xfId="0" applyFont="1" applyAlignment="1">
      <alignment vertical="center" wrapText="1"/>
    </xf>
    <xf numFmtId="0" fontId="42" fillId="0" borderId="0" xfId="0" applyFont="1" applyAlignment="1">
      <alignment horizontal="center" vertical="center"/>
    </xf>
    <xf numFmtId="0" fontId="43" fillId="0" borderId="0" xfId="0" applyFont="1"/>
    <xf numFmtId="0" fontId="43" fillId="0" borderId="0" xfId="0" applyFont="1" applyAlignment="1">
      <alignment horizontal="center" vertical="center" textRotation="90"/>
    </xf>
    <xf numFmtId="0" fontId="3" fillId="0" borderId="0" xfId="0" applyFont="1" applyAlignment="1">
      <alignment horizontal="center" vertical="center" textRotation="90"/>
    </xf>
    <xf numFmtId="0" fontId="2" fillId="0" borderId="0" xfId="0" applyFont="1" applyAlignment="1">
      <alignment horizontal="center" vertical="center"/>
    </xf>
    <xf numFmtId="0" fontId="4" fillId="2" borderId="14" xfId="0" applyFont="1" applyFill="1" applyBorder="1" applyAlignment="1">
      <alignment horizontal="center" vertical="center" wrapText="1" readingOrder="2"/>
    </xf>
    <xf numFmtId="0" fontId="27" fillId="0" borderId="31" xfId="0" applyFont="1" applyFill="1" applyBorder="1" applyAlignment="1">
      <alignment horizontal="center" vertical="center" wrapText="1"/>
    </xf>
    <xf numFmtId="0" fontId="54" fillId="0" borderId="0" xfId="0" applyFont="1" applyAlignment="1">
      <alignment horizontal="center" vertical="center"/>
    </xf>
    <xf numFmtId="0" fontId="55" fillId="0" borderId="0" xfId="0" applyFont="1" applyAlignment="1">
      <alignment horizontal="center" vertical="center"/>
    </xf>
    <xf numFmtId="0" fontId="56" fillId="0" borderId="31" xfId="0" applyFont="1" applyFill="1" applyBorder="1" applyAlignment="1">
      <alignment horizontal="center" vertical="center" wrapText="1"/>
    </xf>
    <xf numFmtId="0" fontId="17" fillId="2" borderId="1" xfId="0" applyFont="1" applyFill="1" applyBorder="1" applyAlignment="1">
      <alignment horizontal="center" vertical="center" wrapText="1" readingOrder="2"/>
    </xf>
    <xf numFmtId="0" fontId="36" fillId="2" borderId="1" xfId="0" applyFont="1" applyFill="1" applyBorder="1" applyAlignment="1">
      <alignment horizontal="center" vertical="center" wrapText="1"/>
    </xf>
    <xf numFmtId="0" fontId="36" fillId="2" borderId="52" xfId="0" applyFont="1" applyFill="1" applyBorder="1" applyAlignment="1">
      <alignment horizontal="center" vertical="center" wrapText="1"/>
    </xf>
    <xf numFmtId="0" fontId="23" fillId="2" borderId="53" xfId="0" applyFont="1" applyFill="1" applyBorder="1" applyAlignment="1">
      <alignment horizontal="center" vertical="center"/>
    </xf>
    <xf numFmtId="0" fontId="23" fillId="2" borderId="42" xfId="0" applyFont="1" applyFill="1" applyBorder="1" applyAlignment="1">
      <alignment horizontal="center" vertical="center"/>
    </xf>
    <xf numFmtId="0" fontId="18"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3" xfId="0" applyFont="1" applyFill="1" applyBorder="1" applyAlignment="1">
      <alignment horizontal="center" vertical="center"/>
    </xf>
    <xf numFmtId="0" fontId="6" fillId="2" borderId="2" xfId="0" applyFont="1" applyFill="1" applyBorder="1" applyAlignment="1">
      <alignment horizontal="center" vertical="center" wrapText="1"/>
    </xf>
    <xf numFmtId="0" fontId="27" fillId="3" borderId="15" xfId="0" applyFont="1" applyFill="1" applyBorder="1" applyAlignment="1">
      <alignment horizontal="center" vertical="center" readingOrder="2"/>
    </xf>
    <xf numFmtId="0" fontId="5" fillId="3" borderId="12" xfId="0" applyFont="1" applyFill="1" applyBorder="1" applyAlignment="1">
      <alignment horizontal="center" vertical="center" readingOrder="2"/>
    </xf>
    <xf numFmtId="0" fontId="5" fillId="3" borderId="16" xfId="0" applyFont="1" applyFill="1" applyBorder="1" applyAlignment="1">
      <alignment horizontal="center" vertical="center" readingOrder="2"/>
    </xf>
    <xf numFmtId="0" fontId="36"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36" fillId="3" borderId="12" xfId="0" applyFont="1" applyFill="1" applyBorder="1" applyAlignment="1">
      <alignment horizontal="center" vertical="center" wrapText="1"/>
    </xf>
    <xf numFmtId="0" fontId="23" fillId="3" borderId="42" xfId="0" applyFont="1" applyFill="1" applyBorder="1" applyAlignment="1">
      <alignment horizontal="center" vertical="center"/>
    </xf>
    <xf numFmtId="0" fontId="23" fillId="3" borderId="46" xfId="0" applyFont="1" applyFill="1" applyBorder="1" applyAlignment="1">
      <alignment horizontal="center" vertical="center"/>
    </xf>
    <xf numFmtId="0" fontId="23" fillId="3" borderId="1" xfId="0" applyFont="1" applyFill="1" applyBorder="1" applyAlignment="1">
      <alignment horizontal="center" vertical="center"/>
    </xf>
    <xf numFmtId="0" fontId="23" fillId="3" borderId="47" xfId="0" applyFont="1" applyFill="1" applyBorder="1" applyAlignment="1">
      <alignment horizontal="center" vertical="center"/>
    </xf>
    <xf numFmtId="0" fontId="5" fillId="6" borderId="1" xfId="0" applyFont="1" applyFill="1" applyBorder="1" applyAlignment="1">
      <alignment horizontal="center" vertical="center" wrapText="1"/>
    </xf>
    <xf numFmtId="0" fontId="4" fillId="6" borderId="1" xfId="0" applyFont="1" applyFill="1" applyBorder="1" applyAlignment="1">
      <alignment horizontal="center" vertical="center" readingOrder="2"/>
    </xf>
    <xf numFmtId="0" fontId="36" fillId="6" borderId="1" xfId="0" applyFont="1" applyFill="1" applyBorder="1" applyAlignment="1">
      <alignment horizontal="center" vertical="center" wrapText="1"/>
    </xf>
    <xf numFmtId="0" fontId="23" fillId="6" borderId="42" xfId="0" applyFont="1" applyFill="1" applyBorder="1" applyAlignment="1">
      <alignment horizontal="center" vertical="center"/>
    </xf>
    <xf numFmtId="0" fontId="57" fillId="2" borderId="34" xfId="6" applyFont="1" applyFill="1" applyBorder="1" applyAlignment="1">
      <alignment horizontal="center" vertical="center"/>
    </xf>
    <xf numFmtId="0" fontId="57" fillId="2" borderId="34" xfId="6"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13" fillId="0" borderId="34" xfId="0" applyFont="1" applyFill="1" applyBorder="1" applyAlignment="1">
      <alignment horizontal="center" vertical="center"/>
    </xf>
    <xf numFmtId="0" fontId="13" fillId="0" borderId="34" xfId="0" applyFont="1" applyFill="1" applyBorder="1" applyAlignment="1">
      <alignment horizontal="center" vertical="center" wrapText="1"/>
    </xf>
    <xf numFmtId="0" fontId="10" fillId="0" borderId="34" xfId="0" applyFont="1" applyFill="1" applyBorder="1" applyAlignment="1">
      <alignment horizontal="center" vertical="center"/>
    </xf>
    <xf numFmtId="0" fontId="9" fillId="0" borderId="50" xfId="0" applyFont="1" applyFill="1" applyBorder="1" applyAlignment="1">
      <alignment horizontal="right" vertical="center" wrapText="1"/>
    </xf>
    <xf numFmtId="0" fontId="9" fillId="0" borderId="10" xfId="0" applyFont="1" applyFill="1" applyBorder="1" applyAlignment="1">
      <alignment horizontal="right" vertical="center" wrapText="1"/>
    </xf>
    <xf numFmtId="0" fontId="9" fillId="0" borderId="10" xfId="0" applyFont="1" applyFill="1" applyBorder="1" applyAlignment="1">
      <alignment horizontal="right" vertical="center" wrapText="1" readingOrder="2"/>
    </xf>
    <xf numFmtId="0" fontId="9" fillId="0" borderId="10" xfId="0" applyFont="1" applyFill="1" applyBorder="1" applyAlignment="1">
      <alignment horizontal="center" vertical="center" wrapText="1"/>
    </xf>
    <xf numFmtId="0" fontId="3" fillId="2" borderId="34" xfId="0" applyFont="1" applyFill="1" applyBorder="1" applyAlignment="1">
      <alignment horizontal="center" vertical="center"/>
    </xf>
    <xf numFmtId="0" fontId="59" fillId="2" borderId="34" xfId="0" applyFont="1" applyFill="1" applyBorder="1" applyAlignment="1">
      <alignment horizontal="center" vertical="center"/>
    </xf>
    <xf numFmtId="0" fontId="18" fillId="2" borderId="34" xfId="0" applyFont="1" applyFill="1" applyBorder="1" applyAlignment="1">
      <alignment horizontal="center" vertical="center"/>
    </xf>
    <xf numFmtId="0" fontId="59" fillId="2" borderId="25" xfId="0" applyFont="1" applyFill="1" applyBorder="1" applyAlignment="1">
      <alignment horizontal="center" vertical="center"/>
    </xf>
    <xf numFmtId="0" fontId="57" fillId="2" borderId="18" xfId="6" applyFont="1" applyFill="1" applyBorder="1" applyAlignment="1">
      <alignment horizontal="center" vertical="center"/>
    </xf>
    <xf numFmtId="0" fontId="57" fillId="2" borderId="25" xfId="6" applyFont="1" applyFill="1" applyBorder="1" applyAlignment="1">
      <alignment horizontal="center" vertical="center"/>
    </xf>
    <xf numFmtId="0" fontId="10"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2" fillId="0" borderId="0" xfId="0" applyFont="1" applyFill="1" applyBorder="1" applyAlignment="1">
      <alignment horizontal="right" vertical="center" wrapText="1"/>
    </xf>
    <xf numFmtId="0" fontId="20" fillId="0" borderId="0" xfId="0" applyFont="1" applyFill="1" applyBorder="1" applyAlignment="1">
      <alignment horizontal="center" vertical="center"/>
    </xf>
    <xf numFmtId="0" fontId="10" fillId="0" borderId="25" xfId="0" applyFont="1" applyFill="1" applyBorder="1" applyAlignment="1">
      <alignment horizontal="center" vertical="center" wrapText="1"/>
    </xf>
    <xf numFmtId="0" fontId="61" fillId="0" borderId="9" xfId="0" applyFont="1" applyFill="1" applyBorder="1" applyAlignment="1">
      <alignment horizontal="center" vertical="center"/>
    </xf>
    <xf numFmtId="0" fontId="61" fillId="0" borderId="8" xfId="0" applyFont="1" applyFill="1" applyBorder="1" applyAlignment="1">
      <alignment horizontal="center" vertical="center" wrapText="1"/>
    </xf>
    <xf numFmtId="0" fontId="46" fillId="0" borderId="8" xfId="0" applyNumberFormat="1" applyFont="1" applyFill="1" applyBorder="1" applyAlignment="1">
      <alignment horizontal="center" vertical="center"/>
    </xf>
    <xf numFmtId="0" fontId="46" fillId="0" borderId="50" xfId="0" applyFont="1" applyFill="1" applyBorder="1" applyAlignment="1">
      <alignment horizontal="center" vertical="center"/>
    </xf>
    <xf numFmtId="0" fontId="61" fillId="0" borderId="11" xfId="0" applyFont="1" applyFill="1" applyBorder="1" applyAlignment="1">
      <alignment horizontal="center" vertical="center"/>
    </xf>
    <xf numFmtId="0" fontId="61" fillId="0" borderId="3" xfId="0" applyFont="1" applyFill="1" applyBorder="1" applyAlignment="1">
      <alignment horizontal="center" vertical="center" wrapText="1"/>
    </xf>
    <xf numFmtId="0" fontId="46" fillId="0" borderId="3" xfId="0" applyNumberFormat="1" applyFont="1" applyFill="1" applyBorder="1" applyAlignment="1">
      <alignment horizontal="center" vertical="center"/>
    </xf>
    <xf numFmtId="0" fontId="46" fillId="0" borderId="10" xfId="0" applyFont="1" applyFill="1" applyBorder="1" applyAlignment="1">
      <alignment horizontal="center" vertical="center"/>
    </xf>
    <xf numFmtId="0" fontId="62" fillId="0" borderId="11" xfId="0" applyFont="1" applyFill="1" applyBorder="1" applyAlignment="1">
      <alignment horizontal="center" vertical="center"/>
    </xf>
    <xf numFmtId="0" fontId="61" fillId="0" borderId="3" xfId="0" applyNumberFormat="1" applyFont="1" applyFill="1" applyBorder="1" applyAlignment="1">
      <alignment horizontal="center" vertical="center"/>
    </xf>
    <xf numFmtId="0" fontId="61" fillId="0" borderId="10" xfId="0" applyFont="1" applyFill="1" applyBorder="1" applyAlignment="1">
      <alignment horizontal="center" vertical="center"/>
    </xf>
    <xf numFmtId="0" fontId="61" fillId="0" borderId="34" xfId="0" applyFont="1" applyFill="1" applyBorder="1" applyAlignment="1">
      <alignment horizontal="center" vertical="center" wrapText="1"/>
    </xf>
    <xf numFmtId="49" fontId="46" fillId="0" borderId="10" xfId="0" applyNumberFormat="1" applyFont="1" applyFill="1" applyBorder="1" applyAlignment="1">
      <alignment horizontal="center" vertical="center"/>
    </xf>
    <xf numFmtId="0" fontId="62" fillId="0" borderId="10" xfId="0" applyFont="1" applyFill="1" applyBorder="1" applyAlignment="1">
      <alignment horizontal="center" vertical="center"/>
    </xf>
    <xf numFmtId="0" fontId="62" fillId="0" borderId="3" xfId="0" applyNumberFormat="1" applyFont="1" applyFill="1" applyBorder="1" applyAlignment="1">
      <alignment horizontal="center" vertical="center"/>
    </xf>
    <xf numFmtId="49" fontId="62" fillId="0" borderId="10" xfId="0" applyNumberFormat="1" applyFont="1" applyFill="1" applyBorder="1" applyAlignment="1">
      <alignment horizontal="center" vertical="center"/>
    </xf>
    <xf numFmtId="0" fontId="46" fillId="0" borderId="8" xfId="0" applyFont="1" applyFill="1" applyBorder="1" applyAlignment="1">
      <alignment horizontal="center" vertical="center"/>
    </xf>
    <xf numFmtId="0" fontId="62" fillId="0" borderId="32" xfId="0" applyFont="1" applyFill="1" applyBorder="1" applyAlignment="1">
      <alignment horizontal="center" vertical="center" wrapText="1"/>
    </xf>
    <xf numFmtId="0" fontId="62" fillId="0" borderId="34" xfId="0" applyFont="1" applyFill="1" applyBorder="1" applyAlignment="1">
      <alignment horizontal="center" vertical="center"/>
    </xf>
    <xf numFmtId="0" fontId="62" fillId="0" borderId="34" xfId="0" applyFont="1" applyFill="1" applyBorder="1" applyAlignment="1">
      <alignment horizontal="center" vertical="center" wrapText="1"/>
    </xf>
    <xf numFmtId="0" fontId="61" fillId="0" borderId="34" xfId="0" applyFont="1" applyFill="1" applyBorder="1" applyAlignment="1">
      <alignment horizontal="center" vertical="center"/>
    </xf>
    <xf numFmtId="0" fontId="61" fillId="0" borderId="8" xfId="0" applyFont="1" applyFill="1" applyBorder="1" applyAlignment="1">
      <alignment horizontal="center" vertical="center"/>
    </xf>
    <xf numFmtId="0" fontId="61" fillId="0" borderId="18" xfId="0" applyFont="1" applyFill="1" applyBorder="1" applyAlignment="1">
      <alignment horizontal="center" vertical="center"/>
    </xf>
    <xf numFmtId="0" fontId="46" fillId="0" borderId="3" xfId="0" applyFont="1" applyFill="1" applyBorder="1" applyAlignment="1">
      <alignment horizontal="center" vertical="center"/>
    </xf>
    <xf numFmtId="0" fontId="61" fillId="0" borderId="3" xfId="0" applyFont="1" applyFill="1" applyBorder="1" applyAlignment="1">
      <alignment horizontal="center" vertical="center"/>
    </xf>
    <xf numFmtId="0" fontId="46" fillId="0" borderId="35" xfId="0" applyFont="1" applyFill="1" applyBorder="1" applyAlignment="1">
      <alignment horizontal="center" vertical="center"/>
    </xf>
    <xf numFmtId="0" fontId="61" fillId="0" borderId="25" xfId="0" applyFont="1" applyFill="1" applyBorder="1" applyAlignment="1">
      <alignment horizontal="center" vertical="center"/>
    </xf>
    <xf numFmtId="0" fontId="61" fillId="0" borderId="35" xfId="0" applyFont="1" applyFill="1" applyBorder="1" applyAlignment="1">
      <alignment horizontal="center" vertical="center"/>
    </xf>
    <xf numFmtId="0" fontId="62" fillId="0" borderId="3" xfId="0" applyFont="1" applyFill="1" applyBorder="1" applyAlignment="1">
      <alignment horizontal="center" vertical="center"/>
    </xf>
    <xf numFmtId="0" fontId="62" fillId="0" borderId="9" xfId="0" applyFont="1" applyFill="1" applyBorder="1" applyAlignment="1">
      <alignment horizontal="center" vertical="center" wrapText="1"/>
    </xf>
    <xf numFmtId="0" fontId="61" fillId="0" borderId="9" xfId="0" applyFont="1" applyFill="1" applyBorder="1" applyAlignment="1">
      <alignment horizontal="center" vertical="center" wrapText="1"/>
    </xf>
    <xf numFmtId="0" fontId="46" fillId="0" borderId="3" xfId="0" applyFont="1" applyFill="1" applyBorder="1" applyAlignment="1">
      <alignment horizontal="center" vertical="center" wrapText="1"/>
    </xf>
    <xf numFmtId="0" fontId="62" fillId="0" borderId="3" xfId="0" applyFont="1" applyFill="1" applyBorder="1" applyAlignment="1">
      <alignment horizontal="center" vertical="center" wrapText="1"/>
    </xf>
    <xf numFmtId="0" fontId="46" fillId="0" borderId="11" xfId="0" applyFont="1" applyFill="1" applyBorder="1" applyAlignment="1">
      <alignment horizontal="center" vertical="center"/>
    </xf>
    <xf numFmtId="0" fontId="62" fillId="0" borderId="54" xfId="0" applyFont="1" applyFill="1" applyBorder="1" applyAlignment="1">
      <alignment horizontal="center" vertical="center" wrapText="1"/>
    </xf>
    <xf numFmtId="0" fontId="62" fillId="0" borderId="55"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61" fillId="0" borderId="19" xfId="0" applyFont="1" applyFill="1" applyBorder="1" applyAlignment="1">
      <alignment horizontal="center" vertical="center"/>
    </xf>
    <xf numFmtId="0" fontId="61" fillId="0" borderId="20" xfId="0" applyFont="1" applyFill="1" applyBorder="1" applyAlignment="1">
      <alignment horizontal="center" vertical="center" wrapText="1"/>
    </xf>
    <xf numFmtId="49" fontId="46" fillId="0" borderId="20" xfId="0" applyNumberFormat="1" applyFont="1" applyFill="1" applyBorder="1" applyAlignment="1">
      <alignment horizontal="center" vertical="center"/>
    </xf>
    <xf numFmtId="0" fontId="46" fillId="0" borderId="20" xfId="0" applyFont="1" applyFill="1" applyBorder="1" applyAlignment="1">
      <alignment horizontal="center" vertical="center"/>
    </xf>
    <xf numFmtId="0" fontId="46" fillId="0" borderId="23" xfId="0" applyFont="1" applyFill="1" applyBorder="1" applyAlignment="1">
      <alignment horizontal="center" vertical="center"/>
    </xf>
    <xf numFmtId="0" fontId="61" fillId="0" borderId="18" xfId="0" applyFont="1" applyFill="1" applyBorder="1" applyAlignment="1">
      <alignment horizontal="center" vertical="center" wrapText="1"/>
    </xf>
    <xf numFmtId="0" fontId="61" fillId="0" borderId="20" xfId="0" applyFont="1" applyFill="1" applyBorder="1" applyAlignment="1">
      <alignment horizontal="center" vertical="center"/>
    </xf>
    <xf numFmtId="0" fontId="46" fillId="0" borderId="21" xfId="0" applyFont="1" applyFill="1" applyBorder="1" applyAlignment="1">
      <alignment horizontal="center" vertical="center"/>
    </xf>
    <xf numFmtId="0" fontId="29" fillId="0" borderId="23" xfId="0" applyFont="1" applyFill="1" applyBorder="1" applyAlignment="1">
      <alignment horizontal="center" vertical="center" wrapText="1"/>
    </xf>
    <xf numFmtId="0" fontId="58" fillId="2" borderId="21" xfId="0" applyFont="1" applyFill="1" applyBorder="1" applyAlignment="1">
      <alignment horizontal="center" vertical="center"/>
    </xf>
    <xf numFmtId="0" fontId="58" fillId="2" borderId="35" xfId="0" applyFont="1" applyFill="1" applyBorder="1" applyAlignment="1">
      <alignment horizontal="center" vertical="center"/>
    </xf>
    <xf numFmtId="0" fontId="56" fillId="0" borderId="43" xfId="0" applyFont="1" applyFill="1" applyBorder="1" applyAlignment="1">
      <alignment horizontal="center" vertical="center" wrapText="1"/>
    </xf>
    <xf numFmtId="0" fontId="61" fillId="0" borderId="26" xfId="0" applyFont="1" applyFill="1" applyBorder="1" applyAlignment="1">
      <alignment horizontal="center" vertical="center"/>
    </xf>
    <xf numFmtId="0" fontId="61" fillId="0" borderId="27" xfId="0" applyFont="1" applyFill="1" applyBorder="1" applyAlignment="1">
      <alignment horizontal="center" vertical="center" wrapText="1"/>
    </xf>
    <xf numFmtId="0" fontId="46" fillId="0" borderId="27" xfId="0" applyNumberFormat="1" applyFont="1" applyFill="1" applyBorder="1" applyAlignment="1">
      <alignment horizontal="center" vertical="center"/>
    </xf>
    <xf numFmtId="0" fontId="46" fillId="0" borderId="30" xfId="0" applyFont="1" applyFill="1" applyBorder="1" applyAlignment="1">
      <alignment horizontal="center" vertical="center"/>
    </xf>
    <xf numFmtId="0" fontId="46" fillId="0" borderId="27" xfId="0" applyFont="1" applyFill="1" applyBorder="1" applyAlignment="1">
      <alignment horizontal="center" vertical="center"/>
    </xf>
    <xf numFmtId="0" fontId="61" fillId="0" borderId="27" xfId="0" applyFont="1" applyFill="1" applyBorder="1" applyAlignment="1">
      <alignment horizontal="center" vertical="center"/>
    </xf>
    <xf numFmtId="0" fontId="46" fillId="0" borderId="28" xfId="0" applyFont="1" applyFill="1" applyBorder="1" applyAlignment="1">
      <alignment horizontal="center" vertical="center"/>
    </xf>
    <xf numFmtId="0" fontId="26" fillId="0" borderId="30" xfId="0" applyFont="1" applyFill="1" applyBorder="1" applyAlignment="1">
      <alignment horizontal="center" vertical="center" wrapText="1"/>
    </xf>
    <xf numFmtId="0" fontId="58" fillId="2" borderId="28" xfId="0" applyFont="1" applyFill="1" applyBorder="1" applyAlignment="1">
      <alignment horizontal="center" vertical="center"/>
    </xf>
    <xf numFmtId="0" fontId="28" fillId="2" borderId="1" xfId="0" applyFont="1" applyFill="1" applyBorder="1" applyAlignment="1">
      <alignment horizontal="center" vertical="center" wrapText="1"/>
    </xf>
    <xf numFmtId="0" fontId="25" fillId="2" borderId="1" xfId="0" applyFont="1" applyFill="1" applyBorder="1" applyAlignment="1">
      <alignment horizontal="center" vertical="center"/>
    </xf>
    <xf numFmtId="1" fontId="64" fillId="3" borderId="32" xfId="0" applyNumberFormat="1" applyFont="1" applyFill="1" applyBorder="1" applyAlignment="1">
      <alignment horizontal="center" vertical="center"/>
    </xf>
    <xf numFmtId="1" fontId="64" fillId="3" borderId="34" xfId="0" applyNumberFormat="1" applyFont="1" applyFill="1" applyBorder="1" applyAlignment="1">
      <alignment horizontal="center" vertical="center"/>
    </xf>
    <xf numFmtId="1" fontId="64" fillId="3" borderId="34" xfId="0" applyNumberFormat="1" applyFont="1" applyFill="1" applyBorder="1" applyAlignment="1">
      <alignment horizontal="center" vertical="center" wrapText="1"/>
    </xf>
    <xf numFmtId="1" fontId="49" fillId="5" borderId="22" xfId="0" applyNumberFormat="1" applyFont="1" applyFill="1" applyBorder="1" applyAlignment="1" applyProtection="1">
      <alignment horizontal="center" vertical="center" wrapText="1"/>
      <protection locked="0"/>
    </xf>
    <xf numFmtId="1" fontId="49" fillId="5" borderId="20" xfId="0" applyNumberFormat="1" applyFont="1" applyFill="1" applyBorder="1" applyAlignment="1" applyProtection="1">
      <alignment horizontal="center" vertical="center" wrapText="1"/>
      <protection locked="0"/>
    </xf>
    <xf numFmtId="1" fontId="47" fillId="5" borderId="20" xfId="0" applyNumberFormat="1" applyFont="1" applyFill="1" applyBorder="1" applyAlignment="1" applyProtection="1">
      <alignment horizontal="center" vertical="center" wrapText="1"/>
      <protection locked="0"/>
    </xf>
    <xf numFmtId="1" fontId="21" fillId="5" borderId="20" xfId="0" applyNumberFormat="1" applyFont="1" applyFill="1" applyBorder="1" applyAlignment="1" applyProtection="1">
      <alignment horizontal="center" vertical="center" wrapText="1"/>
      <protection locked="0"/>
    </xf>
    <xf numFmtId="1" fontId="47" fillId="5" borderId="21" xfId="0" applyNumberFormat="1" applyFont="1" applyFill="1" applyBorder="1" applyAlignment="1" applyProtection="1">
      <alignment horizontal="center" vertical="center" wrapText="1"/>
      <protection locked="0"/>
    </xf>
    <xf numFmtId="1" fontId="67" fillId="9" borderId="22" xfId="9" applyNumberFormat="1" applyFont="1" applyFill="1" applyBorder="1" applyAlignment="1" applyProtection="1">
      <alignment horizontal="center" vertical="center" wrapText="1"/>
      <protection locked="0"/>
    </xf>
    <xf numFmtId="1" fontId="68" fillId="10" borderId="21" xfId="10" applyNumberFormat="1" applyFont="1" applyFill="1" applyBorder="1" applyAlignment="1" applyProtection="1">
      <alignment horizontal="center" vertical="center"/>
      <protection locked="0"/>
    </xf>
    <xf numFmtId="1" fontId="36" fillId="8" borderId="29" xfId="0" applyNumberFormat="1" applyFont="1" applyFill="1" applyBorder="1" applyAlignment="1" applyProtection="1">
      <alignment horizontal="center" vertical="center" wrapText="1" readingOrder="2"/>
      <protection locked="0"/>
    </xf>
    <xf numFmtId="1" fontId="36" fillId="8" borderId="27" xfId="0" applyNumberFormat="1" applyFont="1" applyFill="1" applyBorder="1" applyAlignment="1" applyProtection="1">
      <alignment horizontal="center" vertical="center" wrapText="1" readingOrder="2"/>
      <protection locked="0"/>
    </xf>
    <xf numFmtId="1" fontId="47" fillId="8" borderId="27" xfId="0" applyNumberFormat="1" applyFont="1" applyFill="1" applyBorder="1" applyAlignment="1" applyProtection="1">
      <alignment horizontal="center" vertical="center" wrapText="1" readingOrder="2"/>
      <protection locked="0"/>
    </xf>
    <xf numFmtId="1" fontId="47" fillId="8" borderId="28" xfId="0" applyNumberFormat="1" applyFont="1" applyFill="1" applyBorder="1" applyAlignment="1" applyProtection="1">
      <alignment horizontal="center" vertical="center" wrapText="1" readingOrder="2"/>
      <protection locked="0"/>
    </xf>
    <xf numFmtId="0" fontId="67" fillId="9" borderId="29" xfId="9" applyFont="1" applyFill="1" applyBorder="1" applyAlignment="1" applyProtection="1">
      <alignment horizontal="center" vertical="center" wrapText="1"/>
      <protection locked="0"/>
    </xf>
    <xf numFmtId="166" fontId="68" fillId="10" borderId="28" xfId="10" applyNumberFormat="1" applyFont="1" applyFill="1" applyBorder="1" applyAlignment="1" applyProtection="1">
      <alignment horizontal="center" vertical="center"/>
      <protection locked="0"/>
    </xf>
    <xf numFmtId="0" fontId="34" fillId="0" borderId="0" xfId="7" applyFont="1" applyAlignment="1" applyProtection="1">
      <alignment vertical="center"/>
      <protection locked="0"/>
    </xf>
    <xf numFmtId="0" fontId="44" fillId="0" borderId="7" xfId="7" applyFont="1" applyBorder="1" applyAlignment="1" applyProtection="1">
      <alignment horizontal="center" vertical="center"/>
      <protection locked="0"/>
    </xf>
    <xf numFmtId="0" fontId="44" fillId="0" borderId="8" xfId="7" applyFont="1" applyBorder="1" applyAlignment="1" applyProtection="1">
      <alignment horizontal="center" vertical="center" textRotation="90"/>
      <protection locked="0"/>
    </xf>
    <xf numFmtId="0" fontId="63" fillId="0" borderId="8" xfId="7" applyFont="1" applyBorder="1" applyAlignment="1" applyProtection="1">
      <alignment horizontal="center" vertical="center" textRotation="90"/>
      <protection locked="0"/>
    </xf>
    <xf numFmtId="0" fontId="63" fillId="0" borderId="50" xfId="7" applyFont="1" applyBorder="1" applyAlignment="1" applyProtection="1">
      <alignment horizontal="center" vertical="center" textRotation="90"/>
      <protection locked="0"/>
    </xf>
    <xf numFmtId="0" fontId="63" fillId="0" borderId="9" xfId="7" applyFont="1" applyBorder="1" applyAlignment="1" applyProtection="1">
      <alignment horizontal="center" vertical="center" textRotation="90"/>
      <protection locked="0"/>
    </xf>
    <xf numFmtId="0" fontId="45" fillId="0" borderId="8" xfId="7" applyFont="1" applyBorder="1" applyAlignment="1" applyProtection="1">
      <alignment horizontal="center" vertical="center" wrapText="1"/>
      <protection locked="0"/>
    </xf>
    <xf numFmtId="3" fontId="48" fillId="0" borderId="50" xfId="7" applyNumberFormat="1" applyFont="1" applyBorder="1" applyAlignment="1" applyProtection="1">
      <alignment horizontal="center" vertical="center" textRotation="90"/>
      <protection locked="0"/>
    </xf>
    <xf numFmtId="1" fontId="65" fillId="5" borderId="7" xfId="7" applyNumberFormat="1" applyFont="1" applyFill="1" applyBorder="1" applyAlignment="1" applyProtection="1">
      <alignment horizontal="center" vertical="center"/>
      <protection locked="0"/>
    </xf>
    <xf numFmtId="1" fontId="65" fillId="5" borderId="8" xfId="7" applyNumberFormat="1" applyFont="1" applyFill="1" applyBorder="1" applyAlignment="1" applyProtection="1">
      <alignment horizontal="center" vertical="center"/>
      <protection locked="0"/>
    </xf>
    <xf numFmtId="1" fontId="65" fillId="5" borderId="33" xfId="7" applyNumberFormat="1" applyFont="1" applyFill="1" applyBorder="1" applyAlignment="1" applyProtection="1">
      <alignment horizontal="center" vertical="center"/>
      <protection locked="0"/>
    </xf>
    <xf numFmtId="3" fontId="64" fillId="3" borderId="32" xfId="0" applyNumberFormat="1" applyFont="1" applyFill="1" applyBorder="1" applyAlignment="1">
      <alignment horizontal="center" vertical="center"/>
    </xf>
    <xf numFmtId="3" fontId="64" fillId="0" borderId="44" xfId="0" applyNumberFormat="1" applyFont="1" applyBorder="1" applyAlignment="1" applyProtection="1">
      <alignment horizontal="center" vertical="center"/>
      <protection locked="0"/>
    </xf>
    <xf numFmtId="0" fontId="9" fillId="0" borderId="45" xfId="0" applyFont="1" applyBorder="1" applyAlignment="1" applyProtection="1">
      <alignment vertical="center" wrapText="1"/>
      <protection locked="0"/>
    </xf>
    <xf numFmtId="0" fontId="34" fillId="0" borderId="0" xfId="7" applyFont="1" applyAlignment="1" applyProtection="1">
      <alignment vertical="top"/>
      <protection locked="0"/>
    </xf>
    <xf numFmtId="0" fontId="44" fillId="0" borderId="54" xfId="7" applyFont="1" applyBorder="1" applyAlignment="1" applyProtection="1">
      <alignment horizontal="center" vertical="center"/>
      <protection locked="0"/>
    </xf>
    <xf numFmtId="0" fontId="44" fillId="0" borderId="3" xfId="7" applyFont="1" applyBorder="1" applyAlignment="1" applyProtection="1">
      <alignment horizontal="center" vertical="center" textRotation="90"/>
      <protection locked="0"/>
    </xf>
    <xf numFmtId="0" fontId="63" fillId="0" borderId="3" xfId="7" applyFont="1" applyBorder="1" applyAlignment="1" applyProtection="1">
      <alignment horizontal="center" vertical="center" textRotation="90"/>
      <protection locked="0"/>
    </xf>
    <xf numFmtId="0" fontId="63" fillId="0" borderId="10" xfId="7" applyFont="1" applyBorder="1" applyAlignment="1" applyProtection="1">
      <alignment horizontal="center" vertical="center" textRotation="90"/>
      <protection locked="0"/>
    </xf>
    <xf numFmtId="0" fontId="41" fillId="7" borderId="34" xfId="7" applyFont="1" applyFill="1" applyBorder="1" applyAlignment="1" applyProtection="1">
      <alignment horizontal="center" vertical="center" wrapText="1"/>
      <protection locked="0"/>
    </xf>
    <xf numFmtId="0" fontId="63" fillId="0" borderId="11" xfId="7" applyFont="1" applyBorder="1" applyAlignment="1" applyProtection="1">
      <alignment horizontal="center" vertical="center" textRotation="90"/>
      <protection locked="0"/>
    </xf>
    <xf numFmtId="0" fontId="45" fillId="0" borderId="3" xfId="7" applyFont="1" applyBorder="1" applyAlignment="1" applyProtection="1">
      <alignment horizontal="center" vertical="center" wrapText="1"/>
      <protection locked="0"/>
    </xf>
    <xf numFmtId="3" fontId="48" fillId="0" borderId="10" xfId="7" applyNumberFormat="1" applyFont="1" applyBorder="1" applyAlignment="1" applyProtection="1">
      <alignment horizontal="center" vertical="center" textRotation="90"/>
      <protection locked="0"/>
    </xf>
    <xf numFmtId="1" fontId="65" fillId="5" borderId="54" xfId="7" applyNumberFormat="1" applyFont="1" applyFill="1" applyBorder="1" applyAlignment="1" applyProtection="1">
      <alignment horizontal="center" vertical="center"/>
      <protection locked="0"/>
    </xf>
    <xf numFmtId="1" fontId="65" fillId="5" borderId="3" xfId="7" applyNumberFormat="1" applyFont="1" applyFill="1" applyBorder="1" applyAlignment="1" applyProtection="1">
      <alignment horizontal="center" vertical="center"/>
      <protection locked="0"/>
    </xf>
    <xf numFmtId="1" fontId="65" fillId="5" borderId="35" xfId="7" applyNumberFormat="1" applyFont="1" applyFill="1" applyBorder="1" applyAlignment="1" applyProtection="1">
      <alignment horizontal="center" vertical="center"/>
      <protection locked="0"/>
    </xf>
    <xf numFmtId="3" fontId="64" fillId="0" borderId="55" xfId="0" applyNumberFormat="1" applyFont="1" applyBorder="1" applyAlignment="1" applyProtection="1">
      <alignment horizontal="center" vertical="center"/>
      <protection locked="0"/>
    </xf>
    <xf numFmtId="0" fontId="11" fillId="0" borderId="56" xfId="0" applyFont="1" applyBorder="1" applyAlignment="1" applyProtection="1">
      <alignment vertical="center" wrapText="1"/>
      <protection locked="0"/>
    </xf>
    <xf numFmtId="0" fontId="40" fillId="7" borderId="34" xfId="7" applyFont="1" applyFill="1" applyBorder="1" applyAlignment="1" applyProtection="1">
      <alignment horizontal="center" vertical="center" wrapText="1"/>
      <protection locked="0"/>
    </xf>
    <xf numFmtId="1" fontId="53" fillId="5" borderId="3" xfId="7" applyNumberFormat="1" applyFont="1" applyFill="1" applyBorder="1" applyAlignment="1" applyProtection="1">
      <alignment horizontal="center" vertical="center"/>
      <protection locked="0"/>
    </xf>
    <xf numFmtId="3" fontId="64" fillId="0" borderId="55" xfId="0" applyNumberFormat="1" applyFont="1" applyBorder="1" applyAlignment="1" applyProtection="1">
      <alignment horizontal="center" vertical="center" wrapText="1"/>
      <protection locked="0"/>
    </xf>
    <xf numFmtId="0" fontId="9" fillId="0" borderId="56" xfId="0" applyFont="1" applyBorder="1" applyAlignment="1" applyProtection="1">
      <alignment vertical="center" wrapText="1"/>
      <protection locked="0"/>
    </xf>
    <xf numFmtId="1" fontId="66" fillId="5" borderId="3" xfId="7" applyNumberFormat="1" applyFont="1" applyFill="1" applyBorder="1" applyAlignment="1" applyProtection="1">
      <alignment horizontal="center" vertical="center"/>
      <protection locked="0"/>
    </xf>
    <xf numFmtId="0" fontId="34" fillId="0" borderId="0" xfId="7" applyFont="1" applyAlignment="1" applyProtection="1">
      <alignment vertical="top" wrapText="1"/>
      <protection locked="0"/>
    </xf>
    <xf numFmtId="0" fontId="34" fillId="0" borderId="0" xfId="7" applyFont="1" applyAlignment="1" applyProtection="1">
      <alignment vertical="center" wrapText="1"/>
      <protection locked="0"/>
    </xf>
    <xf numFmtId="0" fontId="44" fillId="0" borderId="3" xfId="7" applyFont="1" applyBorder="1" applyAlignment="1" applyProtection="1">
      <alignment horizontal="center" vertical="center" textRotation="90" wrapText="1"/>
      <protection locked="0"/>
    </xf>
    <xf numFmtId="0" fontId="63" fillId="0" borderId="3" xfId="7" applyFont="1" applyBorder="1" applyAlignment="1" applyProtection="1">
      <alignment horizontal="center" vertical="center" textRotation="90" wrapText="1"/>
      <protection locked="0"/>
    </xf>
    <xf numFmtId="0" fontId="63" fillId="0" borderId="10" xfId="7" applyFont="1" applyBorder="1" applyAlignment="1" applyProtection="1">
      <alignment horizontal="center" vertical="center" textRotation="90" wrapText="1"/>
      <protection locked="0"/>
    </xf>
    <xf numFmtId="0" fontId="63" fillId="0" borderId="11" xfId="7" applyFont="1" applyBorder="1" applyAlignment="1" applyProtection="1">
      <alignment horizontal="center" vertical="center" textRotation="90" wrapText="1"/>
      <protection locked="0"/>
    </xf>
    <xf numFmtId="3" fontId="48" fillId="0" borderId="10" xfId="7" applyNumberFormat="1" applyFont="1" applyBorder="1" applyAlignment="1" applyProtection="1">
      <alignment horizontal="center" vertical="center" textRotation="90" wrapText="1"/>
      <protection locked="0"/>
    </xf>
    <xf numFmtId="1" fontId="65" fillId="5" borderId="54" xfId="7" applyNumberFormat="1" applyFont="1" applyFill="1" applyBorder="1" applyAlignment="1" applyProtection="1">
      <alignment horizontal="center" vertical="center" wrapText="1"/>
      <protection locked="0"/>
    </xf>
    <xf numFmtId="1" fontId="65" fillId="5" borderId="3" xfId="7" applyNumberFormat="1" applyFont="1" applyFill="1" applyBorder="1" applyAlignment="1" applyProtection="1">
      <alignment horizontal="center" vertical="center" wrapText="1"/>
      <protection locked="0"/>
    </xf>
    <xf numFmtId="1" fontId="65" fillId="5" borderId="35" xfId="7" applyNumberFormat="1" applyFont="1" applyFill="1" applyBorder="1" applyAlignment="1" applyProtection="1">
      <alignment horizontal="center" vertical="center" wrapText="1"/>
      <protection locked="0"/>
    </xf>
    <xf numFmtId="0" fontId="44" fillId="0" borderId="57" xfId="7" applyFont="1" applyBorder="1" applyAlignment="1" applyProtection="1">
      <alignment horizontal="center" vertical="center"/>
      <protection locked="0"/>
    </xf>
    <xf numFmtId="0" fontId="44" fillId="0" borderId="58" xfId="7" applyFont="1" applyBorder="1" applyAlignment="1" applyProtection="1">
      <alignment horizontal="center" vertical="center" textRotation="90"/>
      <protection locked="0"/>
    </xf>
    <xf numFmtId="0" fontId="63" fillId="0" borderId="58" xfId="7" applyFont="1" applyBorder="1" applyAlignment="1" applyProtection="1">
      <alignment horizontal="center" vertical="center" textRotation="90"/>
      <protection locked="0"/>
    </xf>
    <xf numFmtId="0" fontId="63" fillId="0" borderId="59" xfId="7" applyFont="1" applyBorder="1" applyAlignment="1" applyProtection="1">
      <alignment horizontal="center" vertical="center" textRotation="90"/>
      <protection locked="0"/>
    </xf>
    <xf numFmtId="0" fontId="41" fillId="7" borderId="60" xfId="7" applyFont="1" applyFill="1" applyBorder="1" applyAlignment="1" applyProtection="1">
      <alignment horizontal="center" vertical="center" wrapText="1"/>
      <protection locked="0"/>
    </xf>
    <xf numFmtId="0" fontId="63" fillId="0" borderId="61" xfId="7" applyFont="1" applyBorder="1" applyAlignment="1" applyProtection="1">
      <alignment horizontal="center" vertical="center" textRotation="90"/>
      <protection locked="0"/>
    </xf>
    <xf numFmtId="0" fontId="45" fillId="0" borderId="58" xfId="7" applyFont="1" applyBorder="1" applyAlignment="1" applyProtection="1">
      <alignment horizontal="center" vertical="center" wrapText="1"/>
      <protection locked="0"/>
    </xf>
    <xf numFmtId="3" fontId="48" fillId="0" borderId="59" xfId="7" applyNumberFormat="1" applyFont="1" applyBorder="1" applyAlignment="1" applyProtection="1">
      <alignment horizontal="center" vertical="center" textRotation="90"/>
      <protection locked="0"/>
    </xf>
    <xf numFmtId="1" fontId="65" fillId="5" borderId="57" xfId="7" applyNumberFormat="1" applyFont="1" applyFill="1" applyBorder="1" applyAlignment="1" applyProtection="1">
      <alignment horizontal="center" vertical="center"/>
      <protection locked="0"/>
    </xf>
    <xf numFmtId="1" fontId="65" fillId="5" borderId="58" xfId="7" applyNumberFormat="1" applyFont="1" applyFill="1" applyBorder="1" applyAlignment="1" applyProtection="1">
      <alignment horizontal="center" vertical="center"/>
      <protection locked="0"/>
    </xf>
    <xf numFmtId="1" fontId="65" fillId="5" borderId="62" xfId="7" applyNumberFormat="1" applyFont="1" applyFill="1" applyBorder="1" applyAlignment="1" applyProtection="1">
      <alignment horizontal="center" vertical="center"/>
      <protection locked="0"/>
    </xf>
    <xf numFmtId="1" fontId="64" fillId="3" borderId="60" xfId="0" applyNumberFormat="1" applyFont="1" applyFill="1" applyBorder="1" applyAlignment="1">
      <alignment horizontal="center" vertical="center"/>
    </xf>
    <xf numFmtId="3" fontId="64" fillId="3" borderId="63" xfId="0" applyNumberFormat="1" applyFont="1" applyFill="1" applyBorder="1" applyAlignment="1">
      <alignment horizontal="center" vertical="center"/>
    </xf>
    <xf numFmtId="3" fontId="64" fillId="0" borderId="64" xfId="0" applyNumberFormat="1" applyFont="1" applyBorder="1" applyAlignment="1" applyProtection="1">
      <alignment horizontal="center" vertical="center"/>
      <protection locked="0"/>
    </xf>
    <xf numFmtId="0" fontId="11" fillId="0" borderId="65" xfId="0" applyFont="1" applyBorder="1" applyAlignment="1" applyProtection="1">
      <alignment vertical="center" wrapText="1"/>
      <protection locked="0"/>
    </xf>
    <xf numFmtId="0" fontId="7" fillId="0" borderId="0" xfId="0" applyFont="1" applyProtection="1">
      <protection locked="0"/>
    </xf>
    <xf numFmtId="0" fontId="7" fillId="0" borderId="0" xfId="0" applyFont="1" applyAlignment="1" applyProtection="1">
      <alignment vertical="center"/>
      <protection locked="0"/>
    </xf>
    <xf numFmtId="0" fontId="43" fillId="0" borderId="4" xfId="0" applyFont="1" applyBorder="1" applyProtection="1">
      <protection locked="0"/>
    </xf>
    <xf numFmtId="0" fontId="43" fillId="0" borderId="5" xfId="0" applyFont="1" applyBorder="1" applyAlignment="1" applyProtection="1">
      <alignment horizontal="center" vertical="center" textRotation="90"/>
      <protection locked="0"/>
    </xf>
    <xf numFmtId="0" fontId="15" fillId="0" borderId="5" xfId="0" applyFont="1" applyBorder="1" applyAlignment="1" applyProtection="1">
      <alignment horizontal="center" vertical="center" textRotation="90"/>
      <protection locked="0"/>
    </xf>
    <xf numFmtId="0" fontId="39" fillId="0" borderId="5" xfId="0" applyFont="1" applyBorder="1" applyAlignment="1" applyProtection="1">
      <alignment vertical="center" wrapText="1"/>
      <protection locked="0"/>
    </xf>
    <xf numFmtId="0" fontId="46" fillId="0" borderId="5"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textRotation="90"/>
      <protection locked="0"/>
    </xf>
    <xf numFmtId="1" fontId="4" fillId="0" borderId="5" xfId="0" applyNumberFormat="1" applyFont="1" applyBorder="1" applyAlignment="1" applyProtection="1">
      <alignment horizontal="center" vertical="center"/>
      <protection locked="0"/>
    </xf>
    <xf numFmtId="3" fontId="64" fillId="0" borderId="5" xfId="0" applyNumberFormat="1" applyFont="1" applyBorder="1" applyAlignment="1">
      <alignment horizontal="center" vertical="center"/>
    </xf>
    <xf numFmtId="3" fontId="64" fillId="0" borderId="5" xfId="0" applyNumberFormat="1" applyFont="1" applyBorder="1" applyAlignment="1" applyProtection="1">
      <alignment horizontal="center" vertical="center"/>
      <protection locked="0"/>
    </xf>
    <xf numFmtId="0" fontId="11" fillId="0" borderId="6" xfId="0" applyFont="1" applyBorder="1" applyAlignment="1" applyProtection="1">
      <alignment vertical="center" wrapText="1"/>
      <protection locked="0"/>
    </xf>
    <xf numFmtId="0" fontId="15" fillId="0" borderId="0" xfId="0" applyFont="1" applyAlignment="1">
      <alignment horizontal="center" vertical="center" textRotation="90"/>
    </xf>
    <xf numFmtId="0" fontId="46" fillId="0" borderId="0" xfId="0" applyFont="1" applyAlignment="1">
      <alignment horizontal="center" vertical="center" wrapText="1"/>
    </xf>
    <xf numFmtId="1" fontId="4" fillId="0" borderId="0" xfId="0" applyNumberFormat="1" applyFont="1" applyAlignment="1">
      <alignment horizontal="center" vertical="center"/>
    </xf>
    <xf numFmtId="3" fontId="64" fillId="0" borderId="0" xfId="0" applyNumberFormat="1" applyFont="1" applyAlignment="1">
      <alignment horizontal="center" vertical="center"/>
    </xf>
    <xf numFmtId="3" fontId="70" fillId="0" borderId="0" xfId="11" applyNumberFormat="1" applyFont="1"/>
    <xf numFmtId="1" fontId="67" fillId="9" borderId="22" xfId="9" applyNumberFormat="1" applyFont="1" applyFill="1" applyBorder="1" applyAlignment="1">
      <alignment horizontal="center" vertical="center" wrapText="1"/>
    </xf>
    <xf numFmtId="1" fontId="68" fillId="10" borderId="21" xfId="10" applyNumberFormat="1" applyFont="1" applyFill="1" applyBorder="1" applyAlignment="1">
      <alignment horizontal="center" vertical="center"/>
    </xf>
    <xf numFmtId="3" fontId="71" fillId="0" borderId="0" xfId="11" applyNumberFormat="1" applyFont="1"/>
    <xf numFmtId="0" fontId="67" fillId="9" borderId="29" xfId="9" applyFont="1" applyFill="1" applyBorder="1" applyAlignment="1">
      <alignment horizontal="center" vertical="center" wrapText="1"/>
    </xf>
    <xf numFmtId="166" fontId="68" fillId="10" borderId="28" xfId="10" applyNumberFormat="1" applyFont="1" applyFill="1" applyBorder="1" applyAlignment="1">
      <alignment horizontal="center" vertical="center"/>
    </xf>
    <xf numFmtId="3" fontId="72" fillId="0" borderId="0" xfId="11" applyNumberFormat="1" applyFont="1"/>
    <xf numFmtId="1" fontId="73" fillId="3" borderId="22" xfId="12" applyNumberFormat="1" applyFont="1" applyFill="1" applyBorder="1" applyAlignment="1">
      <alignment horizontal="right" vertical="center" wrapText="1"/>
    </xf>
    <xf numFmtId="9" fontId="73" fillId="7" borderId="48" xfId="13" applyFont="1" applyFill="1" applyBorder="1" applyAlignment="1" applyProtection="1">
      <alignment horizontal="center" vertical="center" wrapText="1"/>
      <protection locked="0"/>
    </xf>
    <xf numFmtId="3" fontId="74" fillId="0" borderId="0" xfId="11" applyNumberFormat="1" applyFont="1"/>
    <xf numFmtId="1" fontId="73" fillId="3" borderId="29" xfId="12" applyNumberFormat="1" applyFont="1" applyFill="1" applyBorder="1" applyAlignment="1">
      <alignment horizontal="right" vertical="center" wrapText="1"/>
    </xf>
    <xf numFmtId="9" fontId="73" fillId="7" borderId="49" xfId="13" applyFont="1" applyFill="1" applyBorder="1" applyAlignment="1" applyProtection="1">
      <alignment horizontal="center" vertical="center" wrapText="1"/>
    </xf>
    <xf numFmtId="3" fontId="75" fillId="11" borderId="13" xfId="11" applyNumberFormat="1" applyFont="1" applyFill="1" applyBorder="1" applyAlignment="1">
      <alignment horizontal="centerContinuous" vertical="center" wrapText="1"/>
    </xf>
    <xf numFmtId="3" fontId="75" fillId="11" borderId="14" xfId="11" applyNumberFormat="1" applyFont="1" applyFill="1" applyBorder="1" applyAlignment="1">
      <alignment horizontal="centerContinuous" vertical="center" wrapText="1"/>
    </xf>
    <xf numFmtId="3" fontId="75" fillId="11" borderId="2" xfId="11" applyNumberFormat="1" applyFont="1" applyFill="1" applyBorder="1" applyAlignment="1">
      <alignment horizontal="centerContinuous" vertical="center" wrapText="1"/>
    </xf>
    <xf numFmtId="3" fontId="72" fillId="9" borderId="20" xfId="11" applyNumberFormat="1" applyFont="1" applyFill="1" applyBorder="1" applyAlignment="1">
      <alignment horizontal="center" vertical="center" wrapText="1"/>
    </xf>
    <xf numFmtId="3" fontId="72" fillId="9" borderId="27" xfId="11" applyNumberFormat="1" applyFont="1" applyFill="1" applyBorder="1" applyAlignment="1">
      <alignment horizontal="center" vertical="center" wrapText="1"/>
    </xf>
    <xf numFmtId="3" fontId="76" fillId="0" borderId="0" xfId="12" applyNumberFormat="1" applyFont="1"/>
    <xf numFmtId="1" fontId="77" fillId="3" borderId="54" xfId="12" applyNumberFormat="1" applyFont="1" applyFill="1" applyBorder="1" applyAlignment="1">
      <alignment horizontal="center"/>
    </xf>
    <xf numFmtId="3" fontId="73" fillId="3" borderId="8" xfId="15" applyNumberFormat="1" applyFont="1" applyFill="1" applyBorder="1" applyAlignment="1" applyProtection="1">
      <alignment horizontal="center" vertical="center" readingOrder="2"/>
    </xf>
    <xf numFmtId="3" fontId="73" fillId="3" borderId="8" xfId="15" applyNumberFormat="1" applyFont="1" applyFill="1" applyBorder="1" applyAlignment="1" applyProtection="1">
      <alignment horizontal="center" vertical="center"/>
    </xf>
    <xf numFmtId="10" fontId="77" fillId="3" borderId="8" xfId="13" applyNumberFormat="1" applyFont="1" applyFill="1" applyBorder="1" applyAlignment="1" applyProtection="1">
      <alignment horizontal="center"/>
    </xf>
    <xf numFmtId="3" fontId="70" fillId="3" borderId="3" xfId="11" applyNumberFormat="1" applyFont="1" applyFill="1" applyBorder="1" applyAlignment="1">
      <alignment horizontal="center"/>
    </xf>
    <xf numFmtId="3" fontId="77" fillId="0" borderId="8" xfId="16" applyNumberFormat="1" applyFont="1" applyFill="1" applyBorder="1" applyAlignment="1" applyProtection="1">
      <alignment horizontal="center" vertical="center" readingOrder="1"/>
    </xf>
    <xf numFmtId="3" fontId="73" fillId="10" borderId="8" xfId="15" applyNumberFormat="1" applyFont="1" applyFill="1" applyBorder="1" applyAlignment="1" applyProtection="1">
      <alignment horizontal="center"/>
    </xf>
    <xf numFmtId="3" fontId="73" fillId="3" borderId="3" xfId="13" applyNumberFormat="1" applyFont="1" applyFill="1" applyBorder="1" applyAlignment="1" applyProtection="1">
      <alignment horizontal="center"/>
    </xf>
    <xf numFmtId="10" fontId="73" fillId="3" borderId="3" xfId="13" applyNumberFormat="1" applyFont="1" applyFill="1" applyBorder="1" applyAlignment="1" applyProtection="1">
      <alignment horizontal="center"/>
    </xf>
    <xf numFmtId="3" fontId="78" fillId="3" borderId="3" xfId="16" applyNumberFormat="1" applyFont="1" applyFill="1" applyBorder="1" applyAlignment="1" applyProtection="1">
      <alignment horizontal="center"/>
    </xf>
    <xf numFmtId="10" fontId="78" fillId="3" borderId="3" xfId="16" applyNumberFormat="1" applyFont="1" applyFill="1" applyBorder="1" applyAlignment="1" applyProtection="1">
      <alignment horizontal="center"/>
    </xf>
    <xf numFmtId="10" fontId="73" fillId="10" borderId="3" xfId="13" applyNumberFormat="1" applyFont="1" applyFill="1" applyBorder="1" applyAlignment="1" applyProtection="1">
      <alignment horizontal="center"/>
    </xf>
    <xf numFmtId="42" fontId="73" fillId="10" borderId="35" xfId="15" applyNumberFormat="1" applyFont="1" applyFill="1" applyBorder="1" applyAlignment="1" applyProtection="1">
      <alignment horizontal="center"/>
    </xf>
    <xf numFmtId="10" fontId="74" fillId="0" borderId="0" xfId="2" applyNumberFormat="1" applyFont="1"/>
    <xf numFmtId="1" fontId="77" fillId="3" borderId="57" xfId="12" applyNumberFormat="1" applyFont="1" applyFill="1" applyBorder="1" applyAlignment="1">
      <alignment horizontal="center"/>
    </xf>
    <xf numFmtId="3" fontId="73" fillId="10" borderId="68" xfId="15" applyNumberFormat="1" applyFont="1" applyFill="1" applyBorder="1" applyAlignment="1" applyProtection="1">
      <alignment horizontal="center"/>
    </xf>
    <xf numFmtId="3" fontId="73" fillId="3" borderId="58" xfId="13" applyNumberFormat="1" applyFont="1" applyFill="1" applyBorder="1" applyAlignment="1" applyProtection="1">
      <alignment horizontal="center"/>
    </xf>
    <xf numFmtId="10" fontId="73" fillId="3" borderId="58" xfId="13" applyNumberFormat="1" applyFont="1" applyFill="1" applyBorder="1" applyAlignment="1" applyProtection="1">
      <alignment horizontal="center"/>
    </xf>
    <xf numFmtId="3" fontId="78" fillId="3" borderId="58" xfId="16" applyNumberFormat="1" applyFont="1" applyFill="1" applyBorder="1" applyAlignment="1" applyProtection="1">
      <alignment horizontal="center"/>
    </xf>
    <xf numFmtId="10" fontId="78" fillId="3" borderId="58" xfId="16" applyNumberFormat="1" applyFont="1" applyFill="1" applyBorder="1" applyAlignment="1" applyProtection="1">
      <alignment horizontal="center"/>
    </xf>
    <xf numFmtId="10" fontId="73" fillId="10" borderId="58" xfId="13" applyNumberFormat="1" applyFont="1" applyFill="1" applyBorder="1" applyAlignment="1" applyProtection="1">
      <alignment horizontal="center"/>
    </xf>
    <xf numFmtId="42" fontId="73" fillId="10" borderId="62" xfId="15" applyNumberFormat="1" applyFont="1" applyFill="1" applyBorder="1" applyAlignment="1" applyProtection="1">
      <alignment horizontal="center"/>
    </xf>
    <xf numFmtId="3" fontId="73" fillId="12" borderId="37" xfId="13" applyNumberFormat="1" applyFont="1" applyFill="1" applyBorder="1" applyAlignment="1" applyProtection="1">
      <alignment horizontal="center" vertical="center"/>
    </xf>
    <xf numFmtId="9" fontId="73" fillId="12" borderId="37" xfId="13" applyFont="1" applyFill="1" applyBorder="1" applyAlignment="1" applyProtection="1">
      <alignment horizontal="center" vertical="center"/>
    </xf>
    <xf numFmtId="3" fontId="73" fillId="12" borderId="5" xfId="13" applyNumberFormat="1" applyFont="1" applyFill="1" applyBorder="1" applyAlignment="1" applyProtection="1">
      <alignment horizontal="center" vertical="center"/>
    </xf>
    <xf numFmtId="9" fontId="73" fillId="12" borderId="5" xfId="13" applyFont="1" applyFill="1" applyBorder="1" applyAlignment="1" applyProtection="1">
      <alignment horizontal="center" vertical="center"/>
    </xf>
    <xf numFmtId="9" fontId="73" fillId="12" borderId="5" xfId="16" applyFont="1" applyFill="1" applyBorder="1" applyAlignment="1" applyProtection="1">
      <alignment horizontal="center" vertical="center"/>
    </xf>
    <xf numFmtId="168" fontId="73" fillId="12" borderId="6" xfId="17" applyNumberFormat="1" applyFont="1" applyFill="1" applyBorder="1" applyAlignment="1" applyProtection="1">
      <alignment horizontal="center" vertical="center"/>
    </xf>
    <xf numFmtId="1" fontId="80" fillId="10" borderId="21" xfId="10" applyNumberFormat="1" applyFont="1" applyFill="1" applyBorder="1" applyAlignment="1">
      <alignment horizontal="center" vertical="center"/>
    </xf>
    <xf numFmtId="0" fontId="71" fillId="0" borderId="0" xfId="18" applyFont="1"/>
    <xf numFmtId="0" fontId="81" fillId="0" borderId="0" xfId="19"/>
    <xf numFmtId="166" fontId="80" fillId="10" borderId="28" xfId="10" applyNumberFormat="1" applyFont="1" applyFill="1" applyBorder="1" applyAlignment="1">
      <alignment horizontal="center" vertical="center"/>
    </xf>
    <xf numFmtId="0" fontId="83" fillId="11" borderId="20" xfId="18" applyFont="1" applyFill="1" applyBorder="1" applyAlignment="1">
      <alignment horizontal="center" vertical="center" wrapText="1"/>
    </xf>
    <xf numFmtId="0" fontId="74" fillId="9" borderId="23" xfId="20" applyFont="1" applyFill="1" applyBorder="1" applyAlignment="1">
      <alignment horizontal="center" vertical="center" wrapText="1"/>
    </xf>
    <xf numFmtId="0" fontId="74" fillId="0" borderId="0" xfId="18" applyFont="1"/>
    <xf numFmtId="0" fontId="74" fillId="4" borderId="27" xfId="18" applyFont="1" applyFill="1" applyBorder="1" applyAlignment="1">
      <alignment horizontal="center" vertical="center" wrapText="1"/>
    </xf>
    <xf numFmtId="0" fontId="74" fillId="9" borderId="30" xfId="20" applyFont="1" applyFill="1" applyBorder="1" applyAlignment="1">
      <alignment horizontal="center" vertical="center" wrapText="1"/>
    </xf>
    <xf numFmtId="1" fontId="80" fillId="3" borderId="69" xfId="10" applyNumberFormat="1" applyFont="1" applyFill="1" applyBorder="1" applyAlignment="1">
      <alignment horizontal="center"/>
    </xf>
    <xf numFmtId="1" fontId="80" fillId="3" borderId="8" xfId="10" applyNumberFormat="1" applyFont="1" applyFill="1" applyBorder="1" applyAlignment="1">
      <alignment horizontal="right"/>
    </xf>
    <xf numFmtId="166" fontId="55" fillId="13" borderId="8" xfId="13" applyNumberFormat="1" applyFont="1" applyFill="1" applyBorder="1" applyAlignment="1" applyProtection="1">
      <alignment horizontal="center"/>
    </xf>
    <xf numFmtId="0" fontId="55" fillId="3" borderId="8" xfId="13" applyNumberFormat="1" applyFont="1" applyFill="1" applyBorder="1" applyAlignment="1" applyProtection="1">
      <alignment horizontal="center"/>
    </xf>
    <xf numFmtId="0" fontId="80" fillId="3" borderId="8" xfId="21" applyNumberFormat="1" applyFont="1" applyFill="1" applyBorder="1" applyAlignment="1" applyProtection="1">
      <alignment horizontal="center"/>
    </xf>
    <xf numFmtId="166" fontId="80" fillId="3" borderId="8" xfId="21" applyNumberFormat="1" applyFont="1" applyFill="1" applyBorder="1" applyAlignment="1" applyProtection="1">
      <alignment horizontal="center"/>
    </xf>
    <xf numFmtId="166" fontId="80" fillId="10" borderId="8" xfId="10" applyNumberFormat="1" applyFont="1" applyFill="1" applyBorder="1" applyAlignment="1">
      <alignment horizontal="center"/>
    </xf>
    <xf numFmtId="10" fontId="80" fillId="10" borderId="8" xfId="13" applyNumberFormat="1" applyFont="1" applyFill="1" applyBorder="1" applyAlignment="1" applyProtection="1">
      <alignment horizontal="center"/>
    </xf>
    <xf numFmtId="0" fontId="84" fillId="0" borderId="0" xfId="10" applyFont="1"/>
    <xf numFmtId="3" fontId="68" fillId="14" borderId="5" xfId="10" applyNumberFormat="1" applyFont="1" applyFill="1" applyBorder="1" applyAlignment="1">
      <alignment horizontal="center" vertical="center"/>
    </xf>
    <xf numFmtId="9" fontId="68" fillId="14" borderId="5" xfId="21" applyFont="1" applyFill="1" applyBorder="1" applyAlignment="1">
      <alignment horizontal="center" vertical="center"/>
    </xf>
    <xf numFmtId="0" fontId="57" fillId="2" borderId="32" xfId="6" applyFont="1" applyFill="1" applyBorder="1" applyAlignment="1">
      <alignment horizontal="center" vertical="center"/>
    </xf>
    <xf numFmtId="0" fontId="10" fillId="0" borderId="32" xfId="0" applyFont="1" applyFill="1" applyBorder="1" applyAlignment="1">
      <alignment horizontal="center" vertical="center" wrapText="1"/>
    </xf>
    <xf numFmtId="0" fontId="59" fillId="2" borderId="32" xfId="0" applyFont="1" applyFill="1" applyBorder="1" applyAlignment="1">
      <alignment horizontal="center" vertical="center"/>
    </xf>
    <xf numFmtId="0" fontId="50" fillId="0" borderId="44" xfId="0" applyFont="1" applyFill="1" applyBorder="1" applyAlignment="1">
      <alignment horizontal="center" vertical="center"/>
    </xf>
    <xf numFmtId="0" fontId="5" fillId="2" borderId="14" xfId="0" applyFont="1" applyFill="1" applyBorder="1" applyAlignment="1">
      <alignment horizontal="center" vertical="center"/>
    </xf>
    <xf numFmtId="0" fontId="36" fillId="2" borderId="4"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3" fillId="2" borderId="4" xfId="0" applyFont="1" applyFill="1" applyBorder="1" applyAlignment="1">
      <alignment horizontal="center" vertical="center"/>
    </xf>
    <xf numFmtId="0" fontId="24"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85" fillId="2" borderId="6" xfId="0" applyFont="1" applyFill="1" applyBorder="1" applyAlignment="1">
      <alignment horizontal="center" vertical="center" wrapText="1"/>
    </xf>
    <xf numFmtId="0" fontId="57" fillId="2" borderId="32" xfId="6" applyFont="1" applyFill="1" applyBorder="1" applyAlignment="1">
      <alignment horizontal="center" vertical="center" wrapText="1"/>
    </xf>
    <xf numFmtId="0" fontId="27" fillId="2" borderId="34" xfId="6" applyFont="1" applyFill="1" applyBorder="1" applyAlignment="1">
      <alignment horizontal="center" vertical="center" wrapText="1"/>
    </xf>
    <xf numFmtId="0" fontId="57" fillId="2" borderId="25" xfId="6" applyFont="1" applyFill="1" applyBorder="1" applyAlignment="1">
      <alignment horizontal="center" vertical="center" wrapText="1"/>
    </xf>
    <xf numFmtId="0" fontId="11" fillId="0" borderId="45" xfId="0" applyFont="1" applyBorder="1" applyAlignment="1" applyProtection="1">
      <alignment vertical="center" wrapText="1"/>
      <protection locked="0"/>
    </xf>
    <xf numFmtId="0" fontId="11" fillId="0" borderId="34" xfId="0" applyFont="1" applyBorder="1" applyAlignment="1" applyProtection="1">
      <alignment vertical="center" wrapText="1"/>
      <protection locked="0"/>
    </xf>
    <xf numFmtId="0" fontId="9" fillId="0" borderId="34" xfId="0" applyFont="1" applyBorder="1" applyAlignment="1" applyProtection="1">
      <alignment horizontal="right" vertical="center" wrapText="1"/>
      <protection locked="0"/>
    </xf>
    <xf numFmtId="0" fontId="61" fillId="0" borderId="56" xfId="0" applyFont="1" applyFill="1" applyBorder="1" applyAlignment="1">
      <alignment horizontal="center" vertical="center" wrapText="1"/>
    </xf>
    <xf numFmtId="0" fontId="10" fillId="0" borderId="18" xfId="0" applyFont="1" applyFill="1" applyBorder="1" applyAlignment="1">
      <alignment horizontal="center" vertical="center"/>
    </xf>
    <xf numFmtId="0" fontId="9" fillId="0" borderId="0" xfId="0" applyFont="1" applyBorder="1" applyAlignment="1" applyProtection="1">
      <alignment vertical="center" wrapText="1"/>
      <protection locked="0"/>
    </xf>
    <xf numFmtId="0" fontId="11" fillId="0" borderId="0" xfId="0" applyFont="1" applyBorder="1" applyAlignment="1" applyProtection="1">
      <alignment vertical="center" wrapText="1"/>
      <protection locked="0"/>
    </xf>
    <xf numFmtId="0" fontId="9" fillId="0" borderId="0" xfId="0" applyFont="1" applyBorder="1" applyAlignment="1" applyProtection="1">
      <alignment horizontal="right" vertical="center" wrapText="1"/>
      <protection locked="0"/>
    </xf>
    <xf numFmtId="0" fontId="11" fillId="0" borderId="34" xfId="0" applyFont="1" applyFill="1" applyBorder="1" applyAlignment="1" applyProtection="1">
      <alignment vertical="center" wrapText="1"/>
      <protection locked="0"/>
    </xf>
    <xf numFmtId="0" fontId="11" fillId="15" borderId="0" xfId="0" applyFont="1" applyFill="1" applyBorder="1" applyAlignment="1" applyProtection="1">
      <alignment vertical="center" wrapText="1"/>
      <protection locked="0"/>
    </xf>
    <xf numFmtId="0" fontId="11" fillId="0" borderId="45" xfId="0" applyFont="1" applyFill="1" applyBorder="1" applyAlignment="1" applyProtection="1">
      <alignment vertical="center" wrapText="1"/>
      <protection locked="0"/>
    </xf>
    <xf numFmtId="0" fontId="64" fillId="7" borderId="18" xfId="0" applyFont="1" applyFill="1" applyBorder="1" applyAlignment="1" applyProtection="1">
      <alignment horizontal="center" vertical="center" wrapText="1"/>
      <protection locked="0"/>
    </xf>
    <xf numFmtId="0" fontId="64" fillId="7" borderId="25"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2" fillId="0" borderId="51" xfId="0" applyFont="1" applyBorder="1" applyAlignment="1" applyProtection="1">
      <alignment horizontal="center" vertical="center"/>
      <protection locked="0"/>
    </xf>
    <xf numFmtId="0" fontId="43" fillId="7" borderId="22" xfId="0" applyFont="1" applyFill="1" applyBorder="1" applyAlignment="1" applyProtection="1">
      <alignment horizontal="center" vertical="center" wrapText="1"/>
      <protection locked="0"/>
    </xf>
    <xf numFmtId="0" fontId="43" fillId="7" borderId="29" xfId="0" applyFont="1" applyFill="1" applyBorder="1" applyAlignment="1" applyProtection="1">
      <alignment horizontal="center" vertical="center" wrapText="1"/>
      <protection locked="0"/>
    </xf>
    <xf numFmtId="0" fontId="43" fillId="7" borderId="20" xfId="0" applyFont="1" applyFill="1" applyBorder="1" applyAlignment="1" applyProtection="1">
      <alignment horizontal="center" vertical="center" textRotation="90" wrapText="1"/>
      <protection locked="0"/>
    </xf>
    <xf numFmtId="0" fontId="43" fillId="7" borderId="27" xfId="0" applyFont="1" applyFill="1" applyBorder="1" applyAlignment="1" applyProtection="1">
      <alignment horizontal="center" vertical="center" textRotation="90" wrapText="1"/>
      <protection locked="0"/>
    </xf>
    <xf numFmtId="0" fontId="5" fillId="7" borderId="20" xfId="0" applyFont="1" applyFill="1" applyBorder="1" applyAlignment="1" applyProtection="1">
      <alignment horizontal="center" vertical="center" textRotation="90" wrapText="1"/>
      <protection locked="0"/>
    </xf>
    <xf numFmtId="0" fontId="5" fillId="7" borderId="27" xfId="0" applyFont="1" applyFill="1" applyBorder="1" applyAlignment="1" applyProtection="1">
      <alignment horizontal="center" vertical="center" textRotation="90" wrapText="1"/>
      <protection locked="0"/>
    </xf>
    <xf numFmtId="0" fontId="5" fillId="7" borderId="23" xfId="0" applyFont="1" applyFill="1" applyBorder="1" applyAlignment="1" applyProtection="1">
      <alignment horizontal="center" vertical="center" textRotation="90" wrapText="1"/>
      <protection locked="0"/>
    </xf>
    <xf numFmtId="0" fontId="5" fillId="7" borderId="30" xfId="0" applyFont="1" applyFill="1" applyBorder="1" applyAlignment="1" applyProtection="1">
      <alignment horizontal="center" vertical="center" textRotation="90" wrapText="1"/>
      <protection locked="0"/>
    </xf>
    <xf numFmtId="0" fontId="64" fillId="7" borderId="48" xfId="0" applyFont="1" applyFill="1" applyBorder="1" applyAlignment="1" applyProtection="1">
      <alignment horizontal="center" vertical="center" wrapText="1"/>
      <protection locked="0"/>
    </xf>
    <xf numFmtId="0" fontId="64" fillId="7" borderId="49" xfId="0" applyFont="1" applyFill="1" applyBorder="1" applyAlignment="1" applyProtection="1">
      <alignment horizontal="center" vertical="center" wrapText="1"/>
      <protection locked="0"/>
    </xf>
    <xf numFmtId="164" fontId="64" fillId="3" borderId="18" xfId="1" applyNumberFormat="1" applyFont="1" applyFill="1" applyBorder="1" applyAlignment="1" applyProtection="1">
      <alignment horizontal="center" vertical="center" wrapText="1"/>
      <protection locked="0"/>
    </xf>
    <xf numFmtId="164" fontId="64" fillId="3" borderId="25" xfId="1" applyNumberFormat="1" applyFont="1" applyFill="1" applyBorder="1" applyAlignment="1" applyProtection="1">
      <alignment horizontal="center" vertical="center" wrapText="1"/>
      <protection locked="0"/>
    </xf>
    <xf numFmtId="0" fontId="3" fillId="7" borderId="19" xfId="0" applyFont="1" applyFill="1" applyBorder="1" applyAlignment="1" applyProtection="1">
      <alignment horizontal="center" vertical="center" textRotation="90" wrapText="1"/>
      <protection locked="0"/>
    </xf>
    <xf numFmtId="0" fontId="3" fillId="7" borderId="26" xfId="0" applyFont="1" applyFill="1" applyBorder="1" applyAlignment="1" applyProtection="1">
      <alignment horizontal="center" vertical="center" textRotation="90" wrapText="1"/>
      <protection locked="0"/>
    </xf>
    <xf numFmtId="0" fontId="64" fillId="7" borderId="20" xfId="0" applyFont="1" applyFill="1" applyBorder="1" applyAlignment="1" applyProtection="1">
      <alignment horizontal="center" vertical="center" wrapText="1"/>
      <protection locked="0"/>
    </xf>
    <xf numFmtId="0" fontId="64" fillId="7" borderId="27" xfId="0" applyFont="1" applyFill="1" applyBorder="1" applyAlignment="1" applyProtection="1">
      <alignment horizontal="center" vertical="center" wrapText="1"/>
      <protection locked="0"/>
    </xf>
    <xf numFmtId="0" fontId="3" fillId="7" borderId="23" xfId="0" applyFont="1" applyFill="1" applyBorder="1" applyAlignment="1" applyProtection="1">
      <alignment horizontal="center" vertical="center" textRotation="90" wrapText="1"/>
      <protection locked="0"/>
    </xf>
    <xf numFmtId="0" fontId="3" fillId="7" borderId="30" xfId="0" applyFont="1" applyFill="1" applyBorder="1" applyAlignment="1" applyProtection="1">
      <alignment horizontal="center" vertical="center" textRotation="90" wrapText="1"/>
      <protection locked="0"/>
    </xf>
    <xf numFmtId="3" fontId="64" fillId="7" borderId="52" xfId="1" applyNumberFormat="1" applyFont="1" applyFill="1" applyBorder="1" applyAlignment="1" applyProtection="1">
      <alignment horizontal="center" vertical="center" wrapText="1"/>
      <protection locked="0"/>
    </xf>
    <xf numFmtId="3" fontId="64" fillId="7" borderId="53" xfId="1" applyNumberFormat="1" applyFont="1" applyFill="1" applyBorder="1" applyAlignment="1" applyProtection="1">
      <alignment horizontal="center" vertical="center" wrapText="1"/>
      <protection locked="0"/>
    </xf>
    <xf numFmtId="0" fontId="74" fillId="9" borderId="67" xfId="20" applyFont="1" applyFill="1" applyBorder="1" applyAlignment="1">
      <alignment horizontal="center" vertical="center" wrapText="1"/>
    </xf>
    <xf numFmtId="0" fontId="74" fillId="9" borderId="40" xfId="20" applyFont="1" applyFill="1" applyBorder="1" applyAlignment="1">
      <alignment horizontal="center" vertical="center" wrapText="1"/>
    </xf>
    <xf numFmtId="0" fontId="84" fillId="0" borderId="0" xfId="10" applyFont="1" applyAlignment="1">
      <alignment horizontal="center" wrapText="1"/>
    </xf>
    <xf numFmtId="0" fontId="81" fillId="0" borderId="0" xfId="19"/>
    <xf numFmtId="0" fontId="83" fillId="11" borderId="37" xfId="10" applyFont="1" applyFill="1" applyBorder="1" applyAlignment="1">
      <alignment horizontal="center"/>
    </xf>
    <xf numFmtId="0" fontId="82" fillId="0" borderId="0" xfId="18" applyFont="1" applyAlignment="1">
      <alignment horizontal="center"/>
    </xf>
    <xf numFmtId="0" fontId="83" fillId="11" borderId="13" xfId="18" applyFont="1" applyFill="1" applyBorder="1" applyAlignment="1">
      <alignment horizontal="center" vertical="center" wrapText="1"/>
    </xf>
    <xf numFmtId="0" fontId="83" fillId="11" borderId="14" xfId="18" applyFont="1" applyFill="1" applyBorder="1" applyAlignment="1">
      <alignment horizontal="center" vertical="center" wrapText="1"/>
    </xf>
    <xf numFmtId="0" fontId="83" fillId="11" borderId="2" xfId="18" applyFont="1" applyFill="1" applyBorder="1" applyAlignment="1">
      <alignment horizontal="center" vertical="center" wrapText="1"/>
    </xf>
    <xf numFmtId="0" fontId="74" fillId="9" borderId="38" xfId="20" applyFont="1" applyFill="1" applyBorder="1" applyAlignment="1">
      <alignment horizontal="center" vertical="center" wrapText="1"/>
    </xf>
    <xf numFmtId="0" fontId="74" fillId="9" borderId="39" xfId="20" applyFont="1" applyFill="1" applyBorder="1" applyAlignment="1">
      <alignment horizontal="center" vertical="center" wrapText="1"/>
    </xf>
    <xf numFmtId="0" fontId="74" fillId="9" borderId="66" xfId="9" applyFont="1" applyFill="1" applyBorder="1" applyAlignment="1">
      <alignment horizontal="center" vertical="center" wrapText="1"/>
    </xf>
    <xf numFmtId="0" fontId="74" fillId="9" borderId="41" xfId="9" applyFont="1" applyFill="1" applyBorder="1" applyAlignment="1">
      <alignment horizontal="center" vertical="center" wrapText="1"/>
    </xf>
    <xf numFmtId="0" fontId="74" fillId="9" borderId="66" xfId="20" applyFont="1" applyFill="1" applyBorder="1" applyAlignment="1">
      <alignment horizontal="center" vertical="center" wrapText="1"/>
    </xf>
    <xf numFmtId="0" fontId="74" fillId="9" borderId="41" xfId="20" applyFont="1" applyFill="1" applyBorder="1" applyAlignment="1">
      <alignment horizontal="center" vertical="center" wrapText="1"/>
    </xf>
    <xf numFmtId="3" fontId="72" fillId="9" borderId="66" xfId="11" applyNumberFormat="1" applyFont="1" applyFill="1" applyBorder="1" applyAlignment="1">
      <alignment horizontal="center" vertical="center" wrapText="1"/>
    </xf>
    <xf numFmtId="167" fontId="72" fillId="9" borderId="41" xfId="11" applyFont="1" applyFill="1" applyBorder="1" applyAlignment="1">
      <alignment horizontal="center" vertical="center" wrapText="1"/>
    </xf>
    <xf numFmtId="3" fontId="72" fillId="9" borderId="38" xfId="11" applyNumberFormat="1" applyFont="1" applyFill="1" applyBorder="1" applyAlignment="1">
      <alignment horizontal="center" vertical="center" wrapText="1"/>
    </xf>
    <xf numFmtId="167" fontId="72" fillId="9" borderId="39" xfId="11" applyFont="1" applyFill="1" applyBorder="1" applyAlignment="1">
      <alignment horizontal="center" vertical="center" wrapText="1"/>
    </xf>
    <xf numFmtId="3" fontId="72" fillId="9" borderId="66" xfId="14" applyNumberFormat="1" applyFont="1" applyFill="1" applyBorder="1" applyAlignment="1">
      <alignment horizontal="center" vertical="center" wrapText="1"/>
    </xf>
    <xf numFmtId="167" fontId="72" fillId="9" borderId="41" xfId="14" applyFont="1" applyFill="1" applyBorder="1" applyAlignment="1">
      <alignment horizontal="center" vertical="center" wrapText="1"/>
    </xf>
    <xf numFmtId="3" fontId="72" fillId="9" borderId="41" xfId="14" applyNumberFormat="1" applyFont="1" applyFill="1" applyBorder="1" applyAlignment="1">
      <alignment horizontal="center" vertical="center" wrapText="1"/>
    </xf>
    <xf numFmtId="3" fontId="72" fillId="9" borderId="41" xfId="11" applyNumberFormat="1" applyFont="1" applyFill="1" applyBorder="1" applyAlignment="1">
      <alignment horizontal="center" vertical="center" wrapText="1"/>
    </xf>
    <xf numFmtId="3" fontId="72" fillId="4" borderId="66" xfId="11" applyNumberFormat="1" applyFont="1" applyFill="1" applyBorder="1" applyAlignment="1">
      <alignment horizontal="center" vertical="center" wrapText="1"/>
    </xf>
    <xf numFmtId="167" fontId="72" fillId="4" borderId="41" xfId="11" applyFont="1" applyFill="1" applyBorder="1" applyAlignment="1">
      <alignment horizontal="center" vertical="center" wrapText="1"/>
    </xf>
    <xf numFmtId="3" fontId="72" fillId="9" borderId="67" xfId="11" applyNumberFormat="1" applyFont="1" applyFill="1" applyBorder="1" applyAlignment="1">
      <alignment horizontal="center" vertical="center" wrapText="1"/>
    </xf>
    <xf numFmtId="167" fontId="72" fillId="9" borderId="40" xfId="11" applyFont="1" applyFill="1" applyBorder="1" applyAlignment="1">
      <alignment horizontal="center" vertical="center" wrapText="1"/>
    </xf>
    <xf numFmtId="3" fontId="79" fillId="11" borderId="13" xfId="12" applyNumberFormat="1" applyFont="1" applyFill="1" applyBorder="1" applyAlignment="1">
      <alignment horizontal="center"/>
    </xf>
    <xf numFmtId="167" fontId="79" fillId="11" borderId="2" xfId="12" applyFont="1" applyFill="1" applyBorder="1" applyAlignment="1">
      <alignment horizontal="center"/>
    </xf>
    <xf numFmtId="0" fontId="60" fillId="3" borderId="13" xfId="0" applyFont="1" applyFill="1" applyBorder="1" applyAlignment="1">
      <alignment horizontal="center" vertical="center" wrapText="1"/>
    </xf>
    <xf numFmtId="0" fontId="60" fillId="3" borderId="14" xfId="0" applyFont="1" applyFill="1" applyBorder="1" applyAlignment="1">
      <alignment horizontal="center" vertical="center"/>
    </xf>
    <xf numFmtId="0" fontId="60" fillId="3" borderId="2" xfId="0" applyFont="1" applyFill="1" applyBorder="1" applyAlignment="1">
      <alignment horizontal="center" vertical="center"/>
    </xf>
    <xf numFmtId="0" fontId="27" fillId="2" borderId="17" xfId="0" applyFont="1" applyFill="1" applyBorder="1" applyAlignment="1">
      <alignment horizontal="center" vertical="center" wrapText="1"/>
    </xf>
    <xf numFmtId="0" fontId="27" fillId="2" borderId="24" xfId="0" applyFont="1" applyFill="1" applyBorder="1" applyAlignment="1">
      <alignment horizontal="center" vertical="center" wrapText="1"/>
    </xf>
    <xf numFmtId="0" fontId="18" fillId="2" borderId="18" xfId="6" applyFont="1" applyFill="1" applyBorder="1" applyAlignment="1">
      <alignment horizontal="center" vertical="center"/>
    </xf>
    <xf numFmtId="0" fontId="18" fillId="2" borderId="25" xfId="6" applyFont="1" applyFill="1" applyBorder="1" applyAlignment="1">
      <alignment horizontal="center" vertical="center"/>
    </xf>
    <xf numFmtId="0" fontId="53" fillId="2" borderId="13" xfId="6" applyFont="1" applyFill="1" applyBorder="1" applyAlignment="1">
      <alignment horizontal="center" vertical="center"/>
    </xf>
    <xf numFmtId="0" fontId="53" fillId="2" borderId="14" xfId="6" applyFont="1" applyFill="1" applyBorder="1" applyAlignment="1">
      <alignment horizontal="center" vertical="center"/>
    </xf>
    <xf numFmtId="0" fontId="53" fillId="2" borderId="12" xfId="6" applyFont="1" applyFill="1" applyBorder="1" applyAlignment="1">
      <alignment horizontal="center" vertical="center"/>
    </xf>
    <xf numFmtId="0" fontId="53" fillId="2" borderId="51" xfId="6" applyFont="1" applyFill="1" applyBorder="1" applyAlignment="1">
      <alignment horizontal="center" vertical="center"/>
    </xf>
    <xf numFmtId="0" fontId="53" fillId="2" borderId="46" xfId="6" applyFont="1" applyFill="1" applyBorder="1" applyAlignment="1">
      <alignment horizontal="center" vertical="center"/>
    </xf>
    <xf numFmtId="0" fontId="53" fillId="2" borderId="47" xfId="6" applyFont="1" applyFill="1" applyBorder="1" applyAlignment="1">
      <alignment horizontal="center" vertical="center"/>
    </xf>
    <xf numFmtId="0" fontId="18" fillId="2" borderId="18" xfId="6" applyFont="1" applyFill="1" applyBorder="1" applyAlignment="1">
      <alignment horizontal="center" vertical="center" wrapText="1"/>
    </xf>
    <xf numFmtId="0" fontId="18" fillId="2" borderId="25" xfId="6" applyFont="1" applyFill="1" applyBorder="1" applyAlignment="1">
      <alignment horizontal="center" vertical="center" wrapText="1"/>
    </xf>
  </cellXfs>
  <cellStyles count="22">
    <cellStyle name="Comma" xfId="1" builtinId="3"/>
    <cellStyle name="Comma 2 3" xfId="15" xr:uid="{D499F52C-027A-4A3C-8E38-D01F9861E5FD}"/>
    <cellStyle name="Comma 3" xfId="17" xr:uid="{58F26579-BA08-47FD-A21C-5D275570875C}"/>
    <cellStyle name="Normal" xfId="0" builtinId="0"/>
    <cellStyle name="Normal 2" xfId="5" xr:uid="{0728253F-5918-456D-AC7E-FCF46ED02366}"/>
    <cellStyle name="Normal 2 2" xfId="10" xr:uid="{4EC52932-DC1D-485F-B8AB-9730565C47D6}"/>
    <cellStyle name="Normal 2 2 2" xfId="12" xr:uid="{7978FBFA-C868-40C5-AAF2-C117808824A8}"/>
    <cellStyle name="Normal 2 3" xfId="19" xr:uid="{1ECE5B27-6CDE-4337-BDF1-6F79B384A591}"/>
    <cellStyle name="Normal 3" xfId="3" xr:uid="{F65B4018-3C69-4086-82DA-8ED0FEA92D94}"/>
    <cellStyle name="Normal 3 2" xfId="6" xr:uid="{D638C501-3005-459C-B8B8-4FB4F85BC6E5}"/>
    <cellStyle name="Normal 3 2 2 2" xfId="18" xr:uid="{DCEE9255-2BB5-4DAF-8494-EF85A573611D}"/>
    <cellStyle name="Normal 31" xfId="4" xr:uid="{F07E7590-CF6E-467B-A91C-44894DB357CB}"/>
    <cellStyle name="Normal 4" xfId="7" xr:uid="{D45782CF-DCB9-4462-9DB5-3A11D8D12402}"/>
    <cellStyle name="Normal 5 2" xfId="8" xr:uid="{8A342BFC-58D0-45BC-937A-1FF51A7129A8}"/>
    <cellStyle name="Normal 5 2 2 2" xfId="9" xr:uid="{EBF60B02-4747-4B4F-89A1-F44D98402335}"/>
    <cellStyle name="Normal 5 2 2 2 2" xfId="20" xr:uid="{60849496-AA7A-4534-8A77-7CA85D9CB907}"/>
    <cellStyle name="Normal 5 2 2 2 3" xfId="14" xr:uid="{86F9BB0F-B903-4F3E-9EE1-D8B37CA72D56}"/>
    <cellStyle name="Normal 5 5 2" xfId="11" xr:uid="{3CDBB6CB-E97C-4A66-875F-E6185453F2F4}"/>
    <cellStyle name="Percent" xfId="2" builtinId="5"/>
    <cellStyle name="Percent 2 2" xfId="13" xr:uid="{C19F364C-2B61-418D-9EB6-4055DEBBA14D}"/>
    <cellStyle name="Percent 2 3 2" xfId="21" xr:uid="{5EED0F4C-CB1A-4669-B55E-2A8AE967492E}"/>
    <cellStyle name="Percent 4 3" xfId="16" xr:uid="{E6A6CBE2-8CB5-4D6B-81BC-2A13D71A23DD}"/>
  </cellStyles>
  <dxfs count="10">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FFCC"/>
      <color rgb="FFFFCCCC"/>
      <color rgb="FFFFCCFF"/>
      <color rgb="FFFFFF99"/>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HON\&#1502;&#1497;&#1504;&#1492;&#1500;%20&#1514;&#1512;&#1489;&#1493;&#1514;\&#1502;&#1493;&#1505;&#1491;&#1493;&#1514;%20&#1502;&#1495;&#1511;&#1512;\2024\&#1502;&#1493;&#1491;&#1500;%20&#1502;&#1493;&#1505;&#1491;&#1493;&#1514;%20&#1502;&#1495;&#1511;&#1512;%204.12.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tectSettings"/>
      <sheetName val="הדרכה למשתמש"/>
      <sheetName val="הוראת מעבר"/>
      <sheetName val="פרמטרים לקריטריונים"/>
      <sheetName val="תנאי סף"/>
      <sheetName val="ריכוז ניקוד הגופים"/>
      <sheetName val="תחשיב פרסומים"/>
      <sheetName val="התחשיב הבסיסי"/>
      <sheetName val="פרמטרים לעקרונות חישוב התמיכה"/>
      <sheetName val="ייצוב"/>
      <sheetName val="הגנה"/>
      <sheetName val="סיכום"/>
      <sheetName val="הגבלות (1)"/>
      <sheetName val="קיזוזים בגין איחורים"/>
      <sheetName val="קיזוזים- החלטות ועדה"/>
      <sheetName val="הגבלות (2)"/>
      <sheetName val="סיכום לועדה- הזנת נתונים"/>
      <sheetName val="סיכום לועדה - תוצאות"/>
      <sheetName val="צומת"/>
      <sheetName val="מכון מש&quot;ה"/>
      <sheetName val="מוסד ביאליק"/>
      <sheetName val="כושרות"/>
      <sheetName val="וזאת לראיה"/>
      <sheetName val=" אלע&quot;ד"/>
      <sheetName val="שואה ואמונה"/>
      <sheetName val="מכון שוקן"/>
      <sheetName val="המכון לקידום תיאטרון יהודי"/>
      <sheetName val="10"/>
      <sheetName val="11"/>
      <sheetName val="12"/>
      <sheetName val="13"/>
      <sheetName val="14"/>
      <sheetName val="15"/>
    </sheetNames>
    <sheetDataSet>
      <sheetData sheetId="0" refreshError="1"/>
      <sheetData sheetId="1" refreshError="1"/>
      <sheetData sheetId="2" refreshError="1"/>
      <sheetData sheetId="3">
        <row r="12">
          <cell r="C12">
            <v>44197</v>
          </cell>
        </row>
      </sheetData>
      <sheetData sheetId="4"/>
      <sheetData sheetId="5" refreshError="1"/>
      <sheetData sheetId="6" refreshError="1"/>
      <sheetData sheetId="7" refreshError="1"/>
      <sheetData sheetId="8">
        <row r="21">
          <cell r="B21" t="str">
            <v>שיעור פיחות מירבי בתמיכה</v>
          </cell>
        </row>
      </sheetData>
      <sheetData sheetId="9">
        <row r="29">
          <cell r="F29" t="str">
            <v>סכום התמיכה במוסד בשנת 2023</v>
          </cell>
        </row>
      </sheetData>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EAEB6-F85F-4BE2-A8DF-10D84A780F07}">
  <sheetPr>
    <pageSetUpPr fitToPage="1"/>
  </sheetPr>
  <dimension ref="A1:AF68"/>
  <sheetViews>
    <sheetView rightToLeft="1" tabSelected="1" topLeftCell="B1" zoomScale="50" zoomScaleNormal="50" workbookViewId="0">
      <pane xSplit="6" ySplit="2" topLeftCell="H3" activePane="bottomRight" state="frozen"/>
      <selection activeCell="B1" sqref="B1"/>
      <selection pane="topRight" activeCell="H1" sqref="H1"/>
      <selection pane="bottomLeft" activeCell="B3" sqref="B3"/>
      <selection pane="bottomRight" activeCell="O4" sqref="O4"/>
    </sheetView>
  </sheetViews>
  <sheetFormatPr defaultColWidth="8.75" defaultRowHeight="26.25" x14ac:dyDescent="0.35"/>
  <cols>
    <col min="1" max="1" width="0" style="2" hidden="1" customWidth="1"/>
    <col min="2" max="2" width="4.875" style="17" customWidth="1"/>
    <col min="3" max="3" width="6.25" style="23" customWidth="1"/>
    <col min="4" max="4" width="8.75" style="24"/>
    <col min="5" max="5" width="5.625" style="223" customWidth="1"/>
    <col min="6" max="6" width="5.25" style="223" customWidth="1"/>
    <col min="7" max="7" width="28.5" style="21" customWidth="1"/>
    <col min="8" max="8" width="6" style="223" customWidth="1"/>
    <col min="9" max="9" width="21.625" style="224" customWidth="1"/>
    <col min="10" max="10" width="6.25" style="25" customWidth="1"/>
    <col min="11" max="11" width="12.75" style="225" customWidth="1"/>
    <col min="12" max="12" width="12.625" style="225" customWidth="1"/>
    <col min="13" max="13" width="12.875" style="225" customWidth="1"/>
    <col min="14" max="14" width="14.375" style="225" customWidth="1"/>
    <col min="15" max="15" width="8.75" style="225"/>
    <col min="16" max="16" width="10.5" style="225" customWidth="1"/>
    <col min="17" max="17" width="8.75" style="225"/>
    <col min="18" max="18" width="10" style="225" customWidth="1"/>
    <col min="19" max="20" width="8.75" style="225"/>
    <col min="21" max="21" width="11.375" style="22" customWidth="1"/>
    <col min="22" max="22" width="26.5" style="22" customWidth="1"/>
    <col min="23" max="23" width="18.25" style="226" customWidth="1"/>
    <col min="24" max="24" width="26.125" style="22" customWidth="1"/>
    <col min="25" max="26" width="115.5" style="20" customWidth="1"/>
    <col min="27" max="27" width="20.875" style="2" customWidth="1"/>
    <col min="28" max="28" width="20.375" style="2" customWidth="1"/>
    <col min="29" max="29" width="24.5" style="2" bestFit="1" customWidth="1"/>
    <col min="30" max="16384" width="8.75" style="2"/>
  </cols>
  <sheetData>
    <row r="1" spans="1:32" s="26" customFormat="1" ht="90.6" customHeight="1" x14ac:dyDescent="0.2">
      <c r="A1" s="321"/>
      <c r="B1" s="322"/>
      <c r="C1" s="323" t="s">
        <v>0</v>
      </c>
      <c r="D1" s="325" t="s">
        <v>1</v>
      </c>
      <c r="E1" s="327" t="s">
        <v>2</v>
      </c>
      <c r="F1" s="329" t="s">
        <v>3</v>
      </c>
      <c r="G1" s="319" t="s">
        <v>4</v>
      </c>
      <c r="H1" s="335" t="s">
        <v>5</v>
      </c>
      <c r="I1" s="337" t="s">
        <v>6</v>
      </c>
      <c r="J1" s="339" t="s">
        <v>7</v>
      </c>
      <c r="K1" s="140" t="s">
        <v>415</v>
      </c>
      <c r="L1" s="141" t="s">
        <v>414</v>
      </c>
      <c r="M1" s="141" t="s">
        <v>413</v>
      </c>
      <c r="N1" s="141" t="s">
        <v>416</v>
      </c>
      <c r="O1" s="142" t="s">
        <v>417</v>
      </c>
      <c r="P1" s="141" t="s">
        <v>418</v>
      </c>
      <c r="Q1" s="142" t="s">
        <v>419</v>
      </c>
      <c r="R1" s="141" t="s">
        <v>420</v>
      </c>
      <c r="S1" s="143" t="s">
        <v>421</v>
      </c>
      <c r="T1" s="144" t="s">
        <v>422</v>
      </c>
      <c r="U1" s="333" t="s">
        <v>187</v>
      </c>
      <c r="V1" s="333" t="s">
        <v>464</v>
      </c>
      <c r="W1" s="341" t="s">
        <v>463</v>
      </c>
      <c r="X1" s="333" t="s">
        <v>465</v>
      </c>
      <c r="Y1" s="331" t="s">
        <v>8</v>
      </c>
      <c r="Z1" s="331" t="s">
        <v>559</v>
      </c>
      <c r="AB1" s="145" t="s">
        <v>466</v>
      </c>
      <c r="AC1" s="146">
        <v>2024</v>
      </c>
      <c r="AD1" s="19"/>
      <c r="AE1" s="19"/>
      <c r="AF1" s="19"/>
    </row>
    <row r="2" spans="1:32" s="26" customFormat="1" ht="76.900000000000006" customHeight="1" thickBot="1" x14ac:dyDescent="0.25">
      <c r="A2" s="321"/>
      <c r="B2" s="322"/>
      <c r="C2" s="324"/>
      <c r="D2" s="326"/>
      <c r="E2" s="328"/>
      <c r="F2" s="330"/>
      <c r="G2" s="320"/>
      <c r="H2" s="336"/>
      <c r="I2" s="338"/>
      <c r="J2" s="340"/>
      <c r="K2" s="147" t="s">
        <v>408</v>
      </c>
      <c r="L2" s="148" t="s">
        <v>408</v>
      </c>
      <c r="M2" s="148" t="s">
        <v>409</v>
      </c>
      <c r="N2" s="148" t="s">
        <v>409</v>
      </c>
      <c r="O2" s="149" t="s">
        <v>408</v>
      </c>
      <c r="P2" s="148" t="s">
        <v>410</v>
      </c>
      <c r="Q2" s="149" t="s">
        <v>411</v>
      </c>
      <c r="R2" s="148" t="s">
        <v>412</v>
      </c>
      <c r="S2" s="149" t="s">
        <v>406</v>
      </c>
      <c r="T2" s="150" t="s">
        <v>407</v>
      </c>
      <c r="U2" s="334"/>
      <c r="V2" s="334"/>
      <c r="W2" s="342"/>
      <c r="X2" s="334"/>
      <c r="Y2" s="332"/>
      <c r="Z2" s="332" t="s">
        <v>8</v>
      </c>
      <c r="AB2" s="151" t="s">
        <v>467</v>
      </c>
      <c r="AC2" s="152">
        <f>17294511+3000000</f>
        <v>20294511</v>
      </c>
      <c r="AD2" s="19"/>
      <c r="AE2" s="19"/>
      <c r="AF2" s="19"/>
    </row>
    <row r="3" spans="1:32" s="17" customFormat="1" ht="141" customHeight="1" x14ac:dyDescent="0.2">
      <c r="A3" s="153" t="s">
        <v>155</v>
      </c>
      <c r="B3" s="153" t="s">
        <v>352</v>
      </c>
      <c r="C3" s="154">
        <v>1</v>
      </c>
      <c r="D3" s="155">
        <v>2024</v>
      </c>
      <c r="E3" s="156" t="s">
        <v>40</v>
      </c>
      <c r="F3" s="157" t="s">
        <v>41</v>
      </c>
      <c r="G3" s="172" t="s">
        <v>156</v>
      </c>
      <c r="H3" s="158" t="s">
        <v>198</v>
      </c>
      <c r="I3" s="159" t="s">
        <v>199</v>
      </c>
      <c r="J3" s="160">
        <v>510000</v>
      </c>
      <c r="K3" s="161">
        <v>10</v>
      </c>
      <c r="L3" s="162">
        <v>10</v>
      </c>
      <c r="M3" s="162">
        <v>12</v>
      </c>
      <c r="N3" s="162">
        <v>0</v>
      </c>
      <c r="O3" s="162"/>
      <c r="P3" s="162">
        <v>6</v>
      </c>
      <c r="Q3" s="162"/>
      <c r="R3" s="162">
        <v>0</v>
      </c>
      <c r="S3" s="162"/>
      <c r="T3" s="163"/>
      <c r="U3" s="137">
        <f t="shared" ref="U3:U34" si="0">SUM(K3:T3)</f>
        <v>38</v>
      </c>
      <c r="V3" s="164">
        <f>U3/$U$68*$AC$2</f>
        <v>267960.88186240447</v>
      </c>
      <c r="W3" s="165">
        <v>136571</v>
      </c>
      <c r="X3" s="164">
        <f>'הגבלה לסכום מבוקש'!U31</f>
        <v>264414.53424981504</v>
      </c>
      <c r="Y3" s="166" t="s">
        <v>353</v>
      </c>
      <c r="Z3" s="314"/>
    </row>
    <row r="4" spans="1:32" ht="202.5" customHeight="1" x14ac:dyDescent="0.25">
      <c r="A4" s="167" t="s">
        <v>155</v>
      </c>
      <c r="B4" s="153"/>
      <c r="C4" s="168">
        <v>2</v>
      </c>
      <c r="D4" s="169">
        <v>2024</v>
      </c>
      <c r="E4" s="170" t="s">
        <v>9</v>
      </c>
      <c r="F4" s="171" t="s">
        <v>10</v>
      </c>
      <c r="G4" s="172" t="s">
        <v>11</v>
      </c>
      <c r="H4" s="173" t="s">
        <v>200</v>
      </c>
      <c r="I4" s="174" t="s">
        <v>201</v>
      </c>
      <c r="J4" s="175">
        <v>900000</v>
      </c>
      <c r="K4" s="176">
        <v>20</v>
      </c>
      <c r="L4" s="177">
        <v>20</v>
      </c>
      <c r="M4" s="177">
        <v>19</v>
      </c>
      <c r="N4" s="177">
        <v>19</v>
      </c>
      <c r="O4" s="177"/>
      <c r="P4" s="177">
        <v>8</v>
      </c>
      <c r="Q4" s="177"/>
      <c r="R4" s="177">
        <v>0</v>
      </c>
      <c r="S4" s="177"/>
      <c r="T4" s="178"/>
      <c r="U4" s="138">
        <f t="shared" si="0"/>
        <v>86</v>
      </c>
      <c r="V4" s="164">
        <f t="shared" ref="V4:V67" si="1">U4/$U$68*$AC$2</f>
        <v>606437.78526754689</v>
      </c>
      <c r="W4" s="179">
        <v>700341</v>
      </c>
      <c r="X4" s="164">
        <f>'הגבלה לסכום מבוקש'!U32</f>
        <v>598411.84067063394</v>
      </c>
      <c r="Y4" s="180" t="s">
        <v>354</v>
      </c>
      <c r="Z4" s="314" t="s">
        <v>560</v>
      </c>
    </row>
    <row r="5" spans="1:32" ht="132.75" customHeight="1" x14ac:dyDescent="0.25">
      <c r="A5" s="167" t="s">
        <v>155</v>
      </c>
      <c r="B5" s="153"/>
      <c r="C5" s="168">
        <v>3</v>
      </c>
      <c r="D5" s="169">
        <v>2024</v>
      </c>
      <c r="E5" s="170" t="s">
        <v>12</v>
      </c>
      <c r="F5" s="171" t="s">
        <v>13</v>
      </c>
      <c r="G5" s="172" t="s">
        <v>14</v>
      </c>
      <c r="H5" s="173" t="s">
        <v>202</v>
      </c>
      <c r="I5" s="174" t="s">
        <v>203</v>
      </c>
      <c r="J5" s="175">
        <v>500000</v>
      </c>
      <c r="K5" s="176">
        <v>20</v>
      </c>
      <c r="L5" s="177">
        <v>20</v>
      </c>
      <c r="M5" s="177">
        <v>10</v>
      </c>
      <c r="N5" s="177">
        <v>8</v>
      </c>
      <c r="O5" s="177"/>
      <c r="P5" s="177">
        <v>6</v>
      </c>
      <c r="Q5" s="177"/>
      <c r="R5" s="177">
        <v>0</v>
      </c>
      <c r="S5" s="177"/>
      <c r="T5" s="178"/>
      <c r="U5" s="138">
        <f t="shared" si="0"/>
        <v>64</v>
      </c>
      <c r="V5" s="164">
        <f t="shared" si="1"/>
        <v>451302.53787352325</v>
      </c>
      <c r="W5" s="179">
        <v>440421</v>
      </c>
      <c r="X5" s="164">
        <f>'הגבלה לסכום מבוקש'!U33</f>
        <v>445329.74189442507</v>
      </c>
      <c r="Y5" s="180" t="s">
        <v>355</v>
      </c>
      <c r="Z5" s="314"/>
    </row>
    <row r="6" spans="1:32" ht="140.25" x14ac:dyDescent="0.25">
      <c r="A6" s="167" t="s">
        <v>154</v>
      </c>
      <c r="B6" s="153" t="s">
        <v>352</v>
      </c>
      <c r="C6" s="168">
        <v>4</v>
      </c>
      <c r="D6" s="169">
        <v>2024</v>
      </c>
      <c r="E6" s="170" t="s">
        <v>206</v>
      </c>
      <c r="F6" s="171" t="s">
        <v>207</v>
      </c>
      <c r="G6" s="181" t="s">
        <v>208</v>
      </c>
      <c r="H6" s="173" t="s">
        <v>204</v>
      </c>
      <c r="I6" s="174" t="s">
        <v>205</v>
      </c>
      <c r="J6" s="175">
        <v>525000</v>
      </c>
      <c r="K6" s="176"/>
      <c r="L6" s="177"/>
      <c r="M6" s="177"/>
      <c r="N6" s="177"/>
      <c r="O6" s="177"/>
      <c r="P6" s="177"/>
      <c r="Q6" s="177"/>
      <c r="R6" s="177"/>
      <c r="S6" s="177"/>
      <c r="T6" s="178"/>
      <c r="U6" s="138">
        <f t="shared" si="0"/>
        <v>0</v>
      </c>
      <c r="V6" s="164">
        <f t="shared" si="1"/>
        <v>0</v>
      </c>
      <c r="W6" s="179">
        <v>0</v>
      </c>
      <c r="X6" s="164">
        <f>'הגבלה לסכום מבוקש'!U34</f>
        <v>0</v>
      </c>
      <c r="Y6" s="308" t="s">
        <v>546</v>
      </c>
      <c r="Z6" s="314" t="s">
        <v>561</v>
      </c>
    </row>
    <row r="7" spans="1:32" s="17" customFormat="1" ht="229.5" x14ac:dyDescent="0.2">
      <c r="A7" s="153" t="s">
        <v>154</v>
      </c>
      <c r="B7" s="153" t="s">
        <v>352</v>
      </c>
      <c r="C7" s="168">
        <v>5</v>
      </c>
      <c r="D7" s="169">
        <v>2024</v>
      </c>
      <c r="E7" s="170" t="s">
        <v>211</v>
      </c>
      <c r="F7" s="171" t="s">
        <v>212</v>
      </c>
      <c r="G7" s="172" t="s">
        <v>351</v>
      </c>
      <c r="H7" s="173" t="s">
        <v>209</v>
      </c>
      <c r="I7" s="174" t="s">
        <v>210</v>
      </c>
      <c r="J7" s="175">
        <v>198000</v>
      </c>
      <c r="K7" s="176">
        <v>4</v>
      </c>
      <c r="L7" s="177">
        <v>7</v>
      </c>
      <c r="M7" s="177">
        <v>3</v>
      </c>
      <c r="N7" s="177">
        <v>4</v>
      </c>
      <c r="O7" s="177"/>
      <c r="P7" s="177">
        <v>4</v>
      </c>
      <c r="Q7" s="177"/>
      <c r="R7" s="177">
        <v>0</v>
      </c>
      <c r="S7" s="177"/>
      <c r="T7" s="178"/>
      <c r="U7" s="138">
        <f t="shared" si="0"/>
        <v>22</v>
      </c>
      <c r="V7" s="164">
        <f t="shared" si="1"/>
        <v>155135.24739402361</v>
      </c>
      <c r="W7" s="179">
        <v>0</v>
      </c>
      <c r="X7" s="164">
        <f>'הגבלה לסכום מבוקש'!U35</f>
        <v>153082.09877620873</v>
      </c>
      <c r="Y7" s="180" t="s">
        <v>356</v>
      </c>
      <c r="Z7" s="314"/>
    </row>
    <row r="8" spans="1:32" ht="114.75" x14ac:dyDescent="0.25">
      <c r="A8" s="167" t="s">
        <v>155</v>
      </c>
      <c r="B8" s="153"/>
      <c r="C8" s="168">
        <v>6</v>
      </c>
      <c r="D8" s="169">
        <v>2024</v>
      </c>
      <c r="E8" s="170" t="s">
        <v>15</v>
      </c>
      <c r="F8" s="171" t="s">
        <v>16</v>
      </c>
      <c r="G8" s="172" t="s">
        <v>17</v>
      </c>
      <c r="H8" s="173" t="s">
        <v>213</v>
      </c>
      <c r="I8" s="174" t="s">
        <v>18</v>
      </c>
      <c r="J8" s="175">
        <v>450000</v>
      </c>
      <c r="K8" s="176">
        <v>6</v>
      </c>
      <c r="L8" s="177">
        <v>6</v>
      </c>
      <c r="M8" s="177">
        <v>9</v>
      </c>
      <c r="N8" s="177">
        <v>9</v>
      </c>
      <c r="O8" s="177"/>
      <c r="P8" s="177">
        <v>4</v>
      </c>
      <c r="Q8" s="177"/>
      <c r="R8" s="177">
        <v>0</v>
      </c>
      <c r="S8" s="177"/>
      <c r="T8" s="178"/>
      <c r="U8" s="138">
        <f t="shared" si="0"/>
        <v>34</v>
      </c>
      <c r="V8" s="164">
        <f t="shared" si="1"/>
        <v>239754.47324530926</v>
      </c>
      <c r="W8" s="179">
        <v>281581</v>
      </c>
      <c r="X8" s="164">
        <f>'הגבלה לסכום מבוקש'!U36</f>
        <v>236581.42538141346</v>
      </c>
      <c r="Y8" s="180" t="s">
        <v>357</v>
      </c>
      <c r="Z8" s="314"/>
    </row>
    <row r="9" spans="1:32" ht="152.25" customHeight="1" x14ac:dyDescent="0.25">
      <c r="A9" s="167" t="s">
        <v>155</v>
      </c>
      <c r="B9" s="153"/>
      <c r="C9" s="168">
        <v>7</v>
      </c>
      <c r="D9" s="169">
        <v>2024</v>
      </c>
      <c r="E9" s="170" t="s">
        <v>19</v>
      </c>
      <c r="F9" s="171" t="s">
        <v>20</v>
      </c>
      <c r="G9" s="172" t="s">
        <v>21</v>
      </c>
      <c r="H9" s="173" t="s">
        <v>214</v>
      </c>
      <c r="I9" s="174" t="s">
        <v>215</v>
      </c>
      <c r="J9" s="175">
        <v>1000000</v>
      </c>
      <c r="K9" s="176">
        <v>20</v>
      </c>
      <c r="L9" s="177">
        <v>20</v>
      </c>
      <c r="M9" s="177">
        <v>19</v>
      </c>
      <c r="N9" s="177">
        <v>8</v>
      </c>
      <c r="O9" s="177"/>
      <c r="P9" s="182">
        <v>4</v>
      </c>
      <c r="Q9" s="177"/>
      <c r="R9" s="177">
        <v>0</v>
      </c>
      <c r="S9" s="177"/>
      <c r="T9" s="178"/>
      <c r="U9" s="138">
        <f t="shared" si="0"/>
        <v>71</v>
      </c>
      <c r="V9" s="164">
        <f t="shared" si="1"/>
        <v>500663.75295343989</v>
      </c>
      <c r="W9" s="179">
        <v>613701</v>
      </c>
      <c r="X9" s="164">
        <f>'הגבלה לסכום מבוקש'!U37</f>
        <v>498588.69855513127</v>
      </c>
      <c r="Y9" s="180" t="s">
        <v>401</v>
      </c>
      <c r="Z9" s="314"/>
    </row>
    <row r="10" spans="1:32" ht="102" x14ac:dyDescent="0.25">
      <c r="A10" s="167" t="s">
        <v>155</v>
      </c>
      <c r="B10" s="153"/>
      <c r="C10" s="168">
        <v>8</v>
      </c>
      <c r="D10" s="169">
        <v>2024</v>
      </c>
      <c r="E10" s="170" t="s">
        <v>22</v>
      </c>
      <c r="F10" s="171" t="s">
        <v>23</v>
      </c>
      <c r="G10" s="172" t="s">
        <v>218</v>
      </c>
      <c r="H10" s="173" t="s">
        <v>216</v>
      </c>
      <c r="I10" s="174" t="s">
        <v>217</v>
      </c>
      <c r="J10" s="175">
        <v>290000</v>
      </c>
      <c r="K10" s="176">
        <v>9</v>
      </c>
      <c r="L10" s="177">
        <v>9</v>
      </c>
      <c r="M10" s="177">
        <v>12</v>
      </c>
      <c r="N10" s="177">
        <v>7</v>
      </c>
      <c r="O10" s="177"/>
      <c r="P10" s="177">
        <v>2</v>
      </c>
      <c r="Q10" s="177"/>
      <c r="R10" s="177">
        <v>0</v>
      </c>
      <c r="S10" s="177"/>
      <c r="T10" s="178"/>
      <c r="U10" s="138">
        <f t="shared" si="0"/>
        <v>39</v>
      </c>
      <c r="V10" s="164">
        <f t="shared" si="1"/>
        <v>275012.48401667824</v>
      </c>
      <c r="W10" s="179">
        <v>259920</v>
      </c>
      <c r="X10" s="164">
        <f>'הגבלה לסכום מבוקש'!U38</f>
        <v>271372.81146691536</v>
      </c>
      <c r="Y10" s="309" t="s">
        <v>359</v>
      </c>
      <c r="Z10" s="314"/>
    </row>
    <row r="11" spans="1:32" ht="268.89999999999998" customHeight="1" x14ac:dyDescent="0.25">
      <c r="A11" s="167" t="s">
        <v>154</v>
      </c>
      <c r="B11" s="153" t="s">
        <v>352</v>
      </c>
      <c r="C11" s="168">
        <v>9</v>
      </c>
      <c r="D11" s="169">
        <v>2024</v>
      </c>
      <c r="E11" s="170" t="s">
        <v>221</v>
      </c>
      <c r="F11" s="171" t="s">
        <v>222</v>
      </c>
      <c r="G11" s="181" t="s">
        <v>223</v>
      </c>
      <c r="H11" s="173" t="s">
        <v>219</v>
      </c>
      <c r="I11" s="174" t="s">
        <v>220</v>
      </c>
      <c r="J11" s="175">
        <v>1500000</v>
      </c>
      <c r="K11" s="176"/>
      <c r="L11" s="177"/>
      <c r="M11" s="177"/>
      <c r="N11" s="177"/>
      <c r="O11" s="177"/>
      <c r="P11" s="177"/>
      <c r="Q11" s="177"/>
      <c r="R11" s="177"/>
      <c r="S11" s="177"/>
      <c r="T11" s="178"/>
      <c r="U11" s="138">
        <f t="shared" si="0"/>
        <v>0</v>
      </c>
      <c r="V11" s="164">
        <f t="shared" si="1"/>
        <v>0</v>
      </c>
      <c r="W11" s="179">
        <v>0</v>
      </c>
      <c r="X11" s="164">
        <f>'הגבלה לסכום מבוקש'!U39</f>
        <v>0</v>
      </c>
      <c r="Y11" s="308" t="s">
        <v>547</v>
      </c>
      <c r="Z11" s="314" t="s">
        <v>562</v>
      </c>
    </row>
    <row r="12" spans="1:32" ht="97.5" customHeight="1" x14ac:dyDescent="0.25">
      <c r="A12" s="167" t="s">
        <v>155</v>
      </c>
      <c r="B12" s="153"/>
      <c r="C12" s="168">
        <v>10</v>
      </c>
      <c r="D12" s="169">
        <v>2024</v>
      </c>
      <c r="E12" s="170" t="s">
        <v>24</v>
      </c>
      <c r="F12" s="171" t="s">
        <v>25</v>
      </c>
      <c r="G12" s="172" t="s">
        <v>26</v>
      </c>
      <c r="H12" s="173" t="s">
        <v>224</v>
      </c>
      <c r="I12" s="174" t="s">
        <v>225</v>
      </c>
      <c r="J12" s="175">
        <v>350000</v>
      </c>
      <c r="K12" s="176">
        <v>10</v>
      </c>
      <c r="L12" s="177">
        <v>8</v>
      </c>
      <c r="M12" s="177">
        <v>10</v>
      </c>
      <c r="N12" s="177">
        <v>5</v>
      </c>
      <c r="O12" s="177"/>
      <c r="P12" s="177">
        <v>2</v>
      </c>
      <c r="Q12" s="177"/>
      <c r="R12" s="177">
        <v>0</v>
      </c>
      <c r="S12" s="177"/>
      <c r="T12" s="178"/>
      <c r="U12" s="138">
        <f t="shared" si="0"/>
        <v>35</v>
      </c>
      <c r="V12" s="164">
        <f t="shared" si="1"/>
        <v>246806.07539958303</v>
      </c>
      <c r="W12" s="179">
        <v>223820</v>
      </c>
      <c r="X12" s="164">
        <f>'הגבלה לסכום מבוקש'!U40</f>
        <v>243539.70259851377</v>
      </c>
      <c r="Y12" s="180" t="s">
        <v>358</v>
      </c>
      <c r="Z12" s="314" t="s">
        <v>563</v>
      </c>
    </row>
    <row r="13" spans="1:32" ht="126" customHeight="1" x14ac:dyDescent="0.25">
      <c r="A13" s="167" t="s">
        <v>155</v>
      </c>
      <c r="B13" s="153"/>
      <c r="C13" s="168">
        <v>11</v>
      </c>
      <c r="D13" s="169">
        <v>2024</v>
      </c>
      <c r="E13" s="170" t="s">
        <v>28</v>
      </c>
      <c r="F13" s="171" t="s">
        <v>29</v>
      </c>
      <c r="G13" s="172" t="s">
        <v>227</v>
      </c>
      <c r="H13" s="173" t="s">
        <v>226</v>
      </c>
      <c r="I13" s="174" t="s">
        <v>98</v>
      </c>
      <c r="J13" s="175">
        <v>370000</v>
      </c>
      <c r="K13" s="176">
        <v>8</v>
      </c>
      <c r="L13" s="177">
        <v>16</v>
      </c>
      <c r="M13" s="177">
        <v>5</v>
      </c>
      <c r="N13" s="177">
        <v>0</v>
      </c>
      <c r="O13" s="177"/>
      <c r="P13" s="177">
        <v>4</v>
      </c>
      <c r="Q13" s="177"/>
      <c r="R13" s="177">
        <v>0</v>
      </c>
      <c r="S13" s="177"/>
      <c r="T13" s="178"/>
      <c r="U13" s="138">
        <f t="shared" si="0"/>
        <v>33</v>
      </c>
      <c r="V13" s="164">
        <f t="shared" si="1"/>
        <v>232702.87109103543</v>
      </c>
      <c r="W13" s="179">
        <v>317680</v>
      </c>
      <c r="X13" s="164">
        <f>'הגבלה לסכום מבוקש'!U41</f>
        <v>258092.55281805646</v>
      </c>
      <c r="Y13" s="180" t="s">
        <v>360</v>
      </c>
      <c r="Z13" s="314"/>
    </row>
    <row r="14" spans="1:32" ht="200.25" customHeight="1" x14ac:dyDescent="0.25">
      <c r="A14" s="167" t="s">
        <v>155</v>
      </c>
      <c r="B14" s="153"/>
      <c r="C14" s="168">
        <v>12</v>
      </c>
      <c r="D14" s="169">
        <v>2024</v>
      </c>
      <c r="E14" s="170" t="s">
        <v>30</v>
      </c>
      <c r="F14" s="171" t="s">
        <v>31</v>
      </c>
      <c r="G14" s="172" t="s">
        <v>230</v>
      </c>
      <c r="H14" s="173" t="s">
        <v>228</v>
      </c>
      <c r="I14" s="174" t="s">
        <v>229</v>
      </c>
      <c r="J14" s="175">
        <v>850000</v>
      </c>
      <c r="K14" s="176">
        <v>20</v>
      </c>
      <c r="L14" s="177">
        <v>20</v>
      </c>
      <c r="M14" s="177">
        <v>19</v>
      </c>
      <c r="N14" s="177">
        <v>0</v>
      </c>
      <c r="O14" s="177"/>
      <c r="P14" s="177">
        <v>4</v>
      </c>
      <c r="Q14" s="177"/>
      <c r="R14" s="177">
        <v>0</v>
      </c>
      <c r="S14" s="177"/>
      <c r="T14" s="178"/>
      <c r="U14" s="138">
        <f t="shared" si="0"/>
        <v>63</v>
      </c>
      <c r="V14" s="164">
        <f t="shared" si="1"/>
        <v>444250.93571924942</v>
      </c>
      <c r="W14" s="179">
        <v>685901</v>
      </c>
      <c r="X14" s="164">
        <f>'הגבלה לסכום מבוקש'!U42</f>
        <v>557246.09692287119</v>
      </c>
      <c r="Y14" s="180" t="s">
        <v>361</v>
      </c>
      <c r="Z14" s="314"/>
    </row>
    <row r="15" spans="1:32" ht="114" customHeight="1" x14ac:dyDescent="0.25">
      <c r="A15" s="167" t="s">
        <v>155</v>
      </c>
      <c r="B15" s="153"/>
      <c r="C15" s="168">
        <v>13</v>
      </c>
      <c r="D15" s="169">
        <v>2024</v>
      </c>
      <c r="E15" s="170" t="s">
        <v>32</v>
      </c>
      <c r="F15" s="171" t="s">
        <v>33</v>
      </c>
      <c r="G15" s="172" t="s">
        <v>34</v>
      </c>
      <c r="H15" s="173" t="s">
        <v>231</v>
      </c>
      <c r="I15" s="174" t="s">
        <v>232</v>
      </c>
      <c r="J15" s="175">
        <v>1500000</v>
      </c>
      <c r="K15" s="176">
        <v>20</v>
      </c>
      <c r="L15" s="177">
        <v>20</v>
      </c>
      <c r="M15" s="177">
        <v>19</v>
      </c>
      <c r="N15" s="177">
        <v>19</v>
      </c>
      <c r="O15" s="177"/>
      <c r="P15" s="177">
        <v>4</v>
      </c>
      <c r="Q15" s="177"/>
      <c r="R15" s="177">
        <v>0</v>
      </c>
      <c r="S15" s="177"/>
      <c r="T15" s="178"/>
      <c r="U15" s="138">
        <f t="shared" si="0"/>
        <v>82</v>
      </c>
      <c r="V15" s="164">
        <f t="shared" si="1"/>
        <v>578231.37665045168</v>
      </c>
      <c r="W15" s="179">
        <v>657021</v>
      </c>
      <c r="X15" s="164">
        <f>'הגבלה לסכום מבוקש'!U43</f>
        <v>570578.73180223233</v>
      </c>
      <c r="Y15" s="180" t="s">
        <v>362</v>
      </c>
      <c r="Z15" s="314"/>
    </row>
    <row r="16" spans="1:32" ht="104.25" customHeight="1" x14ac:dyDescent="0.25">
      <c r="A16" s="167" t="s">
        <v>155</v>
      </c>
      <c r="B16" s="153"/>
      <c r="C16" s="168">
        <v>14</v>
      </c>
      <c r="D16" s="169">
        <v>2024</v>
      </c>
      <c r="E16" s="170" t="s">
        <v>35</v>
      </c>
      <c r="F16" s="171" t="s">
        <v>36</v>
      </c>
      <c r="G16" s="172" t="s">
        <v>235</v>
      </c>
      <c r="H16" s="173" t="s">
        <v>233</v>
      </c>
      <c r="I16" s="174" t="s">
        <v>234</v>
      </c>
      <c r="J16" s="175">
        <v>500000</v>
      </c>
      <c r="K16" s="176">
        <v>14</v>
      </c>
      <c r="L16" s="177">
        <v>14</v>
      </c>
      <c r="M16" s="177">
        <v>16</v>
      </c>
      <c r="N16" s="177">
        <v>14</v>
      </c>
      <c r="O16" s="177"/>
      <c r="P16" s="177">
        <v>4</v>
      </c>
      <c r="Q16" s="177"/>
      <c r="R16" s="177">
        <v>0</v>
      </c>
      <c r="S16" s="177"/>
      <c r="T16" s="178"/>
      <c r="U16" s="138">
        <f t="shared" si="0"/>
        <v>62</v>
      </c>
      <c r="V16" s="164">
        <f t="shared" si="1"/>
        <v>437199.33356497571</v>
      </c>
      <c r="W16" s="179">
        <v>339341</v>
      </c>
      <c r="X16" s="164">
        <f>'הגבלה לסכום מבוקש'!U44</f>
        <v>431413.18746022444</v>
      </c>
      <c r="Y16" s="180" t="s">
        <v>363</v>
      </c>
      <c r="Z16" s="314"/>
    </row>
    <row r="17" spans="1:26" ht="217.5" customHeight="1" x14ac:dyDescent="0.25">
      <c r="A17" s="167" t="s">
        <v>155</v>
      </c>
      <c r="B17" s="153"/>
      <c r="C17" s="168">
        <v>15</v>
      </c>
      <c r="D17" s="169">
        <v>2024</v>
      </c>
      <c r="E17" s="170" t="s">
        <v>37</v>
      </c>
      <c r="F17" s="171" t="s">
        <v>38</v>
      </c>
      <c r="G17" s="172" t="s">
        <v>39</v>
      </c>
      <c r="H17" s="173" t="s">
        <v>236</v>
      </c>
      <c r="I17" s="174" t="s">
        <v>237</v>
      </c>
      <c r="J17" s="175">
        <v>750000</v>
      </c>
      <c r="K17" s="176">
        <v>10</v>
      </c>
      <c r="L17" s="177">
        <v>10</v>
      </c>
      <c r="M17" s="177">
        <v>14</v>
      </c>
      <c r="N17" s="177">
        <v>14</v>
      </c>
      <c r="O17" s="177"/>
      <c r="P17" s="177">
        <v>10</v>
      </c>
      <c r="Q17" s="177"/>
      <c r="R17" s="177">
        <v>0</v>
      </c>
      <c r="S17" s="177"/>
      <c r="T17" s="178"/>
      <c r="U17" s="138">
        <f t="shared" si="0"/>
        <v>58</v>
      </c>
      <c r="V17" s="164">
        <f t="shared" si="1"/>
        <v>408992.92494788044</v>
      </c>
      <c r="W17" s="179">
        <v>505401</v>
      </c>
      <c r="X17" s="164">
        <f>'הגבלה לסכום מבוקש'!U45</f>
        <v>410602.60100352106</v>
      </c>
      <c r="Y17" s="309" t="s">
        <v>364</v>
      </c>
      <c r="Z17" s="314" t="s">
        <v>564</v>
      </c>
    </row>
    <row r="18" spans="1:26" ht="228.75" customHeight="1" x14ac:dyDescent="0.25">
      <c r="A18" s="167" t="s">
        <v>154</v>
      </c>
      <c r="B18" s="153" t="s">
        <v>352</v>
      </c>
      <c r="C18" s="168">
        <v>16</v>
      </c>
      <c r="D18" s="169">
        <v>2024</v>
      </c>
      <c r="E18" s="170" t="s">
        <v>239</v>
      </c>
      <c r="F18" s="171" t="s">
        <v>240</v>
      </c>
      <c r="G18" s="172" t="s">
        <v>241</v>
      </c>
      <c r="H18" s="173" t="s">
        <v>238</v>
      </c>
      <c r="I18" s="174" t="s">
        <v>210</v>
      </c>
      <c r="J18" s="175">
        <v>500000</v>
      </c>
      <c r="K18" s="176">
        <v>6</v>
      </c>
      <c r="L18" s="177">
        <v>6</v>
      </c>
      <c r="M18" s="177">
        <v>4</v>
      </c>
      <c r="N18" s="177">
        <v>4</v>
      </c>
      <c r="O18" s="177"/>
      <c r="P18" s="177">
        <v>2</v>
      </c>
      <c r="Q18" s="177"/>
      <c r="R18" s="177">
        <v>0</v>
      </c>
      <c r="S18" s="177"/>
      <c r="T18" s="178"/>
      <c r="U18" s="138">
        <f t="shared" si="0"/>
        <v>22</v>
      </c>
      <c r="V18" s="164">
        <f t="shared" si="1"/>
        <v>155135.24739402361</v>
      </c>
      <c r="W18" s="179">
        <v>0</v>
      </c>
      <c r="X18" s="164">
        <f>'הגבלה לסכום מבוקש'!U46</f>
        <v>153082.09877620873</v>
      </c>
      <c r="Y18" s="316" t="s">
        <v>548</v>
      </c>
      <c r="Z18" s="317" t="s">
        <v>566</v>
      </c>
    </row>
    <row r="19" spans="1:26" ht="166.15" customHeight="1" x14ac:dyDescent="0.25">
      <c r="A19" s="167" t="s">
        <v>154</v>
      </c>
      <c r="B19" s="153" t="s">
        <v>352</v>
      </c>
      <c r="C19" s="168">
        <v>17</v>
      </c>
      <c r="D19" s="169">
        <v>2024</v>
      </c>
      <c r="E19" s="170" t="s">
        <v>244</v>
      </c>
      <c r="F19" s="171" t="s">
        <v>245</v>
      </c>
      <c r="G19" s="181" t="s">
        <v>246</v>
      </c>
      <c r="H19" s="173" t="s">
        <v>242</v>
      </c>
      <c r="I19" s="174" t="s">
        <v>243</v>
      </c>
      <c r="J19" s="175">
        <v>1000000</v>
      </c>
      <c r="K19" s="176"/>
      <c r="L19" s="177"/>
      <c r="M19" s="177"/>
      <c r="N19" s="177"/>
      <c r="O19" s="177"/>
      <c r="P19" s="177"/>
      <c r="Q19" s="177"/>
      <c r="R19" s="177"/>
      <c r="S19" s="177"/>
      <c r="T19" s="178"/>
      <c r="U19" s="138">
        <f t="shared" si="0"/>
        <v>0</v>
      </c>
      <c r="V19" s="164">
        <f t="shared" si="1"/>
        <v>0</v>
      </c>
      <c r="W19" s="179">
        <v>0</v>
      </c>
      <c r="X19" s="164">
        <f>'הגבלה לסכום מבוקש'!U47</f>
        <v>0</v>
      </c>
      <c r="Y19" s="308" t="s">
        <v>549</v>
      </c>
      <c r="Z19" s="314"/>
    </row>
    <row r="20" spans="1:26" ht="114.75" x14ac:dyDescent="0.25">
      <c r="A20" s="167" t="s">
        <v>155</v>
      </c>
      <c r="B20" s="153"/>
      <c r="C20" s="168">
        <v>18</v>
      </c>
      <c r="D20" s="169">
        <v>2024</v>
      </c>
      <c r="E20" s="170" t="s">
        <v>42</v>
      </c>
      <c r="F20" s="171" t="s">
        <v>43</v>
      </c>
      <c r="G20" s="172" t="s">
        <v>44</v>
      </c>
      <c r="H20" s="173" t="s">
        <v>247</v>
      </c>
      <c r="I20" s="174" t="s">
        <v>203</v>
      </c>
      <c r="J20" s="175">
        <v>680000</v>
      </c>
      <c r="K20" s="176">
        <v>20</v>
      </c>
      <c r="L20" s="177">
        <v>20</v>
      </c>
      <c r="M20" s="177">
        <v>9</v>
      </c>
      <c r="N20" s="177">
        <v>9</v>
      </c>
      <c r="O20" s="177"/>
      <c r="P20" s="177">
        <v>10</v>
      </c>
      <c r="Q20" s="177"/>
      <c r="R20" s="177">
        <v>0</v>
      </c>
      <c r="S20" s="177"/>
      <c r="T20" s="178"/>
      <c r="U20" s="138">
        <f t="shared" si="0"/>
        <v>68</v>
      </c>
      <c r="V20" s="164">
        <f t="shared" si="1"/>
        <v>479508.94649061852</v>
      </c>
      <c r="W20" s="179">
        <v>628141</v>
      </c>
      <c r="X20" s="164">
        <f>'הגבלה לסכום מבוקש'!U48</f>
        <v>510320.17822867923</v>
      </c>
      <c r="Y20" s="180" t="s">
        <v>365</v>
      </c>
      <c r="Z20" s="314"/>
    </row>
    <row r="21" spans="1:26" ht="143.25" customHeight="1" x14ac:dyDescent="0.25">
      <c r="A21" s="167" t="s">
        <v>155</v>
      </c>
      <c r="B21" s="153"/>
      <c r="C21" s="168">
        <v>19</v>
      </c>
      <c r="D21" s="169">
        <v>2024</v>
      </c>
      <c r="E21" s="170" t="s">
        <v>45</v>
      </c>
      <c r="F21" s="171" t="s">
        <v>46</v>
      </c>
      <c r="G21" s="172" t="s">
        <v>47</v>
      </c>
      <c r="H21" s="173" t="s">
        <v>248</v>
      </c>
      <c r="I21" s="174" t="s">
        <v>249</v>
      </c>
      <c r="J21" s="175">
        <v>460000</v>
      </c>
      <c r="K21" s="176">
        <v>10</v>
      </c>
      <c r="L21" s="177">
        <v>10</v>
      </c>
      <c r="M21" s="177">
        <v>9</v>
      </c>
      <c r="N21" s="177">
        <v>7</v>
      </c>
      <c r="O21" s="177"/>
      <c r="P21" s="177">
        <v>2</v>
      </c>
      <c r="Q21" s="177"/>
      <c r="R21" s="177">
        <v>0</v>
      </c>
      <c r="S21" s="177"/>
      <c r="T21" s="178"/>
      <c r="U21" s="138">
        <f t="shared" si="0"/>
        <v>38</v>
      </c>
      <c r="V21" s="164">
        <f t="shared" si="1"/>
        <v>267960.88186240447</v>
      </c>
      <c r="W21" s="179">
        <v>296020</v>
      </c>
      <c r="X21" s="164">
        <f>'הגבלה לסכום מבוקש'!U49</f>
        <v>264414.53424981504</v>
      </c>
      <c r="Y21" s="180" t="s">
        <v>366</v>
      </c>
      <c r="Z21" s="314"/>
    </row>
    <row r="22" spans="1:26" ht="137.25" customHeight="1" x14ac:dyDescent="0.25">
      <c r="A22" s="167" t="s">
        <v>155</v>
      </c>
      <c r="B22" s="153"/>
      <c r="C22" s="168">
        <v>20</v>
      </c>
      <c r="D22" s="169">
        <v>2024</v>
      </c>
      <c r="E22" s="170" t="s">
        <v>48</v>
      </c>
      <c r="F22" s="171" t="s">
        <v>49</v>
      </c>
      <c r="G22" s="172" t="s">
        <v>50</v>
      </c>
      <c r="H22" s="173" t="s">
        <v>250</v>
      </c>
      <c r="I22" s="174" t="s">
        <v>51</v>
      </c>
      <c r="J22" s="175">
        <v>700000</v>
      </c>
      <c r="K22" s="176">
        <v>20</v>
      </c>
      <c r="L22" s="177">
        <v>20</v>
      </c>
      <c r="M22" s="177">
        <v>19</v>
      </c>
      <c r="N22" s="177">
        <v>7</v>
      </c>
      <c r="O22" s="177"/>
      <c r="P22" s="177">
        <v>14</v>
      </c>
      <c r="Q22" s="177"/>
      <c r="R22" s="177">
        <v>0</v>
      </c>
      <c r="S22" s="177"/>
      <c r="T22" s="178"/>
      <c r="U22" s="138">
        <f t="shared" si="0"/>
        <v>80</v>
      </c>
      <c r="V22" s="164">
        <f t="shared" si="1"/>
        <v>564128.17234190414</v>
      </c>
      <c r="W22" s="183">
        <v>628141</v>
      </c>
      <c r="X22" s="164">
        <f>'הגבלה לסכום מבוקש'!U50</f>
        <v>556662.17736803147</v>
      </c>
      <c r="Y22" s="180" t="s">
        <v>367</v>
      </c>
      <c r="Z22" s="314"/>
    </row>
    <row r="23" spans="1:26" ht="114.75" x14ac:dyDescent="0.25">
      <c r="A23" s="167" t="s">
        <v>155</v>
      </c>
      <c r="B23" s="153"/>
      <c r="C23" s="168">
        <v>21</v>
      </c>
      <c r="D23" s="169">
        <v>2024</v>
      </c>
      <c r="E23" s="170" t="s">
        <v>52</v>
      </c>
      <c r="F23" s="171" t="s">
        <v>53</v>
      </c>
      <c r="G23" s="172" t="s">
        <v>54</v>
      </c>
      <c r="H23" s="173" t="s">
        <v>251</v>
      </c>
      <c r="I23" s="174" t="s">
        <v>210</v>
      </c>
      <c r="J23" s="175">
        <v>650000</v>
      </c>
      <c r="K23" s="176">
        <v>4</v>
      </c>
      <c r="L23" s="177">
        <v>7</v>
      </c>
      <c r="M23" s="177">
        <v>12</v>
      </c>
      <c r="N23" s="177">
        <v>9</v>
      </c>
      <c r="O23" s="177"/>
      <c r="P23" s="177">
        <v>2</v>
      </c>
      <c r="Q23" s="177"/>
      <c r="R23" s="177">
        <v>0</v>
      </c>
      <c r="S23" s="177"/>
      <c r="T23" s="178"/>
      <c r="U23" s="139">
        <f t="shared" si="0"/>
        <v>34</v>
      </c>
      <c r="V23" s="164">
        <f t="shared" si="1"/>
        <v>239754.47324530926</v>
      </c>
      <c r="W23" s="179">
        <v>238260</v>
      </c>
      <c r="X23" s="164">
        <f>'הגבלה לסכום מבוקש'!U51</f>
        <v>236581.42538141346</v>
      </c>
      <c r="Y23" s="180" t="s">
        <v>368</v>
      </c>
      <c r="Z23" s="314"/>
    </row>
    <row r="24" spans="1:26" ht="127.5" x14ac:dyDescent="0.25">
      <c r="A24" s="167" t="s">
        <v>155</v>
      </c>
      <c r="B24" s="153"/>
      <c r="C24" s="168">
        <v>22</v>
      </c>
      <c r="D24" s="169">
        <v>2024</v>
      </c>
      <c r="E24" s="170" t="s">
        <v>55</v>
      </c>
      <c r="F24" s="171" t="s">
        <v>56</v>
      </c>
      <c r="G24" s="172" t="s">
        <v>57</v>
      </c>
      <c r="H24" s="173" t="s">
        <v>252</v>
      </c>
      <c r="I24" s="174" t="s">
        <v>253</v>
      </c>
      <c r="J24" s="175">
        <v>500000</v>
      </c>
      <c r="K24" s="176">
        <v>5</v>
      </c>
      <c r="L24" s="177">
        <v>5</v>
      </c>
      <c r="M24" s="177">
        <v>6</v>
      </c>
      <c r="N24" s="177">
        <v>6</v>
      </c>
      <c r="O24" s="177"/>
      <c r="P24" s="177">
        <v>8</v>
      </c>
      <c r="Q24" s="177"/>
      <c r="R24" s="177">
        <v>4</v>
      </c>
      <c r="S24" s="177"/>
      <c r="T24" s="178"/>
      <c r="U24" s="138">
        <f t="shared" si="0"/>
        <v>34</v>
      </c>
      <c r="V24" s="164">
        <f t="shared" si="1"/>
        <v>239754.47324530926</v>
      </c>
      <c r="W24" s="179">
        <v>194940</v>
      </c>
      <c r="X24" s="164">
        <f>'הגבלה לסכום מבוקש'!U52</f>
        <v>236581.42538141346</v>
      </c>
      <c r="Y24" s="180" t="s">
        <v>369</v>
      </c>
      <c r="Z24" s="314" t="s">
        <v>565</v>
      </c>
    </row>
    <row r="25" spans="1:26" ht="126.75" customHeight="1" x14ac:dyDescent="0.25">
      <c r="A25" s="167" t="s">
        <v>155</v>
      </c>
      <c r="B25" s="153"/>
      <c r="C25" s="168">
        <v>23</v>
      </c>
      <c r="D25" s="169">
        <v>2024</v>
      </c>
      <c r="E25" s="170" t="s">
        <v>58</v>
      </c>
      <c r="F25" s="171" t="s">
        <v>59</v>
      </c>
      <c r="G25" s="172" t="s">
        <v>255</v>
      </c>
      <c r="H25" s="173" t="s">
        <v>254</v>
      </c>
      <c r="I25" s="174" t="s">
        <v>210</v>
      </c>
      <c r="J25" s="175">
        <v>500000</v>
      </c>
      <c r="K25" s="176">
        <v>12</v>
      </c>
      <c r="L25" s="177">
        <v>12</v>
      </c>
      <c r="M25" s="177">
        <v>19</v>
      </c>
      <c r="N25" s="177">
        <v>12</v>
      </c>
      <c r="O25" s="177"/>
      <c r="P25" s="177">
        <v>4</v>
      </c>
      <c r="Q25" s="177"/>
      <c r="R25" s="177">
        <v>0</v>
      </c>
      <c r="S25" s="177"/>
      <c r="T25" s="178"/>
      <c r="U25" s="138">
        <f t="shared" si="0"/>
        <v>59</v>
      </c>
      <c r="V25" s="164">
        <f t="shared" si="1"/>
        <v>416044.52710215427</v>
      </c>
      <c r="W25" s="179">
        <v>326021</v>
      </c>
      <c r="X25" s="164">
        <f>'הגבלה לסכום מבוקש'!U53</f>
        <v>410538.3558089232</v>
      </c>
      <c r="Y25" s="180" t="s">
        <v>370</v>
      </c>
      <c r="Z25" s="314"/>
    </row>
    <row r="26" spans="1:26" ht="156.75" customHeight="1" x14ac:dyDescent="0.25">
      <c r="A26" s="167" t="s">
        <v>155</v>
      </c>
      <c r="B26" s="153"/>
      <c r="C26" s="168">
        <v>24</v>
      </c>
      <c r="D26" s="169">
        <v>2024</v>
      </c>
      <c r="E26" s="170" t="s">
        <v>60</v>
      </c>
      <c r="F26" s="171" t="s">
        <v>61</v>
      </c>
      <c r="G26" s="172" t="s">
        <v>62</v>
      </c>
      <c r="H26" s="173" t="s">
        <v>256</v>
      </c>
      <c r="I26" s="174" t="s">
        <v>257</v>
      </c>
      <c r="J26" s="175">
        <v>1200000</v>
      </c>
      <c r="K26" s="176">
        <v>20</v>
      </c>
      <c r="L26" s="177">
        <v>20</v>
      </c>
      <c r="M26" s="177">
        <v>19</v>
      </c>
      <c r="N26" s="177">
        <v>19</v>
      </c>
      <c r="O26" s="177"/>
      <c r="P26" s="182">
        <v>4</v>
      </c>
      <c r="Q26" s="177"/>
      <c r="R26" s="177">
        <v>0</v>
      </c>
      <c r="S26" s="177"/>
      <c r="T26" s="178"/>
      <c r="U26" s="138">
        <f t="shared" si="0"/>
        <v>82</v>
      </c>
      <c r="V26" s="164">
        <f t="shared" si="1"/>
        <v>578231.37665045168</v>
      </c>
      <c r="W26" s="179">
        <v>649801</v>
      </c>
      <c r="X26" s="164">
        <f>'הגבלה לסכום מבוקש'!U54</f>
        <v>570578.73180223233</v>
      </c>
      <c r="Y26" s="180" t="s">
        <v>371</v>
      </c>
      <c r="Z26" s="314"/>
    </row>
    <row r="27" spans="1:26" ht="187.5" customHeight="1" x14ac:dyDescent="0.25">
      <c r="A27" s="167" t="s">
        <v>155</v>
      </c>
      <c r="B27" s="153"/>
      <c r="C27" s="168">
        <v>25</v>
      </c>
      <c r="D27" s="169">
        <v>2024</v>
      </c>
      <c r="E27" s="170" t="s">
        <v>63</v>
      </c>
      <c r="F27" s="171" t="s">
        <v>64</v>
      </c>
      <c r="G27" s="172" t="s">
        <v>65</v>
      </c>
      <c r="H27" s="173" t="s">
        <v>258</v>
      </c>
      <c r="I27" s="174" t="s">
        <v>66</v>
      </c>
      <c r="J27" s="175">
        <v>380000</v>
      </c>
      <c r="K27" s="176">
        <v>10</v>
      </c>
      <c r="L27" s="177">
        <v>8</v>
      </c>
      <c r="M27" s="177">
        <v>10</v>
      </c>
      <c r="N27" s="177">
        <v>8</v>
      </c>
      <c r="O27" s="177"/>
      <c r="P27" s="177">
        <v>10</v>
      </c>
      <c r="Q27" s="177"/>
      <c r="R27" s="177">
        <v>0</v>
      </c>
      <c r="S27" s="177"/>
      <c r="T27" s="178"/>
      <c r="U27" s="138">
        <f t="shared" si="0"/>
        <v>46</v>
      </c>
      <c r="V27" s="164">
        <f t="shared" si="1"/>
        <v>324373.69909659488</v>
      </c>
      <c r="W27" s="179">
        <v>380000</v>
      </c>
      <c r="X27" s="164">
        <f>'הגבלה לסכום מבוקש'!U55</f>
        <v>320080.75198661815</v>
      </c>
      <c r="Y27" s="180" t="s">
        <v>372</v>
      </c>
      <c r="Z27" s="314"/>
    </row>
    <row r="28" spans="1:26" ht="135.75" customHeight="1" x14ac:dyDescent="0.25">
      <c r="A28" s="167" t="s">
        <v>155</v>
      </c>
      <c r="B28" s="153"/>
      <c r="C28" s="168">
        <v>26</v>
      </c>
      <c r="D28" s="169">
        <v>2024</v>
      </c>
      <c r="E28" s="170" t="s">
        <v>67</v>
      </c>
      <c r="F28" s="171" t="s">
        <v>68</v>
      </c>
      <c r="G28" s="172" t="s">
        <v>69</v>
      </c>
      <c r="H28" s="173" t="s">
        <v>259</v>
      </c>
      <c r="I28" s="174" t="s">
        <v>260</v>
      </c>
      <c r="J28" s="175">
        <v>1000000</v>
      </c>
      <c r="K28" s="176">
        <v>12</v>
      </c>
      <c r="L28" s="177">
        <v>12</v>
      </c>
      <c r="M28" s="177">
        <v>19</v>
      </c>
      <c r="N28" s="177">
        <v>0</v>
      </c>
      <c r="O28" s="177"/>
      <c r="P28" s="177">
        <v>4</v>
      </c>
      <c r="Q28" s="177"/>
      <c r="R28" s="177">
        <v>0</v>
      </c>
      <c r="S28" s="177"/>
      <c r="T28" s="178"/>
      <c r="U28" s="138">
        <f t="shared" si="0"/>
        <v>47</v>
      </c>
      <c r="V28" s="164">
        <f t="shared" si="1"/>
        <v>331425.30125086871</v>
      </c>
      <c r="W28" s="179">
        <v>397101</v>
      </c>
      <c r="X28" s="164">
        <f>'הגבלה לסכום מבוקש'!U56</f>
        <v>327039.02920371847</v>
      </c>
      <c r="Y28" s="180" t="s">
        <v>373</v>
      </c>
      <c r="Z28" s="314"/>
    </row>
    <row r="29" spans="1:26" ht="89.25" x14ac:dyDescent="0.25">
      <c r="A29" s="167" t="s">
        <v>155</v>
      </c>
      <c r="B29" s="153"/>
      <c r="C29" s="168">
        <v>27</v>
      </c>
      <c r="D29" s="169">
        <v>2024</v>
      </c>
      <c r="E29" s="170" t="s">
        <v>70</v>
      </c>
      <c r="F29" s="171" t="s">
        <v>71</v>
      </c>
      <c r="G29" s="172" t="s">
        <v>72</v>
      </c>
      <c r="H29" s="173" t="s">
        <v>261</v>
      </c>
      <c r="I29" s="174" t="s">
        <v>262</v>
      </c>
      <c r="J29" s="175">
        <v>290000</v>
      </c>
      <c r="K29" s="176">
        <v>6</v>
      </c>
      <c r="L29" s="177">
        <v>6</v>
      </c>
      <c r="M29" s="177">
        <v>9</v>
      </c>
      <c r="N29" s="177">
        <v>6</v>
      </c>
      <c r="O29" s="177"/>
      <c r="P29" s="177">
        <v>4</v>
      </c>
      <c r="Q29" s="177"/>
      <c r="R29" s="177">
        <v>0</v>
      </c>
      <c r="S29" s="177"/>
      <c r="T29" s="178"/>
      <c r="U29" s="138">
        <f t="shared" si="0"/>
        <v>31</v>
      </c>
      <c r="V29" s="164">
        <f t="shared" si="1"/>
        <v>218599.66678248785</v>
      </c>
      <c r="W29" s="179">
        <v>238260</v>
      </c>
      <c r="X29" s="164">
        <f>'הגבלה לסכום מבוקש'!U57</f>
        <v>215706.59373011222</v>
      </c>
      <c r="Y29" s="184" t="s">
        <v>398</v>
      </c>
      <c r="Z29" s="313"/>
    </row>
    <row r="30" spans="1:26" ht="76.5" x14ac:dyDescent="0.25">
      <c r="A30" s="167" t="s">
        <v>155</v>
      </c>
      <c r="B30" s="153"/>
      <c r="C30" s="168">
        <v>28</v>
      </c>
      <c r="D30" s="169">
        <v>2024</v>
      </c>
      <c r="E30" s="170" t="s">
        <v>73</v>
      </c>
      <c r="F30" s="171" t="s">
        <v>74</v>
      </c>
      <c r="G30" s="172" t="s">
        <v>75</v>
      </c>
      <c r="H30" s="173" t="s">
        <v>263</v>
      </c>
      <c r="I30" s="174" t="s">
        <v>151</v>
      </c>
      <c r="J30" s="175">
        <v>240000</v>
      </c>
      <c r="K30" s="176">
        <v>12</v>
      </c>
      <c r="L30" s="177">
        <v>10</v>
      </c>
      <c r="M30" s="177">
        <v>15</v>
      </c>
      <c r="N30" s="177">
        <v>7</v>
      </c>
      <c r="O30" s="177"/>
      <c r="P30" s="177">
        <v>0</v>
      </c>
      <c r="Q30" s="177"/>
      <c r="R30" s="177">
        <v>0</v>
      </c>
      <c r="S30" s="177"/>
      <c r="T30" s="178"/>
      <c r="U30" s="138">
        <f t="shared" si="0"/>
        <v>44</v>
      </c>
      <c r="V30" s="164">
        <f t="shared" si="1"/>
        <v>310270.49478804722</v>
      </c>
      <c r="W30" s="179">
        <v>209380</v>
      </c>
      <c r="X30" s="164">
        <f>'הגבלה לסכום מבוקש'!U58</f>
        <v>240000</v>
      </c>
      <c r="Y30" s="180" t="s">
        <v>374</v>
      </c>
      <c r="Z30" s="314"/>
    </row>
    <row r="31" spans="1:26" ht="140.25" x14ac:dyDescent="0.25">
      <c r="A31" s="167" t="s">
        <v>154</v>
      </c>
      <c r="B31" s="153" t="s">
        <v>352</v>
      </c>
      <c r="C31" s="168">
        <v>29</v>
      </c>
      <c r="D31" s="169">
        <v>2024</v>
      </c>
      <c r="E31" s="170" t="s">
        <v>264</v>
      </c>
      <c r="F31" s="171" t="s">
        <v>265</v>
      </c>
      <c r="G31" s="172" t="s">
        <v>191</v>
      </c>
      <c r="H31" s="173" t="s">
        <v>266</v>
      </c>
      <c r="I31" s="174" t="s">
        <v>210</v>
      </c>
      <c r="J31" s="175">
        <v>600000</v>
      </c>
      <c r="K31" s="176">
        <v>6</v>
      </c>
      <c r="L31" s="177">
        <v>6</v>
      </c>
      <c r="M31" s="177">
        <v>5</v>
      </c>
      <c r="N31" s="177">
        <v>10</v>
      </c>
      <c r="O31" s="177"/>
      <c r="P31" s="177">
        <v>0</v>
      </c>
      <c r="Q31" s="177"/>
      <c r="R31" s="177">
        <v>0</v>
      </c>
      <c r="S31" s="177"/>
      <c r="T31" s="178"/>
      <c r="U31" s="138">
        <f t="shared" si="0"/>
        <v>27</v>
      </c>
      <c r="V31" s="164">
        <f t="shared" si="1"/>
        <v>190393.25816539262</v>
      </c>
      <c r="W31" s="179">
        <v>0</v>
      </c>
      <c r="X31" s="164">
        <f>'הגבלה לסכום מבוקש'!U59</f>
        <v>187873.4848617106</v>
      </c>
      <c r="Y31" s="180" t="s">
        <v>375</v>
      </c>
      <c r="Z31" s="314"/>
    </row>
    <row r="32" spans="1:26" ht="114.75" x14ac:dyDescent="0.25">
      <c r="A32" s="167" t="s">
        <v>155</v>
      </c>
      <c r="B32" s="153"/>
      <c r="C32" s="168">
        <v>30</v>
      </c>
      <c r="D32" s="169">
        <v>2024</v>
      </c>
      <c r="E32" s="170" t="s">
        <v>76</v>
      </c>
      <c r="F32" s="171" t="s">
        <v>77</v>
      </c>
      <c r="G32" s="172" t="s">
        <v>78</v>
      </c>
      <c r="H32" s="173" t="s">
        <v>267</v>
      </c>
      <c r="I32" s="174" t="s">
        <v>268</v>
      </c>
      <c r="J32" s="175">
        <v>250000</v>
      </c>
      <c r="K32" s="176">
        <v>10</v>
      </c>
      <c r="L32" s="177">
        <v>8</v>
      </c>
      <c r="M32" s="185">
        <v>12</v>
      </c>
      <c r="N32" s="177">
        <v>5</v>
      </c>
      <c r="O32" s="177"/>
      <c r="P32" s="177">
        <v>4</v>
      </c>
      <c r="Q32" s="177"/>
      <c r="R32" s="177">
        <v>0</v>
      </c>
      <c r="S32" s="177"/>
      <c r="T32" s="178"/>
      <c r="U32" s="138">
        <f t="shared" si="0"/>
        <v>39</v>
      </c>
      <c r="V32" s="164">
        <f t="shared" si="1"/>
        <v>275012.48401667824</v>
      </c>
      <c r="W32" s="179">
        <v>250000</v>
      </c>
      <c r="X32" s="164">
        <f>'הגבלה לסכום מבוקש'!U60</f>
        <v>250000</v>
      </c>
      <c r="Y32" s="310" t="s">
        <v>399</v>
      </c>
      <c r="Z32" s="315"/>
    </row>
    <row r="33" spans="1:27" ht="198.75" customHeight="1" x14ac:dyDescent="0.25">
      <c r="A33" s="167" t="s">
        <v>154</v>
      </c>
      <c r="B33" s="153" t="s">
        <v>352</v>
      </c>
      <c r="C33" s="168">
        <v>31</v>
      </c>
      <c r="D33" s="169">
        <v>2024</v>
      </c>
      <c r="E33" s="170" t="s">
        <v>271</v>
      </c>
      <c r="F33" s="171" t="s">
        <v>272</v>
      </c>
      <c r="G33" s="181" t="s">
        <v>273</v>
      </c>
      <c r="H33" s="173" t="s">
        <v>269</v>
      </c>
      <c r="I33" s="174" t="s">
        <v>270</v>
      </c>
      <c r="J33" s="175">
        <v>250000</v>
      </c>
      <c r="K33" s="176"/>
      <c r="L33" s="177"/>
      <c r="M33" s="177"/>
      <c r="N33" s="177"/>
      <c r="O33" s="177"/>
      <c r="P33" s="177"/>
      <c r="Q33" s="177"/>
      <c r="R33" s="177"/>
      <c r="S33" s="177"/>
      <c r="T33" s="178"/>
      <c r="U33" s="138">
        <f t="shared" si="0"/>
        <v>0</v>
      </c>
      <c r="V33" s="164">
        <f t="shared" si="1"/>
        <v>0</v>
      </c>
      <c r="W33" s="179">
        <v>0</v>
      </c>
      <c r="X33" s="164">
        <f>'הגבלה לסכום מבוקש'!U61</f>
        <v>0</v>
      </c>
      <c r="Y33" s="166" t="s">
        <v>550</v>
      </c>
      <c r="Z33" s="313"/>
    </row>
    <row r="34" spans="1:27" ht="255" x14ac:dyDescent="0.25">
      <c r="A34" s="167" t="s">
        <v>154</v>
      </c>
      <c r="B34" s="153"/>
      <c r="C34" s="168">
        <v>32</v>
      </c>
      <c r="D34" s="169">
        <v>2024</v>
      </c>
      <c r="E34" s="170" t="s">
        <v>79</v>
      </c>
      <c r="F34" s="171" t="s">
        <v>80</v>
      </c>
      <c r="G34" s="172" t="s">
        <v>81</v>
      </c>
      <c r="H34" s="173" t="s">
        <v>274</v>
      </c>
      <c r="I34" s="174" t="s">
        <v>275</v>
      </c>
      <c r="J34" s="175">
        <v>500000</v>
      </c>
      <c r="K34" s="176">
        <v>12</v>
      </c>
      <c r="L34" s="177">
        <v>12</v>
      </c>
      <c r="M34" s="177">
        <v>16</v>
      </c>
      <c r="N34" s="177">
        <v>5</v>
      </c>
      <c r="O34" s="177"/>
      <c r="P34" s="177">
        <v>10</v>
      </c>
      <c r="Q34" s="177"/>
      <c r="R34" s="177">
        <v>0</v>
      </c>
      <c r="S34" s="177"/>
      <c r="T34" s="178"/>
      <c r="U34" s="138">
        <f t="shared" si="0"/>
        <v>55</v>
      </c>
      <c r="V34" s="164">
        <f t="shared" si="1"/>
        <v>387838.11848505907</v>
      </c>
      <c r="W34" s="179">
        <v>454861</v>
      </c>
      <c r="X34" s="164">
        <f>'הגבלה לסכום מבוקש'!U62</f>
        <v>382705.2469405217</v>
      </c>
      <c r="Y34" s="309" t="s">
        <v>402</v>
      </c>
      <c r="Z34" s="314" t="s">
        <v>567</v>
      </c>
    </row>
    <row r="35" spans="1:27" ht="305.25" customHeight="1" x14ac:dyDescent="0.25">
      <c r="A35" s="167" t="s">
        <v>154</v>
      </c>
      <c r="B35" s="153" t="s">
        <v>352</v>
      </c>
      <c r="C35" s="168">
        <v>33</v>
      </c>
      <c r="D35" s="169">
        <v>2024</v>
      </c>
      <c r="E35" s="170" t="s">
        <v>277</v>
      </c>
      <c r="F35" s="171" t="s">
        <v>278</v>
      </c>
      <c r="G35" s="181" t="s">
        <v>192</v>
      </c>
      <c r="H35" s="173" t="s">
        <v>276</v>
      </c>
      <c r="I35" s="174" t="s">
        <v>210</v>
      </c>
      <c r="J35" s="175">
        <v>500000</v>
      </c>
      <c r="K35" s="176"/>
      <c r="L35" s="177"/>
      <c r="M35" s="177"/>
      <c r="N35" s="177"/>
      <c r="O35" s="177"/>
      <c r="P35" s="177"/>
      <c r="Q35" s="177"/>
      <c r="R35" s="177"/>
      <c r="S35" s="177"/>
      <c r="T35" s="178"/>
      <c r="U35" s="138">
        <f t="shared" ref="U35:U66" si="2">SUM(K35:T35)</f>
        <v>0</v>
      </c>
      <c r="V35" s="164">
        <f t="shared" si="1"/>
        <v>0</v>
      </c>
      <c r="W35" s="179">
        <v>0</v>
      </c>
      <c r="X35" s="164">
        <f>'הגבלה לסכום מבוקש'!U63</f>
        <v>0</v>
      </c>
      <c r="Y35" s="166" t="s">
        <v>551</v>
      </c>
      <c r="Z35" s="313" t="s">
        <v>568</v>
      </c>
    </row>
    <row r="36" spans="1:27" ht="168.75" customHeight="1" x14ac:dyDescent="0.25">
      <c r="A36" s="167" t="s">
        <v>155</v>
      </c>
      <c r="B36" s="153"/>
      <c r="C36" s="168">
        <v>34</v>
      </c>
      <c r="D36" s="169">
        <v>2024</v>
      </c>
      <c r="E36" s="170" t="s">
        <v>82</v>
      </c>
      <c r="F36" s="171" t="s">
        <v>83</v>
      </c>
      <c r="G36" s="172" t="s">
        <v>84</v>
      </c>
      <c r="H36" s="173" t="s">
        <v>279</v>
      </c>
      <c r="I36" s="174" t="s">
        <v>280</v>
      </c>
      <c r="J36" s="175">
        <v>600000</v>
      </c>
      <c r="K36" s="176">
        <v>20</v>
      </c>
      <c r="L36" s="177">
        <v>20</v>
      </c>
      <c r="M36" s="177">
        <v>19</v>
      </c>
      <c r="N36" s="177">
        <v>19</v>
      </c>
      <c r="O36" s="177"/>
      <c r="P36" s="177">
        <v>4</v>
      </c>
      <c r="Q36" s="177"/>
      <c r="R36" s="177">
        <v>0</v>
      </c>
      <c r="S36" s="177"/>
      <c r="T36" s="178"/>
      <c r="U36" s="138">
        <f t="shared" si="2"/>
        <v>82</v>
      </c>
      <c r="V36" s="164">
        <f t="shared" si="1"/>
        <v>578231.37665045168</v>
      </c>
      <c r="W36" s="179">
        <v>519841</v>
      </c>
      <c r="X36" s="164">
        <f>'הגבלה לסכום מבוקש'!U64</f>
        <v>570578.73180223233</v>
      </c>
      <c r="Y36" s="180" t="s">
        <v>376</v>
      </c>
      <c r="Z36" s="314"/>
    </row>
    <row r="37" spans="1:27" ht="111.75" customHeight="1" x14ac:dyDescent="0.25">
      <c r="A37" s="167" t="s">
        <v>155</v>
      </c>
      <c r="B37" s="153"/>
      <c r="C37" s="168">
        <v>35</v>
      </c>
      <c r="D37" s="169">
        <v>2024</v>
      </c>
      <c r="E37" s="170" t="s">
        <v>85</v>
      </c>
      <c r="F37" s="171" t="s">
        <v>86</v>
      </c>
      <c r="G37" s="172" t="s">
        <v>282</v>
      </c>
      <c r="H37" s="173" t="s">
        <v>281</v>
      </c>
      <c r="I37" s="174" t="s">
        <v>152</v>
      </c>
      <c r="J37" s="175">
        <v>500000</v>
      </c>
      <c r="K37" s="176">
        <v>10</v>
      </c>
      <c r="L37" s="177">
        <v>8</v>
      </c>
      <c r="M37" s="177">
        <v>7</v>
      </c>
      <c r="N37" s="177">
        <v>7</v>
      </c>
      <c r="O37" s="177"/>
      <c r="P37" s="177">
        <v>0</v>
      </c>
      <c r="Q37" s="177"/>
      <c r="R37" s="177">
        <v>0</v>
      </c>
      <c r="S37" s="177"/>
      <c r="T37" s="178"/>
      <c r="U37" s="138">
        <f t="shared" si="2"/>
        <v>32</v>
      </c>
      <c r="V37" s="164">
        <f t="shared" si="1"/>
        <v>225651.26893676163</v>
      </c>
      <c r="W37" s="179">
        <v>216601</v>
      </c>
      <c r="X37" s="164">
        <f>'הגבלה לסכום מבוקש'!U65</f>
        <v>222664.87094721253</v>
      </c>
      <c r="Y37" s="180" t="s">
        <v>377</v>
      </c>
      <c r="Z37" s="314"/>
    </row>
    <row r="38" spans="1:27" ht="140.25" customHeight="1" x14ac:dyDescent="0.25">
      <c r="A38" s="167" t="s">
        <v>155</v>
      </c>
      <c r="B38" s="153"/>
      <c r="C38" s="168">
        <v>36</v>
      </c>
      <c r="D38" s="169">
        <v>2024</v>
      </c>
      <c r="E38" s="170" t="s">
        <v>87</v>
      </c>
      <c r="F38" s="171" t="s">
        <v>88</v>
      </c>
      <c r="G38" s="172" t="s">
        <v>157</v>
      </c>
      <c r="H38" s="173" t="s">
        <v>283</v>
      </c>
      <c r="I38" s="174" t="s">
        <v>284</v>
      </c>
      <c r="J38" s="175">
        <v>995000</v>
      </c>
      <c r="K38" s="176">
        <v>15</v>
      </c>
      <c r="L38" s="177">
        <v>15</v>
      </c>
      <c r="M38" s="177">
        <v>19</v>
      </c>
      <c r="N38" s="177">
        <v>19</v>
      </c>
      <c r="O38" s="177"/>
      <c r="P38" s="177">
        <v>14</v>
      </c>
      <c r="Q38" s="177"/>
      <c r="R38" s="177">
        <v>8</v>
      </c>
      <c r="S38" s="177"/>
      <c r="T38" s="178"/>
      <c r="U38" s="138">
        <f t="shared" si="2"/>
        <v>90</v>
      </c>
      <c r="V38" s="164">
        <f t="shared" si="1"/>
        <v>634644.1938846421</v>
      </c>
      <c r="W38" s="179">
        <v>577601</v>
      </c>
      <c r="X38" s="164">
        <f>'הגבלה לסכום מבוקש'!U66</f>
        <v>626244.94953903521</v>
      </c>
      <c r="Y38" s="180" t="s">
        <v>378</v>
      </c>
      <c r="Z38" s="314"/>
    </row>
    <row r="39" spans="1:27" ht="114.75" customHeight="1" x14ac:dyDescent="0.25">
      <c r="A39" s="167" t="s">
        <v>155</v>
      </c>
      <c r="B39" s="153"/>
      <c r="C39" s="168">
        <v>37</v>
      </c>
      <c r="D39" s="169">
        <v>2024</v>
      </c>
      <c r="E39" s="170" t="s">
        <v>89</v>
      </c>
      <c r="F39" s="171" t="s">
        <v>90</v>
      </c>
      <c r="G39" s="172" t="s">
        <v>287</v>
      </c>
      <c r="H39" s="173" t="s">
        <v>285</v>
      </c>
      <c r="I39" s="174" t="s">
        <v>286</v>
      </c>
      <c r="J39" s="175">
        <v>700000</v>
      </c>
      <c r="K39" s="176">
        <v>12</v>
      </c>
      <c r="L39" s="177">
        <v>15</v>
      </c>
      <c r="M39" s="177">
        <v>15</v>
      </c>
      <c r="N39" s="177">
        <v>12</v>
      </c>
      <c r="O39" s="177"/>
      <c r="P39" s="177">
        <v>6</v>
      </c>
      <c r="Q39" s="177"/>
      <c r="R39" s="177">
        <v>0</v>
      </c>
      <c r="S39" s="177"/>
      <c r="T39" s="178"/>
      <c r="U39" s="138">
        <f t="shared" si="2"/>
        <v>60</v>
      </c>
      <c r="V39" s="164">
        <f t="shared" si="1"/>
        <v>423096.12925642804</v>
      </c>
      <c r="W39" s="179">
        <v>433200</v>
      </c>
      <c r="X39" s="164">
        <f>'הגבלה לסכום מבוקש'!U67</f>
        <v>417496.63302602357</v>
      </c>
      <c r="Y39" s="180" t="s">
        <v>379</v>
      </c>
      <c r="Z39" s="314"/>
    </row>
    <row r="40" spans="1:27" ht="213.75" customHeight="1" x14ac:dyDescent="0.25">
      <c r="A40" s="167" t="s">
        <v>155</v>
      </c>
      <c r="B40" s="153"/>
      <c r="C40" s="168">
        <v>38</v>
      </c>
      <c r="D40" s="169">
        <v>2024</v>
      </c>
      <c r="E40" s="170" t="s">
        <v>91</v>
      </c>
      <c r="F40" s="171" t="s">
        <v>92</v>
      </c>
      <c r="G40" s="172" t="s">
        <v>290</v>
      </c>
      <c r="H40" s="173" t="s">
        <v>288</v>
      </c>
      <c r="I40" s="174" t="s">
        <v>289</v>
      </c>
      <c r="J40" s="175">
        <v>750000</v>
      </c>
      <c r="K40" s="176">
        <v>20</v>
      </c>
      <c r="L40" s="177">
        <v>20</v>
      </c>
      <c r="M40" s="177">
        <v>19</v>
      </c>
      <c r="N40" s="177">
        <v>0</v>
      </c>
      <c r="O40" s="177"/>
      <c r="P40" s="177">
        <v>6</v>
      </c>
      <c r="Q40" s="177"/>
      <c r="R40" s="177">
        <v>0</v>
      </c>
      <c r="S40" s="177"/>
      <c r="T40" s="178"/>
      <c r="U40" s="138">
        <f t="shared" si="2"/>
        <v>65</v>
      </c>
      <c r="V40" s="164">
        <f t="shared" si="1"/>
        <v>458354.14002779708</v>
      </c>
      <c r="W40" s="179">
        <v>657021</v>
      </c>
      <c r="X40" s="164">
        <f>'הגבלה לסכום מבוקש'!U68</f>
        <v>533783.13757577527</v>
      </c>
      <c r="Y40" s="309" t="s">
        <v>380</v>
      </c>
      <c r="Z40" s="314" t="s">
        <v>569</v>
      </c>
    </row>
    <row r="41" spans="1:27" ht="144.75" customHeight="1" x14ac:dyDescent="0.25">
      <c r="A41" s="167" t="s">
        <v>154</v>
      </c>
      <c r="B41" s="153" t="s">
        <v>352</v>
      </c>
      <c r="C41" s="168">
        <v>39</v>
      </c>
      <c r="D41" s="169">
        <v>2024</v>
      </c>
      <c r="E41" s="170" t="s">
        <v>293</v>
      </c>
      <c r="F41" s="171" t="s">
        <v>294</v>
      </c>
      <c r="G41" s="181" t="s">
        <v>193</v>
      </c>
      <c r="H41" s="173" t="s">
        <v>291</v>
      </c>
      <c r="I41" s="174" t="s">
        <v>292</v>
      </c>
      <c r="J41" s="175">
        <v>600000</v>
      </c>
      <c r="K41" s="176"/>
      <c r="L41" s="177"/>
      <c r="M41" s="177"/>
      <c r="N41" s="177"/>
      <c r="O41" s="177"/>
      <c r="P41" s="177"/>
      <c r="Q41" s="177"/>
      <c r="R41" s="177"/>
      <c r="S41" s="177"/>
      <c r="T41" s="178"/>
      <c r="U41" s="138">
        <f t="shared" si="2"/>
        <v>0</v>
      </c>
      <c r="V41" s="164">
        <f t="shared" si="1"/>
        <v>0</v>
      </c>
      <c r="W41" s="179">
        <v>0</v>
      </c>
      <c r="X41" s="164">
        <f>'הגבלה לסכום מבוקש'!U69</f>
        <v>0</v>
      </c>
      <c r="Y41" s="308" t="s">
        <v>552</v>
      </c>
      <c r="Z41" s="314" t="s">
        <v>570</v>
      </c>
    </row>
    <row r="42" spans="1:27" s="10" customFormat="1" ht="144.75" customHeight="1" x14ac:dyDescent="0.25">
      <c r="A42" s="186" t="s">
        <v>155</v>
      </c>
      <c r="B42" s="187"/>
      <c r="C42" s="168">
        <v>40</v>
      </c>
      <c r="D42" s="188">
        <v>2024</v>
      </c>
      <c r="E42" s="189" t="s">
        <v>93</v>
      </c>
      <c r="F42" s="190" t="s">
        <v>94</v>
      </c>
      <c r="G42" s="172" t="s">
        <v>95</v>
      </c>
      <c r="H42" s="191" t="s">
        <v>295</v>
      </c>
      <c r="I42" s="174" t="s">
        <v>296</v>
      </c>
      <c r="J42" s="192">
        <v>380000</v>
      </c>
      <c r="K42" s="193">
        <v>10</v>
      </c>
      <c r="L42" s="194">
        <v>8</v>
      </c>
      <c r="M42" s="194">
        <v>15</v>
      </c>
      <c r="N42" s="194">
        <v>7</v>
      </c>
      <c r="O42" s="194"/>
      <c r="P42" s="194">
        <v>8</v>
      </c>
      <c r="Q42" s="194"/>
      <c r="R42" s="194">
        <v>0</v>
      </c>
      <c r="S42" s="194"/>
      <c r="T42" s="195"/>
      <c r="U42" s="138">
        <f t="shared" si="2"/>
        <v>48</v>
      </c>
      <c r="V42" s="164">
        <f t="shared" si="1"/>
        <v>338476.90340514242</v>
      </c>
      <c r="W42" s="179">
        <v>380000</v>
      </c>
      <c r="X42" s="164">
        <f>'הגבלה לסכום מבוקש'!U70</f>
        <v>333997.30642081896</v>
      </c>
      <c r="Y42" s="180" t="s">
        <v>381</v>
      </c>
      <c r="Z42" s="314"/>
    </row>
    <row r="43" spans="1:27" ht="132" customHeight="1" x14ac:dyDescent="0.25">
      <c r="A43" s="167" t="s">
        <v>155</v>
      </c>
      <c r="B43" s="153"/>
      <c r="C43" s="168">
        <v>41</v>
      </c>
      <c r="D43" s="169">
        <v>2024</v>
      </c>
      <c r="E43" s="170" t="s">
        <v>96</v>
      </c>
      <c r="F43" s="171" t="s">
        <v>97</v>
      </c>
      <c r="G43" s="172" t="s">
        <v>158</v>
      </c>
      <c r="H43" s="173" t="s">
        <v>297</v>
      </c>
      <c r="I43" s="174" t="s">
        <v>98</v>
      </c>
      <c r="J43" s="175">
        <v>400000</v>
      </c>
      <c r="K43" s="176">
        <v>10</v>
      </c>
      <c r="L43" s="177">
        <v>8</v>
      </c>
      <c r="M43" s="177">
        <v>10</v>
      </c>
      <c r="N43" s="177">
        <v>8</v>
      </c>
      <c r="O43" s="177"/>
      <c r="P43" s="177">
        <v>6</v>
      </c>
      <c r="Q43" s="177"/>
      <c r="R43" s="177">
        <v>2</v>
      </c>
      <c r="S43" s="177"/>
      <c r="T43" s="178"/>
      <c r="U43" s="138">
        <f t="shared" si="2"/>
        <v>44</v>
      </c>
      <c r="V43" s="164">
        <f t="shared" si="1"/>
        <v>310270.49478804722</v>
      </c>
      <c r="W43" s="179">
        <v>324900</v>
      </c>
      <c r="X43" s="164">
        <f>'הגבלה לסכום מבוקש'!U71</f>
        <v>306164.19755241746</v>
      </c>
      <c r="Y43" s="180" t="s">
        <v>382</v>
      </c>
      <c r="Z43" s="314"/>
    </row>
    <row r="44" spans="1:27" ht="148.5" customHeight="1" x14ac:dyDescent="0.25">
      <c r="A44" s="167" t="s">
        <v>155</v>
      </c>
      <c r="B44" s="153"/>
      <c r="C44" s="168">
        <v>42</v>
      </c>
      <c r="D44" s="169">
        <v>2024</v>
      </c>
      <c r="E44" s="170" t="s">
        <v>99</v>
      </c>
      <c r="F44" s="171" t="s">
        <v>100</v>
      </c>
      <c r="G44" s="172" t="s">
        <v>159</v>
      </c>
      <c r="H44" s="173" t="s">
        <v>298</v>
      </c>
      <c r="I44" s="174" t="s">
        <v>232</v>
      </c>
      <c r="J44" s="175">
        <v>600000</v>
      </c>
      <c r="K44" s="176">
        <v>20</v>
      </c>
      <c r="L44" s="177">
        <v>20</v>
      </c>
      <c r="M44" s="177">
        <v>16</v>
      </c>
      <c r="N44" s="177">
        <v>16</v>
      </c>
      <c r="O44" s="177"/>
      <c r="P44" s="177">
        <v>14</v>
      </c>
      <c r="Q44" s="177"/>
      <c r="R44" s="177">
        <v>0</v>
      </c>
      <c r="S44" s="177"/>
      <c r="T44" s="178"/>
      <c r="U44" s="138">
        <f t="shared" si="2"/>
        <v>86</v>
      </c>
      <c r="V44" s="164">
        <f t="shared" si="1"/>
        <v>606437.78526754689</v>
      </c>
      <c r="W44" s="179">
        <v>534281</v>
      </c>
      <c r="X44" s="164">
        <f>'הגבלה לסכום מבוקש'!U72</f>
        <v>598411.84067063394</v>
      </c>
      <c r="Y44" s="180" t="s">
        <v>383</v>
      </c>
      <c r="Z44" s="314"/>
      <c r="AA44" s="18"/>
    </row>
    <row r="45" spans="1:27" ht="149.25" customHeight="1" x14ac:dyDescent="0.25">
      <c r="A45" s="167" t="s">
        <v>155</v>
      </c>
      <c r="B45" s="153"/>
      <c r="C45" s="168">
        <v>43</v>
      </c>
      <c r="D45" s="169">
        <v>2024</v>
      </c>
      <c r="E45" s="170" t="s">
        <v>101</v>
      </c>
      <c r="F45" s="171" t="s">
        <v>102</v>
      </c>
      <c r="G45" s="172" t="s">
        <v>301</v>
      </c>
      <c r="H45" s="173" t="s">
        <v>299</v>
      </c>
      <c r="I45" s="174" t="s">
        <v>300</v>
      </c>
      <c r="J45" s="175">
        <v>1300000</v>
      </c>
      <c r="K45" s="176">
        <v>20</v>
      </c>
      <c r="L45" s="177">
        <v>20</v>
      </c>
      <c r="M45" s="177">
        <v>19</v>
      </c>
      <c r="N45" s="177">
        <v>19</v>
      </c>
      <c r="O45" s="177"/>
      <c r="P45" s="182">
        <v>10</v>
      </c>
      <c r="Q45" s="177"/>
      <c r="R45" s="177">
        <v>6</v>
      </c>
      <c r="S45" s="177"/>
      <c r="T45" s="178"/>
      <c r="U45" s="138">
        <f t="shared" si="2"/>
        <v>94</v>
      </c>
      <c r="V45" s="164">
        <f t="shared" si="1"/>
        <v>662850.60250173742</v>
      </c>
      <c r="W45" s="179">
        <v>685901</v>
      </c>
      <c r="X45" s="164">
        <f>'הגבלה לסכום מבוקש'!U73</f>
        <v>654078.05840743694</v>
      </c>
      <c r="Y45" s="180" t="s">
        <v>403</v>
      </c>
      <c r="Z45" s="314"/>
    </row>
    <row r="46" spans="1:27" ht="178.5" customHeight="1" x14ac:dyDescent="0.25">
      <c r="A46" s="167" t="s">
        <v>155</v>
      </c>
      <c r="B46" s="153"/>
      <c r="C46" s="168">
        <v>44</v>
      </c>
      <c r="D46" s="169">
        <v>2024</v>
      </c>
      <c r="E46" s="170" t="s">
        <v>103</v>
      </c>
      <c r="F46" s="171" t="s">
        <v>104</v>
      </c>
      <c r="G46" s="172" t="s">
        <v>105</v>
      </c>
      <c r="H46" s="173" t="s">
        <v>302</v>
      </c>
      <c r="I46" s="174" t="s">
        <v>303</v>
      </c>
      <c r="J46" s="175">
        <v>650000</v>
      </c>
      <c r="K46" s="176">
        <v>8</v>
      </c>
      <c r="L46" s="177">
        <v>10</v>
      </c>
      <c r="M46" s="177">
        <v>13</v>
      </c>
      <c r="N46" s="177">
        <v>12</v>
      </c>
      <c r="O46" s="177"/>
      <c r="P46" s="177">
        <v>6</v>
      </c>
      <c r="Q46" s="177"/>
      <c r="R46" s="177">
        <v>8</v>
      </c>
      <c r="S46" s="177"/>
      <c r="T46" s="178"/>
      <c r="U46" s="138">
        <f t="shared" si="2"/>
        <v>57</v>
      </c>
      <c r="V46" s="164">
        <f t="shared" si="1"/>
        <v>401941.32279360667</v>
      </c>
      <c r="W46" s="179">
        <v>368221</v>
      </c>
      <c r="X46" s="164">
        <f>'הגבלה לסכום מבוקש'!U74</f>
        <v>396621.80137472245</v>
      </c>
      <c r="Y46" s="180" t="s">
        <v>384</v>
      </c>
      <c r="Z46" s="314"/>
    </row>
    <row r="47" spans="1:27" ht="129" customHeight="1" x14ac:dyDescent="0.25">
      <c r="A47" s="167" t="s">
        <v>155</v>
      </c>
      <c r="B47" s="153"/>
      <c r="C47" s="168">
        <v>45</v>
      </c>
      <c r="D47" s="169">
        <v>2024</v>
      </c>
      <c r="E47" s="170" t="s">
        <v>106</v>
      </c>
      <c r="F47" s="171" t="s">
        <v>107</v>
      </c>
      <c r="G47" s="172" t="s">
        <v>108</v>
      </c>
      <c r="H47" s="173" t="s">
        <v>304</v>
      </c>
      <c r="I47" s="174" t="s">
        <v>305</v>
      </c>
      <c r="J47" s="175">
        <v>600000</v>
      </c>
      <c r="K47" s="176">
        <v>9</v>
      </c>
      <c r="L47" s="177">
        <v>8</v>
      </c>
      <c r="M47" s="177">
        <v>14</v>
      </c>
      <c r="N47" s="177">
        <v>8</v>
      </c>
      <c r="O47" s="177"/>
      <c r="P47" s="177">
        <v>6</v>
      </c>
      <c r="Q47" s="177"/>
      <c r="R47" s="177">
        <v>2</v>
      </c>
      <c r="S47" s="177"/>
      <c r="T47" s="178"/>
      <c r="U47" s="138">
        <f t="shared" si="2"/>
        <v>47</v>
      </c>
      <c r="V47" s="164">
        <f t="shared" si="1"/>
        <v>331425.30125086871</v>
      </c>
      <c r="W47" s="179">
        <v>368221</v>
      </c>
      <c r="X47" s="164">
        <f>'הגבלה לסכום מבוקש'!U75</f>
        <v>327039.02920371847</v>
      </c>
      <c r="Y47" s="180" t="s">
        <v>385</v>
      </c>
      <c r="Z47" s="314"/>
    </row>
    <row r="48" spans="1:27" ht="150.75" customHeight="1" x14ac:dyDescent="0.25">
      <c r="A48" s="167" t="s">
        <v>155</v>
      </c>
      <c r="B48" s="153"/>
      <c r="C48" s="168">
        <v>46</v>
      </c>
      <c r="D48" s="169">
        <v>2024</v>
      </c>
      <c r="E48" s="170" t="s">
        <v>109</v>
      </c>
      <c r="F48" s="171" t="s">
        <v>110</v>
      </c>
      <c r="G48" s="172" t="s">
        <v>111</v>
      </c>
      <c r="H48" s="173" t="s">
        <v>306</v>
      </c>
      <c r="I48" s="174" t="s">
        <v>303</v>
      </c>
      <c r="J48" s="175">
        <v>300000</v>
      </c>
      <c r="K48" s="176">
        <v>12</v>
      </c>
      <c r="L48" s="177">
        <v>14</v>
      </c>
      <c r="M48" s="177">
        <v>12</v>
      </c>
      <c r="N48" s="177">
        <v>6</v>
      </c>
      <c r="O48" s="177"/>
      <c r="P48" s="177">
        <v>2</v>
      </c>
      <c r="Q48" s="177"/>
      <c r="R48" s="177">
        <v>0</v>
      </c>
      <c r="S48" s="177"/>
      <c r="T48" s="178"/>
      <c r="U48" s="138">
        <f t="shared" si="2"/>
        <v>46</v>
      </c>
      <c r="V48" s="164">
        <f t="shared" si="1"/>
        <v>324373.69909659488</v>
      </c>
      <c r="W48" s="179">
        <v>300000</v>
      </c>
      <c r="X48" s="164">
        <f>'הגבלה לסכום מבוקש'!U76</f>
        <v>300000</v>
      </c>
      <c r="Y48" s="180" t="s">
        <v>386</v>
      </c>
      <c r="Z48" s="314"/>
    </row>
    <row r="49" spans="1:26" ht="157.5" customHeight="1" x14ac:dyDescent="0.25">
      <c r="A49" s="167" t="s">
        <v>155</v>
      </c>
      <c r="B49" s="153"/>
      <c r="C49" s="168">
        <v>47</v>
      </c>
      <c r="D49" s="169">
        <v>2024</v>
      </c>
      <c r="E49" s="170" t="s">
        <v>112</v>
      </c>
      <c r="F49" s="171" t="s">
        <v>113</v>
      </c>
      <c r="G49" s="172" t="s">
        <v>308</v>
      </c>
      <c r="H49" s="173" t="s">
        <v>307</v>
      </c>
      <c r="I49" s="174" t="s">
        <v>303</v>
      </c>
      <c r="J49" s="175">
        <v>450000</v>
      </c>
      <c r="K49" s="176">
        <v>15</v>
      </c>
      <c r="L49" s="177">
        <v>15</v>
      </c>
      <c r="M49" s="177">
        <v>19</v>
      </c>
      <c r="N49" s="177">
        <v>6</v>
      </c>
      <c r="O49" s="177"/>
      <c r="P49" s="177">
        <v>6</v>
      </c>
      <c r="Q49" s="177"/>
      <c r="R49" s="177">
        <v>0</v>
      </c>
      <c r="S49" s="177"/>
      <c r="T49" s="178"/>
      <c r="U49" s="138">
        <f t="shared" si="2"/>
        <v>61</v>
      </c>
      <c r="V49" s="164">
        <f t="shared" si="1"/>
        <v>430147.73141070188</v>
      </c>
      <c r="W49" s="179">
        <v>420000</v>
      </c>
      <c r="X49" s="164">
        <f>'הגבלה לסכום מבוקש'!U77</f>
        <v>424454.91024312418</v>
      </c>
      <c r="Y49" s="184" t="s">
        <v>400</v>
      </c>
      <c r="Z49" s="313"/>
    </row>
    <row r="50" spans="1:26" ht="132" customHeight="1" x14ac:dyDescent="0.25">
      <c r="A50" s="167" t="s">
        <v>155</v>
      </c>
      <c r="B50" s="153"/>
      <c r="C50" s="168">
        <v>48</v>
      </c>
      <c r="D50" s="169">
        <v>2024</v>
      </c>
      <c r="E50" s="170" t="s">
        <v>114</v>
      </c>
      <c r="F50" s="171" t="s">
        <v>115</v>
      </c>
      <c r="G50" s="172" t="s">
        <v>116</v>
      </c>
      <c r="H50" s="173" t="s">
        <v>309</v>
      </c>
      <c r="I50" s="174" t="s">
        <v>203</v>
      </c>
      <c r="J50" s="175">
        <v>450000</v>
      </c>
      <c r="K50" s="176">
        <v>12</v>
      </c>
      <c r="L50" s="177">
        <v>12</v>
      </c>
      <c r="M50" s="177">
        <v>14</v>
      </c>
      <c r="N50" s="177">
        <v>6</v>
      </c>
      <c r="O50" s="177"/>
      <c r="P50" s="177">
        <v>4</v>
      </c>
      <c r="Q50" s="177"/>
      <c r="R50" s="177">
        <v>2</v>
      </c>
      <c r="S50" s="177"/>
      <c r="T50" s="178"/>
      <c r="U50" s="138">
        <f t="shared" si="2"/>
        <v>50</v>
      </c>
      <c r="V50" s="164">
        <f t="shared" si="1"/>
        <v>352580.10771369009</v>
      </c>
      <c r="W50" s="179">
        <v>324900</v>
      </c>
      <c r="X50" s="164">
        <f>'הגבלה לסכום מבוקש'!U78</f>
        <v>347913.86085501971</v>
      </c>
      <c r="Y50" s="180" t="s">
        <v>387</v>
      </c>
      <c r="Z50" s="314"/>
    </row>
    <row r="51" spans="1:26" ht="131.25" customHeight="1" x14ac:dyDescent="0.25">
      <c r="A51" s="167" t="s">
        <v>155</v>
      </c>
      <c r="B51" s="153"/>
      <c r="C51" s="168">
        <v>49</v>
      </c>
      <c r="D51" s="169">
        <v>2024</v>
      </c>
      <c r="E51" s="170" t="s">
        <v>118</v>
      </c>
      <c r="F51" s="171" t="s">
        <v>119</v>
      </c>
      <c r="G51" s="172" t="s">
        <v>120</v>
      </c>
      <c r="H51" s="173" t="s">
        <v>310</v>
      </c>
      <c r="I51" s="174" t="s">
        <v>27</v>
      </c>
      <c r="J51" s="175">
        <v>540000</v>
      </c>
      <c r="K51" s="176">
        <v>10</v>
      </c>
      <c r="L51" s="177">
        <v>10</v>
      </c>
      <c r="M51" s="177">
        <v>10</v>
      </c>
      <c r="N51" s="177">
        <v>6</v>
      </c>
      <c r="O51" s="177"/>
      <c r="P51" s="177">
        <v>0</v>
      </c>
      <c r="Q51" s="177"/>
      <c r="R51" s="177">
        <v>0</v>
      </c>
      <c r="S51" s="177"/>
      <c r="T51" s="178"/>
      <c r="U51" s="138">
        <f t="shared" si="2"/>
        <v>36</v>
      </c>
      <c r="V51" s="164">
        <f t="shared" si="1"/>
        <v>253857.67755385686</v>
      </c>
      <c r="W51" s="179">
        <v>310461</v>
      </c>
      <c r="X51" s="164">
        <f>'הגבלה לסכום מבוקש'!U79</f>
        <v>252227.62541062271</v>
      </c>
      <c r="Y51" s="180" t="s">
        <v>404</v>
      </c>
      <c r="Z51" s="314"/>
    </row>
    <row r="52" spans="1:26" ht="143.25" customHeight="1" x14ac:dyDescent="0.25">
      <c r="A52" s="167" t="s">
        <v>155</v>
      </c>
      <c r="B52" s="153"/>
      <c r="C52" s="168">
        <v>50</v>
      </c>
      <c r="D52" s="169">
        <v>2024</v>
      </c>
      <c r="E52" s="170" t="s">
        <v>121</v>
      </c>
      <c r="F52" s="171" t="s">
        <v>122</v>
      </c>
      <c r="G52" s="172" t="s">
        <v>312</v>
      </c>
      <c r="H52" s="173" t="s">
        <v>311</v>
      </c>
      <c r="I52" s="174" t="s">
        <v>232</v>
      </c>
      <c r="J52" s="175">
        <v>700000</v>
      </c>
      <c r="K52" s="176">
        <v>18</v>
      </c>
      <c r="L52" s="177">
        <v>15</v>
      </c>
      <c r="M52" s="177">
        <v>19</v>
      </c>
      <c r="N52" s="177">
        <v>14</v>
      </c>
      <c r="O52" s="177"/>
      <c r="P52" s="177">
        <v>6</v>
      </c>
      <c r="Q52" s="177"/>
      <c r="R52" s="177">
        <v>8</v>
      </c>
      <c r="S52" s="177"/>
      <c r="T52" s="178"/>
      <c r="U52" s="138">
        <f t="shared" si="2"/>
        <v>80</v>
      </c>
      <c r="V52" s="164">
        <f t="shared" si="1"/>
        <v>564128.17234190414</v>
      </c>
      <c r="W52" s="179">
        <v>505401</v>
      </c>
      <c r="X52" s="164">
        <f>'הגבלה לסכום מבוקש'!U80</f>
        <v>556662.17736803147</v>
      </c>
      <c r="Y52" s="180" t="s">
        <v>388</v>
      </c>
      <c r="Z52" s="314"/>
    </row>
    <row r="53" spans="1:26" ht="119.25" customHeight="1" x14ac:dyDescent="0.25">
      <c r="A53" s="167" t="s">
        <v>155</v>
      </c>
      <c r="B53" s="153"/>
      <c r="C53" s="168">
        <v>51</v>
      </c>
      <c r="D53" s="169">
        <v>2024</v>
      </c>
      <c r="E53" s="170" t="s">
        <v>123</v>
      </c>
      <c r="F53" s="171" t="s">
        <v>124</v>
      </c>
      <c r="G53" s="172" t="s">
        <v>153</v>
      </c>
      <c r="H53" s="173" t="s">
        <v>313</v>
      </c>
      <c r="I53" s="174" t="s">
        <v>314</v>
      </c>
      <c r="J53" s="175">
        <v>380000</v>
      </c>
      <c r="K53" s="176">
        <v>6</v>
      </c>
      <c r="L53" s="177">
        <v>6</v>
      </c>
      <c r="M53" s="177">
        <v>10</v>
      </c>
      <c r="N53" s="177">
        <v>9</v>
      </c>
      <c r="O53" s="177"/>
      <c r="P53" s="177">
        <v>4</v>
      </c>
      <c r="Q53" s="177"/>
      <c r="R53" s="177">
        <v>6</v>
      </c>
      <c r="S53" s="177"/>
      <c r="T53" s="178"/>
      <c r="U53" s="138">
        <f t="shared" si="2"/>
        <v>41</v>
      </c>
      <c r="V53" s="164">
        <f t="shared" si="1"/>
        <v>289115.68832522584</v>
      </c>
      <c r="W53" s="179">
        <v>274361</v>
      </c>
      <c r="X53" s="164">
        <f>'הגבלה לסכום מבוקש'!U81</f>
        <v>285289.36590111617</v>
      </c>
      <c r="Y53" s="180" t="s">
        <v>389</v>
      </c>
      <c r="Z53" s="314"/>
    </row>
    <row r="54" spans="1:26" ht="132.75" customHeight="1" x14ac:dyDescent="0.25">
      <c r="A54" s="167" t="s">
        <v>155</v>
      </c>
      <c r="B54" s="153"/>
      <c r="C54" s="168">
        <v>52</v>
      </c>
      <c r="D54" s="169">
        <v>2024</v>
      </c>
      <c r="E54" s="170" t="s">
        <v>125</v>
      </c>
      <c r="F54" s="171" t="s">
        <v>126</v>
      </c>
      <c r="G54" s="172" t="s">
        <v>127</v>
      </c>
      <c r="H54" s="173" t="s">
        <v>315</v>
      </c>
      <c r="I54" s="174" t="s">
        <v>117</v>
      </c>
      <c r="J54" s="175">
        <v>200000</v>
      </c>
      <c r="K54" s="176">
        <v>4</v>
      </c>
      <c r="L54" s="177">
        <v>7</v>
      </c>
      <c r="M54" s="177">
        <v>6</v>
      </c>
      <c r="N54" s="177">
        <v>0</v>
      </c>
      <c r="O54" s="177"/>
      <c r="P54" s="177">
        <v>2</v>
      </c>
      <c r="Q54" s="177"/>
      <c r="R54" s="177">
        <v>0</v>
      </c>
      <c r="S54" s="177"/>
      <c r="T54" s="178"/>
      <c r="U54" s="138">
        <f t="shared" si="2"/>
        <v>19</v>
      </c>
      <c r="V54" s="164">
        <f t="shared" si="1"/>
        <v>133980.44093120223</v>
      </c>
      <c r="W54" s="179">
        <v>129961</v>
      </c>
      <c r="X54" s="164">
        <f>'הגבלה לסכום מבוקש'!U82</f>
        <v>132207.26712490752</v>
      </c>
      <c r="Y54" s="309" t="s">
        <v>390</v>
      </c>
      <c r="Z54" s="314"/>
    </row>
    <row r="55" spans="1:26" ht="280.5" x14ac:dyDescent="0.25">
      <c r="A55" s="167" t="s">
        <v>154</v>
      </c>
      <c r="B55" s="153" t="s">
        <v>352</v>
      </c>
      <c r="C55" s="168">
        <v>53</v>
      </c>
      <c r="D55" s="169">
        <v>2024</v>
      </c>
      <c r="E55" s="170" t="s">
        <v>318</v>
      </c>
      <c r="F55" s="171" t="s">
        <v>319</v>
      </c>
      <c r="G55" s="172" t="s">
        <v>194</v>
      </c>
      <c r="H55" s="173" t="s">
        <v>316</v>
      </c>
      <c r="I55" s="174" t="s">
        <v>317</v>
      </c>
      <c r="J55" s="175">
        <v>400000</v>
      </c>
      <c r="K55" s="176">
        <v>8</v>
      </c>
      <c r="L55" s="177">
        <v>8</v>
      </c>
      <c r="M55" s="177">
        <v>6</v>
      </c>
      <c r="N55" s="177">
        <v>6</v>
      </c>
      <c r="O55" s="177"/>
      <c r="P55" s="177">
        <v>6</v>
      </c>
      <c r="Q55" s="177"/>
      <c r="R55" s="177">
        <v>0</v>
      </c>
      <c r="S55" s="177"/>
      <c r="T55" s="178"/>
      <c r="U55" s="138">
        <f t="shared" si="2"/>
        <v>34</v>
      </c>
      <c r="V55" s="164">
        <f t="shared" si="1"/>
        <v>239754.47324530926</v>
      </c>
      <c r="W55" s="179">
        <v>0</v>
      </c>
      <c r="X55" s="164">
        <f>'הגבלה לסכום מבוקש'!U83</f>
        <v>236581.42538141346</v>
      </c>
      <c r="Y55" s="318" t="s">
        <v>553</v>
      </c>
      <c r="Z55" s="317" t="s">
        <v>571</v>
      </c>
    </row>
    <row r="56" spans="1:26" ht="165.75" customHeight="1" x14ac:dyDescent="0.25">
      <c r="A56" s="167" t="s">
        <v>155</v>
      </c>
      <c r="B56" s="153"/>
      <c r="C56" s="168">
        <v>54</v>
      </c>
      <c r="D56" s="169">
        <v>2024</v>
      </c>
      <c r="E56" s="170" t="s">
        <v>128</v>
      </c>
      <c r="F56" s="171" t="s">
        <v>129</v>
      </c>
      <c r="G56" s="172" t="s">
        <v>130</v>
      </c>
      <c r="H56" s="173" t="s">
        <v>320</v>
      </c>
      <c r="I56" s="174" t="s">
        <v>210</v>
      </c>
      <c r="J56" s="175">
        <v>500000</v>
      </c>
      <c r="K56" s="176">
        <v>8</v>
      </c>
      <c r="L56" s="177">
        <v>9</v>
      </c>
      <c r="M56" s="177">
        <v>10</v>
      </c>
      <c r="N56" s="177">
        <v>0</v>
      </c>
      <c r="O56" s="177"/>
      <c r="P56" s="177">
        <v>2</v>
      </c>
      <c r="Q56" s="177"/>
      <c r="R56" s="177">
        <v>0</v>
      </c>
      <c r="S56" s="177"/>
      <c r="T56" s="178"/>
      <c r="U56" s="138">
        <f t="shared" si="2"/>
        <v>29</v>
      </c>
      <c r="V56" s="164">
        <f t="shared" si="1"/>
        <v>204496.46247394022</v>
      </c>
      <c r="W56" s="179">
        <v>267140</v>
      </c>
      <c r="X56" s="164">
        <f>'הגבלה לסכום מבוקש'!U84</f>
        <v>217032.37396063845</v>
      </c>
      <c r="Y56" s="180" t="s">
        <v>391</v>
      </c>
      <c r="Z56" s="314"/>
    </row>
    <row r="57" spans="1:26" ht="192.75" customHeight="1" x14ac:dyDescent="0.25">
      <c r="A57" s="167" t="s">
        <v>154</v>
      </c>
      <c r="B57" s="153" t="s">
        <v>352</v>
      </c>
      <c r="C57" s="168">
        <v>55</v>
      </c>
      <c r="D57" s="169">
        <v>2024</v>
      </c>
      <c r="E57" s="170" t="s">
        <v>323</v>
      </c>
      <c r="F57" s="171" t="s">
        <v>324</v>
      </c>
      <c r="G57" s="172" t="s">
        <v>195</v>
      </c>
      <c r="H57" s="173" t="s">
        <v>321</v>
      </c>
      <c r="I57" s="174" t="s">
        <v>322</v>
      </c>
      <c r="J57" s="175">
        <v>800000</v>
      </c>
      <c r="K57" s="176">
        <v>10</v>
      </c>
      <c r="L57" s="177">
        <v>10</v>
      </c>
      <c r="M57" s="177">
        <v>12</v>
      </c>
      <c r="N57" s="177">
        <v>3</v>
      </c>
      <c r="O57" s="177"/>
      <c r="P57" s="177">
        <v>10</v>
      </c>
      <c r="Q57" s="177"/>
      <c r="R57" s="177">
        <v>0</v>
      </c>
      <c r="S57" s="177"/>
      <c r="T57" s="178"/>
      <c r="U57" s="138">
        <f t="shared" si="2"/>
        <v>45</v>
      </c>
      <c r="V57" s="164">
        <f t="shared" si="1"/>
        <v>317322.09694232105</v>
      </c>
      <c r="W57" s="179">
        <v>0</v>
      </c>
      <c r="X57" s="164">
        <f>'הגבלה לסכום מבוקש'!U85</f>
        <v>313122.4747695176</v>
      </c>
      <c r="Y57" s="309" t="s">
        <v>541</v>
      </c>
      <c r="Z57" s="314"/>
    </row>
    <row r="58" spans="1:26" ht="65.25" x14ac:dyDescent="0.25">
      <c r="A58" s="167" t="s">
        <v>154</v>
      </c>
      <c r="B58" s="153" t="s">
        <v>352</v>
      </c>
      <c r="C58" s="168">
        <v>56</v>
      </c>
      <c r="D58" s="169">
        <v>2024</v>
      </c>
      <c r="E58" s="170" t="s">
        <v>327</v>
      </c>
      <c r="F58" s="171" t="s">
        <v>328</v>
      </c>
      <c r="G58" s="181" t="s">
        <v>196</v>
      </c>
      <c r="H58" s="173" t="s">
        <v>325</v>
      </c>
      <c r="I58" s="174" t="s">
        <v>326</v>
      </c>
      <c r="J58" s="175">
        <v>650000</v>
      </c>
      <c r="K58" s="176"/>
      <c r="L58" s="177"/>
      <c r="M58" s="177"/>
      <c r="N58" s="177"/>
      <c r="O58" s="177"/>
      <c r="P58" s="177"/>
      <c r="Q58" s="177"/>
      <c r="R58" s="177"/>
      <c r="S58" s="177"/>
      <c r="T58" s="178"/>
      <c r="U58" s="138">
        <f t="shared" si="2"/>
        <v>0</v>
      </c>
      <c r="V58" s="164">
        <f t="shared" si="1"/>
        <v>0</v>
      </c>
      <c r="W58" s="179">
        <v>0</v>
      </c>
      <c r="X58" s="164">
        <f>'הגבלה לסכום מבוקש'!U86</f>
        <v>0</v>
      </c>
      <c r="Y58" s="308" t="s">
        <v>554</v>
      </c>
      <c r="Z58" s="314"/>
    </row>
    <row r="59" spans="1:26" ht="150.75" customHeight="1" x14ac:dyDescent="0.25">
      <c r="A59" s="167" t="s">
        <v>155</v>
      </c>
      <c r="B59" s="153"/>
      <c r="C59" s="168">
        <v>57</v>
      </c>
      <c r="D59" s="169">
        <v>2024</v>
      </c>
      <c r="E59" s="170" t="s">
        <v>131</v>
      </c>
      <c r="F59" s="171" t="s">
        <v>132</v>
      </c>
      <c r="G59" s="172" t="s">
        <v>331</v>
      </c>
      <c r="H59" s="173" t="s">
        <v>329</v>
      </c>
      <c r="I59" s="174" t="s">
        <v>330</v>
      </c>
      <c r="J59" s="175">
        <v>750000</v>
      </c>
      <c r="K59" s="176">
        <v>8</v>
      </c>
      <c r="L59" s="177">
        <v>8</v>
      </c>
      <c r="M59" s="177">
        <v>12</v>
      </c>
      <c r="N59" s="177">
        <v>12</v>
      </c>
      <c r="O59" s="177"/>
      <c r="P59" s="177">
        <v>4</v>
      </c>
      <c r="Q59" s="177"/>
      <c r="R59" s="177">
        <v>0</v>
      </c>
      <c r="S59" s="177"/>
      <c r="T59" s="178"/>
      <c r="U59" s="138">
        <f t="shared" si="2"/>
        <v>44</v>
      </c>
      <c r="V59" s="164">
        <f t="shared" si="1"/>
        <v>310270.49478804722</v>
      </c>
      <c r="W59" s="179">
        <v>368221</v>
      </c>
      <c r="X59" s="164">
        <f>'הגבלה לסכום מבוקש'!U87</f>
        <v>306164.19755241746</v>
      </c>
      <c r="Y59" s="180" t="s">
        <v>392</v>
      </c>
      <c r="Z59" s="314"/>
    </row>
    <row r="60" spans="1:26" ht="94.5" customHeight="1" x14ac:dyDescent="0.25">
      <c r="A60" s="167" t="s">
        <v>155</v>
      </c>
      <c r="B60" s="153"/>
      <c r="C60" s="168">
        <v>58</v>
      </c>
      <c r="D60" s="169">
        <v>2024</v>
      </c>
      <c r="E60" s="170" t="s">
        <v>133</v>
      </c>
      <c r="F60" s="171" t="s">
        <v>134</v>
      </c>
      <c r="G60" s="172" t="s">
        <v>135</v>
      </c>
      <c r="H60" s="173" t="s">
        <v>332</v>
      </c>
      <c r="I60" s="174" t="s">
        <v>333</v>
      </c>
      <c r="J60" s="175">
        <v>518000</v>
      </c>
      <c r="K60" s="176">
        <v>10</v>
      </c>
      <c r="L60" s="177">
        <v>10</v>
      </c>
      <c r="M60" s="177">
        <v>8</v>
      </c>
      <c r="N60" s="177">
        <v>5</v>
      </c>
      <c r="O60" s="177"/>
      <c r="P60" s="177">
        <v>0</v>
      </c>
      <c r="Q60" s="177"/>
      <c r="R60" s="177">
        <v>0</v>
      </c>
      <c r="S60" s="177"/>
      <c r="T60" s="178"/>
      <c r="U60" s="138">
        <f t="shared" si="2"/>
        <v>33</v>
      </c>
      <c r="V60" s="164">
        <f t="shared" si="1"/>
        <v>232702.87109103543</v>
      </c>
      <c r="W60" s="179">
        <v>254000</v>
      </c>
      <c r="X60" s="164">
        <f>'הגבלה לסכום מבוקש'!U88</f>
        <v>229623.14816431297</v>
      </c>
      <c r="Y60" s="180" t="s">
        <v>393</v>
      </c>
      <c r="Z60" s="314"/>
    </row>
    <row r="61" spans="1:26" ht="175.5" customHeight="1" x14ac:dyDescent="0.25">
      <c r="A61" s="167" t="s">
        <v>155</v>
      </c>
      <c r="B61" s="153"/>
      <c r="C61" s="168">
        <v>59</v>
      </c>
      <c r="D61" s="169">
        <v>2024</v>
      </c>
      <c r="E61" s="170" t="s">
        <v>136</v>
      </c>
      <c r="F61" s="171" t="s">
        <v>137</v>
      </c>
      <c r="G61" s="172" t="s">
        <v>138</v>
      </c>
      <c r="H61" s="173" t="s">
        <v>334</v>
      </c>
      <c r="I61" s="174" t="s">
        <v>210</v>
      </c>
      <c r="J61" s="175">
        <v>600000</v>
      </c>
      <c r="K61" s="176">
        <v>12</v>
      </c>
      <c r="L61" s="177">
        <v>15</v>
      </c>
      <c r="M61" s="177">
        <v>14</v>
      </c>
      <c r="N61" s="177">
        <v>12</v>
      </c>
      <c r="O61" s="177"/>
      <c r="P61" s="177">
        <v>8</v>
      </c>
      <c r="Q61" s="177"/>
      <c r="R61" s="177">
        <v>8</v>
      </c>
      <c r="S61" s="177"/>
      <c r="T61" s="178"/>
      <c r="U61" s="138">
        <f t="shared" si="2"/>
        <v>69</v>
      </c>
      <c r="V61" s="164">
        <f t="shared" si="1"/>
        <v>486560.54864489235</v>
      </c>
      <c r="W61" s="179">
        <v>375440</v>
      </c>
      <c r="X61" s="164">
        <f>'הגבלה לסכום מבוקש'!U89</f>
        <v>480121.12797992723</v>
      </c>
      <c r="Y61" s="180" t="s">
        <v>394</v>
      </c>
      <c r="Z61" s="314"/>
    </row>
    <row r="62" spans="1:26" ht="206.25" customHeight="1" x14ac:dyDescent="0.25">
      <c r="A62" s="167" t="s">
        <v>155</v>
      </c>
      <c r="B62" s="153"/>
      <c r="C62" s="168">
        <v>60</v>
      </c>
      <c r="D62" s="169">
        <v>2024</v>
      </c>
      <c r="E62" s="170" t="s">
        <v>139</v>
      </c>
      <c r="F62" s="171" t="s">
        <v>140</v>
      </c>
      <c r="G62" s="172" t="s">
        <v>141</v>
      </c>
      <c r="H62" s="173" t="s">
        <v>335</v>
      </c>
      <c r="I62" s="174" t="s">
        <v>142</v>
      </c>
      <c r="J62" s="175">
        <v>450000</v>
      </c>
      <c r="K62" s="176">
        <v>12</v>
      </c>
      <c r="L62" s="177">
        <v>10</v>
      </c>
      <c r="M62" s="177">
        <v>15</v>
      </c>
      <c r="N62" s="177">
        <v>15</v>
      </c>
      <c r="O62" s="177"/>
      <c r="P62" s="177">
        <v>6</v>
      </c>
      <c r="Q62" s="177"/>
      <c r="R62" s="177">
        <v>0</v>
      </c>
      <c r="S62" s="177"/>
      <c r="T62" s="178"/>
      <c r="U62" s="138">
        <f t="shared" si="2"/>
        <v>58</v>
      </c>
      <c r="V62" s="164">
        <f t="shared" si="1"/>
        <v>408992.92494788044</v>
      </c>
      <c r="W62" s="179">
        <v>380358</v>
      </c>
      <c r="X62" s="164">
        <f>'הגבלה לסכום מבוקש'!U90</f>
        <v>403580.07859182294</v>
      </c>
      <c r="Y62" s="309" t="s">
        <v>395</v>
      </c>
      <c r="Z62" s="314"/>
    </row>
    <row r="63" spans="1:26" ht="65.25" x14ac:dyDescent="0.25">
      <c r="A63" s="167" t="s">
        <v>154</v>
      </c>
      <c r="B63" s="153" t="s">
        <v>352</v>
      </c>
      <c r="C63" s="168">
        <v>61</v>
      </c>
      <c r="D63" s="169">
        <v>2024</v>
      </c>
      <c r="E63" s="170" t="s">
        <v>337</v>
      </c>
      <c r="F63" s="171" t="s">
        <v>338</v>
      </c>
      <c r="G63" s="181" t="s">
        <v>339</v>
      </c>
      <c r="H63" s="173" t="s">
        <v>336</v>
      </c>
      <c r="I63" s="174" t="s">
        <v>203</v>
      </c>
      <c r="J63" s="175">
        <v>96800</v>
      </c>
      <c r="K63" s="176"/>
      <c r="L63" s="177"/>
      <c r="M63" s="177"/>
      <c r="N63" s="177"/>
      <c r="O63" s="177"/>
      <c r="P63" s="177"/>
      <c r="Q63" s="177"/>
      <c r="R63" s="177"/>
      <c r="S63" s="177"/>
      <c r="T63" s="178"/>
      <c r="U63" s="138">
        <f t="shared" si="2"/>
        <v>0</v>
      </c>
      <c r="V63" s="164">
        <f t="shared" si="1"/>
        <v>0</v>
      </c>
      <c r="W63" s="179">
        <v>0</v>
      </c>
      <c r="X63" s="164">
        <f>'הגבלה לסכום מבוקש'!U91</f>
        <v>0</v>
      </c>
      <c r="Y63" s="308" t="s">
        <v>555</v>
      </c>
      <c r="Z63" s="314"/>
    </row>
    <row r="64" spans="1:26" ht="163.5" customHeight="1" x14ac:dyDescent="0.25">
      <c r="A64" s="167" t="s">
        <v>155</v>
      </c>
      <c r="B64" s="153"/>
      <c r="C64" s="168">
        <v>62</v>
      </c>
      <c r="D64" s="169">
        <v>2024</v>
      </c>
      <c r="E64" s="170" t="s">
        <v>143</v>
      </c>
      <c r="F64" s="171" t="s">
        <v>144</v>
      </c>
      <c r="G64" s="172" t="s">
        <v>145</v>
      </c>
      <c r="H64" s="173" t="s">
        <v>340</v>
      </c>
      <c r="I64" s="174" t="s">
        <v>341</v>
      </c>
      <c r="J64" s="175">
        <v>600000</v>
      </c>
      <c r="K64" s="176">
        <v>10</v>
      </c>
      <c r="L64" s="177">
        <v>8</v>
      </c>
      <c r="M64" s="177">
        <v>10</v>
      </c>
      <c r="N64" s="177">
        <v>0</v>
      </c>
      <c r="O64" s="177"/>
      <c r="P64" s="182">
        <v>10</v>
      </c>
      <c r="Q64" s="177"/>
      <c r="R64" s="177">
        <v>0</v>
      </c>
      <c r="S64" s="177"/>
      <c r="T64" s="178"/>
      <c r="U64" s="138">
        <f t="shared" si="2"/>
        <v>38</v>
      </c>
      <c r="V64" s="164">
        <f t="shared" si="1"/>
        <v>267960.88186240447</v>
      </c>
      <c r="W64" s="179">
        <v>425981</v>
      </c>
      <c r="X64" s="164">
        <f>'הגבלה לסכום מבוקש'!U92</f>
        <v>346079.46279900696</v>
      </c>
      <c r="Y64" s="309" t="s">
        <v>405</v>
      </c>
      <c r="Z64" s="314"/>
    </row>
    <row r="65" spans="1:26" s="10" customFormat="1" ht="137.44999999999999" customHeight="1" x14ac:dyDescent="0.25">
      <c r="A65" s="186" t="s">
        <v>154</v>
      </c>
      <c r="B65" s="187" t="s">
        <v>352</v>
      </c>
      <c r="C65" s="168">
        <v>63</v>
      </c>
      <c r="D65" s="188">
        <v>2024</v>
      </c>
      <c r="E65" s="189" t="s">
        <v>344</v>
      </c>
      <c r="F65" s="190" t="s">
        <v>345</v>
      </c>
      <c r="G65" s="181" t="s">
        <v>197</v>
      </c>
      <c r="H65" s="191" t="s">
        <v>342</v>
      </c>
      <c r="I65" s="174" t="s">
        <v>343</v>
      </c>
      <c r="J65" s="192">
        <v>585000</v>
      </c>
      <c r="K65" s="193"/>
      <c r="L65" s="194"/>
      <c r="M65" s="194"/>
      <c r="N65" s="194"/>
      <c r="O65" s="194"/>
      <c r="P65" s="194"/>
      <c r="Q65" s="194"/>
      <c r="R65" s="194"/>
      <c r="S65" s="194"/>
      <c r="T65" s="195"/>
      <c r="U65" s="138">
        <f t="shared" si="2"/>
        <v>0</v>
      </c>
      <c r="V65" s="164">
        <f t="shared" si="1"/>
        <v>0</v>
      </c>
      <c r="W65" s="179">
        <v>0</v>
      </c>
      <c r="X65" s="164">
        <f>'הגבלה לסכום מבוקש'!U93</f>
        <v>0</v>
      </c>
      <c r="Y65" s="308" t="s">
        <v>556</v>
      </c>
      <c r="Z65" s="314" t="s">
        <v>572</v>
      </c>
    </row>
    <row r="66" spans="1:26" ht="117" customHeight="1" x14ac:dyDescent="0.25">
      <c r="A66" s="167" t="s">
        <v>155</v>
      </c>
      <c r="B66" s="153"/>
      <c r="C66" s="168">
        <v>64</v>
      </c>
      <c r="D66" s="169">
        <v>2024</v>
      </c>
      <c r="E66" s="170" t="s">
        <v>146</v>
      </c>
      <c r="F66" s="171" t="s">
        <v>147</v>
      </c>
      <c r="G66" s="172" t="s">
        <v>350</v>
      </c>
      <c r="H66" s="173" t="s">
        <v>346</v>
      </c>
      <c r="I66" s="174" t="s">
        <v>347</v>
      </c>
      <c r="J66" s="175">
        <v>400000</v>
      </c>
      <c r="K66" s="176">
        <v>8</v>
      </c>
      <c r="L66" s="177">
        <v>8</v>
      </c>
      <c r="M66" s="177">
        <v>8</v>
      </c>
      <c r="N66" s="177">
        <v>12</v>
      </c>
      <c r="O66" s="177"/>
      <c r="P66" s="177">
        <v>2</v>
      </c>
      <c r="Q66" s="177"/>
      <c r="R66" s="177">
        <v>6</v>
      </c>
      <c r="S66" s="177"/>
      <c r="T66" s="178"/>
      <c r="U66" s="138">
        <f t="shared" si="2"/>
        <v>44</v>
      </c>
      <c r="V66" s="164">
        <f t="shared" si="1"/>
        <v>310270.49478804722</v>
      </c>
      <c r="W66" s="179">
        <v>288800</v>
      </c>
      <c r="X66" s="164">
        <f>'הגבלה לסכום מבוקש'!U94</f>
        <v>306164.19755241746</v>
      </c>
      <c r="Y66" s="180" t="s">
        <v>396</v>
      </c>
      <c r="Z66" s="314"/>
    </row>
    <row r="67" spans="1:26" ht="148.5" customHeight="1" thickBot="1" x14ac:dyDescent="0.3">
      <c r="A67" s="167" t="s">
        <v>155</v>
      </c>
      <c r="B67" s="153"/>
      <c r="C67" s="196">
        <v>65</v>
      </c>
      <c r="D67" s="197">
        <v>2024</v>
      </c>
      <c r="E67" s="198" t="s">
        <v>148</v>
      </c>
      <c r="F67" s="199" t="s">
        <v>149</v>
      </c>
      <c r="G67" s="200" t="s">
        <v>150</v>
      </c>
      <c r="H67" s="201" t="s">
        <v>348</v>
      </c>
      <c r="I67" s="202" t="s">
        <v>349</v>
      </c>
      <c r="J67" s="203">
        <v>410000</v>
      </c>
      <c r="K67" s="204">
        <v>12</v>
      </c>
      <c r="L67" s="205">
        <v>13</v>
      </c>
      <c r="M67" s="205">
        <v>12</v>
      </c>
      <c r="N67" s="205">
        <v>12</v>
      </c>
      <c r="O67" s="205"/>
      <c r="P67" s="205">
        <v>4</v>
      </c>
      <c r="Q67" s="205"/>
      <c r="R67" s="205">
        <v>0</v>
      </c>
      <c r="S67" s="205"/>
      <c r="T67" s="206"/>
      <c r="U67" s="207">
        <f t="shared" ref="U67" si="3">SUM(K67:T67)</f>
        <v>53</v>
      </c>
      <c r="V67" s="208">
        <f t="shared" si="1"/>
        <v>373734.91417651146</v>
      </c>
      <c r="W67" s="209">
        <v>346560</v>
      </c>
      <c r="X67" s="208">
        <f>'הגבלה לסכום מבוקש'!U95</f>
        <v>368788.69250632095</v>
      </c>
      <c r="Y67" s="210" t="s">
        <v>397</v>
      </c>
      <c r="Z67" s="314"/>
    </row>
    <row r="68" spans="1:26" ht="27" thickBot="1" x14ac:dyDescent="0.4">
      <c r="A68" s="211"/>
      <c r="B68" s="212"/>
      <c r="C68" s="213"/>
      <c r="D68" s="214"/>
      <c r="E68" s="215"/>
      <c r="F68" s="215"/>
      <c r="G68" s="216" t="s">
        <v>468</v>
      </c>
      <c r="H68" s="215"/>
      <c r="I68" s="217"/>
      <c r="J68" s="218"/>
      <c r="K68" s="219"/>
      <c r="L68" s="219"/>
      <c r="M68" s="219"/>
      <c r="N68" s="219"/>
      <c r="O68" s="219"/>
      <c r="P68" s="219"/>
      <c r="Q68" s="219"/>
      <c r="R68" s="219"/>
      <c r="S68" s="219"/>
      <c r="T68" s="219"/>
      <c r="U68" s="220">
        <f>SUM(U3:U67)</f>
        <v>2878</v>
      </c>
      <c r="V68" s="220">
        <f>SUM(V3:V67)</f>
        <v>20294510.999999996</v>
      </c>
      <c r="W68" s="221">
        <f>SUM(W3:W67)</f>
        <v>20089997</v>
      </c>
      <c r="X68" s="220">
        <f>SUM(X3:X67)</f>
        <v>20294511.000000007</v>
      </c>
      <c r="Y68" s="222"/>
      <c r="Z68" s="314"/>
    </row>
  </sheetData>
  <sheetProtection formatCells="0" formatColumns="0" formatRows="0" autoFilter="0"/>
  <autoFilter ref="A2:AF68" xr:uid="{2B2EAEB6-F85F-4BE2-A8DF-10D84A780F07}">
    <filterColumn colId="0" showButton="0"/>
  </autoFilter>
  <mergeCells count="15">
    <mergeCell ref="Z1:Z2"/>
    <mergeCell ref="X1:X2"/>
    <mergeCell ref="Y1:Y2"/>
    <mergeCell ref="H1:H2"/>
    <mergeCell ref="I1:I2"/>
    <mergeCell ref="J1:J2"/>
    <mergeCell ref="U1:U2"/>
    <mergeCell ref="V1:V2"/>
    <mergeCell ref="W1:W2"/>
    <mergeCell ref="G1:G2"/>
    <mergeCell ref="A1:B2"/>
    <mergeCell ref="C1:C2"/>
    <mergeCell ref="D1:D2"/>
    <mergeCell ref="E1:E2"/>
    <mergeCell ref="F1:F2"/>
  </mergeCells>
  <conditionalFormatting sqref="AC1:AC2">
    <cfRule type="containsBlanks" dxfId="9" priority="1">
      <formula>LEN(TRIM(AC1))=0</formula>
    </cfRule>
  </conditionalFormatting>
  <pageMargins left="0.23622047244094491" right="0.23622047244094491" top="0.6692913385826772" bottom="0.47244094488188981" header="0.31496062992125984" footer="0.31496062992125984"/>
  <pageSetup paperSize="9" scale="28" fitToHeight="0" orientation="landscape" r:id="rId1"/>
  <headerFooter>
    <oddHeader>&amp;C&amp;"Calibri,רגיל"&amp;24משרד התרבות והספורט - המחלקה למכוני מחקר תורניים בעלי חשיבות לאומית
חלוקת התקנה לשנת 2024</oddHeader>
    <oddFooter>עמוד &amp;P מתוך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EBCA-F3E0-4D01-9D90-71B65ADDEB0F}">
  <sheetPr>
    <tabColor theme="8" tint="-0.249977111117893"/>
  </sheetPr>
  <dimension ref="A1:GR131"/>
  <sheetViews>
    <sheetView rightToLeft="1" view="pageBreakPreview" topLeftCell="B1" zoomScale="80" zoomScaleNormal="100" zoomScaleSheetLayoutView="80" workbookViewId="0">
      <selection activeCell="B29" sqref="B29:B30"/>
    </sheetView>
  </sheetViews>
  <sheetFormatPr defaultColWidth="7" defaultRowHeight="12.75" x14ac:dyDescent="0.2"/>
  <cols>
    <col min="1" max="1" width="7" style="275" hidden="1" customWidth="1"/>
    <col min="2" max="2" width="13.5" style="275" customWidth="1"/>
    <col min="3" max="3" width="33.25" style="275" customWidth="1"/>
    <col min="4" max="4" width="14" style="275" customWidth="1"/>
    <col min="5" max="5" width="14.375" style="275" customWidth="1"/>
    <col min="6" max="6" width="12.125" style="275" bestFit="1" customWidth="1"/>
    <col min="7" max="7" width="12.25" style="275" customWidth="1"/>
    <col min="8" max="8" width="21" style="275" customWidth="1"/>
    <col min="9" max="20" width="21" style="275" hidden="1" customWidth="1"/>
    <col min="21" max="21" width="12.75" style="275" customWidth="1"/>
    <col min="22" max="25" width="8" style="275" hidden="1" customWidth="1"/>
    <col min="26" max="26" width="14.125" style="275" bestFit="1" customWidth="1"/>
    <col min="27" max="200" width="7" style="275" hidden="1" customWidth="1"/>
    <col min="201" max="16384" width="7" style="275"/>
  </cols>
  <sheetData>
    <row r="1" spans="2:32" ht="36" x14ac:dyDescent="0.2">
      <c r="B1" s="228" t="str">
        <f>'מודל תמיכה חלוקת 20,294,511 שח'!AB1</f>
        <v>שנת התקציב</v>
      </c>
      <c r="C1" s="273">
        <f>'מודל תמיכה חלוקת 20,294,511 שח'!AC1</f>
        <v>2024</v>
      </c>
      <c r="D1" s="274"/>
      <c r="E1" s="274"/>
      <c r="F1" s="274"/>
      <c r="G1" s="274"/>
      <c r="H1" s="274"/>
      <c r="I1" s="274"/>
      <c r="J1" s="274"/>
      <c r="K1" s="274"/>
      <c r="L1" s="274"/>
      <c r="M1" s="274"/>
      <c r="N1" s="274"/>
      <c r="O1" s="274"/>
      <c r="P1" s="274"/>
      <c r="Q1" s="274"/>
      <c r="R1" s="274"/>
      <c r="S1" s="274"/>
      <c r="T1" s="274"/>
      <c r="U1" s="274"/>
      <c r="V1" s="274"/>
      <c r="W1" s="274"/>
      <c r="X1" s="274"/>
      <c r="Y1" s="274"/>
      <c r="Z1" s="274"/>
      <c r="AA1" s="274"/>
      <c r="AB1" s="274"/>
      <c r="AC1" s="274"/>
      <c r="AD1" s="274"/>
      <c r="AE1" s="274"/>
      <c r="AF1" s="274" t="s">
        <v>469</v>
      </c>
    </row>
    <row r="2" spans="2:32" ht="18.75" thickBot="1" x14ac:dyDescent="0.3">
      <c r="B2" s="231" t="str">
        <f>'מודל תמיכה חלוקת 20,294,511 שח'!AB2</f>
        <v xml:space="preserve">תקציב שנתי </v>
      </c>
      <c r="C2" s="276">
        <f>'מודל תמיכה חלוקת 20,294,511 שח'!AC2</f>
        <v>20294511</v>
      </c>
      <c r="D2" s="274"/>
      <c r="E2" s="274"/>
      <c r="F2" s="348" t="str">
        <f>IF(AND(U130&lt;&gt;0,C2&gt;U130),"נא לשים לב כי לא חולק סך התקציב בשל הגבולת לסכום מבוקש","")</f>
        <v/>
      </c>
      <c r="G2" s="348"/>
      <c r="H2" s="348"/>
      <c r="I2" s="348"/>
      <c r="J2" s="348"/>
      <c r="K2" s="348"/>
      <c r="L2" s="348"/>
      <c r="M2" s="348"/>
      <c r="N2" s="348"/>
      <c r="O2" s="348"/>
      <c r="P2" s="348"/>
      <c r="Q2" s="348"/>
      <c r="R2" s="348"/>
      <c r="S2" s="348"/>
      <c r="T2" s="348"/>
      <c r="U2" s="348"/>
      <c r="V2" s="274"/>
      <c r="W2" s="274"/>
      <c r="X2" s="274"/>
      <c r="Y2" s="274"/>
      <c r="Z2" s="274"/>
      <c r="AA2" s="274"/>
      <c r="AB2" s="274"/>
      <c r="AC2" s="274"/>
      <c r="AD2" s="274"/>
      <c r="AE2" s="274"/>
      <c r="AF2" s="274"/>
    </row>
    <row r="4" spans="2:32" ht="15.75" thickBot="1" x14ac:dyDescent="0.25">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row>
    <row r="5" spans="2:32" ht="13.5" hidden="1" customHeight="1" x14ac:dyDescent="0.2">
      <c r="B5" s="274"/>
      <c r="C5" s="274"/>
      <c r="D5" s="274"/>
      <c r="E5" s="274"/>
      <c r="F5" s="274"/>
      <c r="G5" s="274"/>
      <c r="H5" s="274"/>
      <c r="I5" s="274"/>
      <c r="J5" s="274"/>
      <c r="K5" s="274"/>
      <c r="L5" s="274"/>
      <c r="M5" s="274"/>
      <c r="N5" s="274"/>
      <c r="O5" s="274"/>
      <c r="P5" s="274"/>
      <c r="Q5" s="274"/>
      <c r="R5" s="274"/>
      <c r="S5" s="274"/>
      <c r="T5" s="274"/>
      <c r="U5" s="274"/>
      <c r="V5" s="274"/>
      <c r="W5" s="274"/>
      <c r="X5" s="274"/>
      <c r="Y5" s="274"/>
      <c r="Z5" s="274"/>
      <c r="AA5" s="274"/>
      <c r="AB5" s="274"/>
      <c r="AC5" s="274"/>
      <c r="AD5" s="274"/>
      <c r="AE5" s="274"/>
      <c r="AF5" s="274"/>
    </row>
    <row r="6" spans="2:32" ht="15.75" hidden="1" thickBot="1" x14ac:dyDescent="0.25">
      <c r="B6" s="274"/>
      <c r="C6" s="274"/>
      <c r="D6" s="274"/>
      <c r="E6" s="274"/>
      <c r="F6" s="274"/>
      <c r="G6" s="274"/>
      <c r="H6" s="274"/>
      <c r="I6" s="274"/>
      <c r="J6" s="274"/>
      <c r="K6" s="274"/>
      <c r="L6" s="274"/>
      <c r="M6" s="274"/>
      <c r="N6" s="274"/>
      <c r="O6" s="274"/>
      <c r="P6" s="274"/>
      <c r="Q6" s="274"/>
      <c r="R6" s="274"/>
      <c r="S6" s="274"/>
      <c r="T6" s="274"/>
      <c r="U6" s="274"/>
      <c r="V6" s="274"/>
      <c r="W6" s="274"/>
      <c r="X6" s="274"/>
      <c r="Y6" s="274"/>
      <c r="Z6" s="274"/>
      <c r="AA6" s="274"/>
      <c r="AB6" s="274"/>
      <c r="AC6" s="274"/>
      <c r="AD6" s="274"/>
      <c r="AE6" s="274"/>
      <c r="AF6" s="274"/>
    </row>
    <row r="7" spans="2:32" ht="15.75" hidden="1" thickBot="1" x14ac:dyDescent="0.25">
      <c r="B7" s="274"/>
      <c r="C7" s="274"/>
      <c r="D7" s="274"/>
      <c r="E7" s="274"/>
      <c r="F7" s="274"/>
      <c r="G7" s="274"/>
      <c r="H7" s="274"/>
      <c r="I7" s="274"/>
      <c r="J7" s="274"/>
      <c r="K7" s="274"/>
      <c r="L7" s="274"/>
      <c r="M7" s="274"/>
      <c r="N7" s="274"/>
      <c r="O7" s="274"/>
      <c r="P7" s="274"/>
      <c r="Q7" s="274"/>
      <c r="R7" s="274"/>
      <c r="S7" s="274"/>
      <c r="T7" s="274"/>
      <c r="U7" s="274"/>
      <c r="V7" s="274"/>
      <c r="W7" s="274"/>
      <c r="X7" s="274"/>
      <c r="Y7" s="274"/>
      <c r="Z7" s="274"/>
      <c r="AA7" s="274"/>
      <c r="AB7" s="274"/>
      <c r="AC7" s="274"/>
      <c r="AD7" s="274"/>
      <c r="AE7" s="274"/>
      <c r="AF7" s="274"/>
    </row>
    <row r="8" spans="2:32" ht="15.75" hidden="1" thickBot="1" x14ac:dyDescent="0.25">
      <c r="B8" s="274"/>
      <c r="C8" s="274"/>
      <c r="D8" s="274"/>
      <c r="E8" s="274"/>
      <c r="F8" s="274"/>
      <c r="G8" s="274"/>
      <c r="H8" s="274"/>
      <c r="I8" s="274"/>
      <c r="J8" s="274"/>
      <c r="K8" s="274"/>
      <c r="L8" s="274"/>
      <c r="M8" s="274"/>
      <c r="N8" s="274"/>
      <c r="O8" s="274"/>
      <c r="P8" s="274"/>
      <c r="Q8" s="274"/>
      <c r="R8" s="274"/>
      <c r="S8" s="274"/>
      <c r="T8" s="274"/>
      <c r="U8" s="274"/>
      <c r="V8" s="274"/>
      <c r="W8" s="274"/>
      <c r="X8" s="274"/>
      <c r="Y8" s="274"/>
      <c r="Z8" s="274"/>
      <c r="AA8" s="274"/>
      <c r="AB8" s="274"/>
      <c r="AC8" s="274"/>
      <c r="AD8" s="274"/>
      <c r="AE8" s="274"/>
      <c r="AF8" s="274"/>
    </row>
    <row r="9" spans="2:32" ht="15.75" hidden="1" thickBot="1" x14ac:dyDescent="0.25">
      <c r="B9" s="274"/>
      <c r="C9" s="274"/>
      <c r="D9" s="274"/>
      <c r="E9" s="274"/>
      <c r="F9" s="274"/>
      <c r="G9" s="274"/>
      <c r="H9" s="274"/>
      <c r="I9" s="274"/>
      <c r="J9" s="274"/>
      <c r="K9" s="274"/>
      <c r="L9" s="274"/>
      <c r="M9" s="274"/>
      <c r="N9" s="274"/>
      <c r="O9" s="274"/>
      <c r="P9" s="274"/>
      <c r="Q9" s="274"/>
      <c r="R9" s="274"/>
      <c r="S9" s="274"/>
      <c r="T9" s="274"/>
      <c r="U9" s="274"/>
      <c r="V9" s="274"/>
      <c r="W9" s="274"/>
      <c r="X9" s="274"/>
      <c r="Y9" s="274"/>
      <c r="Z9" s="274"/>
      <c r="AA9" s="274"/>
      <c r="AB9" s="274"/>
      <c r="AC9" s="274"/>
      <c r="AD9" s="274"/>
      <c r="AE9" s="274"/>
      <c r="AF9" s="274"/>
    </row>
    <row r="10" spans="2:32" ht="15.75" hidden="1" thickBot="1" x14ac:dyDescent="0.25">
      <c r="B10" s="274"/>
      <c r="C10" s="274"/>
      <c r="D10" s="274"/>
      <c r="E10" s="274"/>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4"/>
      <c r="AF10" s="274"/>
    </row>
    <row r="11" spans="2:32" ht="15.75" hidden="1" thickBot="1" x14ac:dyDescent="0.25">
      <c r="B11" s="274"/>
      <c r="C11" s="274"/>
      <c r="D11" s="274"/>
      <c r="E11" s="274"/>
      <c r="F11" s="274"/>
      <c r="G11" s="274"/>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row>
    <row r="12" spans="2:32" ht="15.75" hidden="1" thickBot="1" x14ac:dyDescent="0.25">
      <c r="B12" s="274"/>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4"/>
      <c r="AF12" s="274"/>
    </row>
    <row r="13" spans="2:32" ht="15.75" hidden="1" thickBot="1" x14ac:dyDescent="0.25">
      <c r="B13" s="274"/>
      <c r="C13" s="274"/>
      <c r="D13" s="274"/>
      <c r="E13" s="274"/>
      <c r="F13" s="274"/>
      <c r="G13" s="274"/>
      <c r="H13" s="274"/>
      <c r="I13" s="274"/>
      <c r="J13" s="274"/>
      <c r="K13" s="274"/>
      <c r="L13" s="274"/>
      <c r="M13" s="274"/>
      <c r="N13" s="274"/>
      <c r="O13" s="274"/>
      <c r="P13" s="274"/>
      <c r="Q13" s="274"/>
      <c r="R13" s="274"/>
      <c r="S13" s="274"/>
      <c r="T13" s="274"/>
      <c r="U13" s="274"/>
      <c r="V13" s="274"/>
      <c r="W13" s="274"/>
      <c r="X13" s="274"/>
      <c r="Y13" s="274"/>
      <c r="Z13" s="274"/>
      <c r="AA13" s="274"/>
      <c r="AB13" s="274"/>
      <c r="AC13" s="274"/>
      <c r="AD13" s="274"/>
      <c r="AE13" s="274"/>
      <c r="AF13" s="274"/>
    </row>
    <row r="14" spans="2:32" ht="15.75" hidden="1" thickBot="1" x14ac:dyDescent="0.25">
      <c r="B14" s="274"/>
      <c r="C14" s="274"/>
      <c r="D14" s="274"/>
      <c r="E14" s="274"/>
      <c r="F14" s="274"/>
      <c r="G14" s="274"/>
      <c r="H14" s="274"/>
      <c r="I14" s="274"/>
      <c r="J14" s="274"/>
      <c r="K14" s="274"/>
      <c r="L14" s="274"/>
      <c r="M14" s="274"/>
      <c r="N14" s="274"/>
      <c r="O14" s="274"/>
      <c r="P14" s="274"/>
      <c r="Q14" s="274"/>
      <c r="R14" s="274"/>
      <c r="S14" s="274"/>
      <c r="T14" s="274"/>
      <c r="U14" s="274"/>
      <c r="V14" s="274"/>
      <c r="W14" s="274"/>
      <c r="X14" s="274"/>
      <c r="Y14" s="274"/>
      <c r="Z14" s="274"/>
      <c r="AA14" s="274"/>
      <c r="AB14" s="274"/>
      <c r="AC14" s="274"/>
      <c r="AD14" s="274"/>
      <c r="AE14" s="274"/>
      <c r="AF14" s="274"/>
    </row>
    <row r="15" spans="2:32" ht="15.75" hidden="1" thickBot="1" x14ac:dyDescent="0.25">
      <c r="B15" s="274"/>
      <c r="C15" s="274"/>
      <c r="D15" s="274"/>
      <c r="E15" s="274"/>
      <c r="F15" s="274"/>
      <c r="G15" s="274"/>
      <c r="H15" s="274"/>
      <c r="I15" s="274"/>
      <c r="J15" s="274"/>
      <c r="K15" s="274"/>
      <c r="L15" s="274"/>
      <c r="M15" s="274"/>
      <c r="N15" s="274"/>
      <c r="O15" s="274"/>
      <c r="P15" s="274"/>
      <c r="Q15" s="274"/>
      <c r="R15" s="274"/>
      <c r="S15" s="274"/>
      <c r="T15" s="274"/>
      <c r="U15" s="274"/>
      <c r="V15" s="274"/>
      <c r="W15" s="274"/>
      <c r="X15" s="274"/>
      <c r="Y15" s="274"/>
      <c r="Z15" s="274"/>
      <c r="AA15" s="274"/>
      <c r="AB15" s="274"/>
      <c r="AC15" s="274"/>
      <c r="AD15" s="274"/>
      <c r="AE15" s="274"/>
      <c r="AF15" s="274"/>
    </row>
    <row r="16" spans="2:32" ht="15.75" hidden="1" thickBot="1" x14ac:dyDescent="0.25">
      <c r="B16" s="274"/>
      <c r="C16" s="274"/>
      <c r="D16" s="274"/>
      <c r="E16" s="274"/>
      <c r="F16" s="274"/>
      <c r="G16" s="274"/>
      <c r="H16" s="274"/>
      <c r="I16" s="274"/>
      <c r="J16" s="274"/>
      <c r="K16" s="274"/>
      <c r="L16" s="274"/>
      <c r="M16" s="274"/>
      <c r="N16" s="274"/>
      <c r="O16" s="274"/>
      <c r="P16" s="274"/>
      <c r="Q16" s="274"/>
      <c r="R16" s="274"/>
      <c r="S16" s="274"/>
      <c r="T16" s="274"/>
      <c r="U16" s="274"/>
      <c r="V16" s="274"/>
      <c r="W16" s="274"/>
      <c r="X16" s="274"/>
      <c r="Y16" s="274"/>
      <c r="Z16" s="274"/>
      <c r="AA16" s="274"/>
      <c r="AB16" s="274"/>
      <c r="AC16" s="274"/>
      <c r="AD16" s="274"/>
      <c r="AE16" s="274"/>
      <c r="AF16" s="274"/>
    </row>
    <row r="17" spans="2:29" ht="15.75" hidden="1" thickBot="1" x14ac:dyDescent="0.25">
      <c r="B17" s="274"/>
      <c r="C17" s="274"/>
      <c r="D17" s="274"/>
      <c r="E17" s="274"/>
      <c r="F17" s="274"/>
      <c r="G17" s="274"/>
      <c r="H17" s="274"/>
      <c r="I17" s="274"/>
      <c r="J17" s="274"/>
      <c r="K17" s="274"/>
      <c r="L17" s="274"/>
      <c r="M17" s="274"/>
      <c r="N17" s="274"/>
      <c r="O17" s="274"/>
      <c r="P17" s="274"/>
      <c r="Q17" s="274"/>
      <c r="R17" s="274"/>
      <c r="S17" s="274"/>
      <c r="T17" s="274"/>
      <c r="U17" s="274"/>
      <c r="V17" s="274"/>
      <c r="W17" s="274"/>
      <c r="X17" s="274"/>
      <c r="Y17" s="274"/>
      <c r="Z17" s="274"/>
      <c r="AA17" s="274"/>
      <c r="AB17" s="274"/>
      <c r="AC17" s="274"/>
    </row>
    <row r="18" spans="2:29" ht="15.75" hidden="1" thickBot="1" x14ac:dyDescent="0.25">
      <c r="B18" s="274"/>
      <c r="C18" s="274"/>
      <c r="D18" s="274"/>
      <c r="E18" s="274"/>
      <c r="F18" s="274"/>
      <c r="G18" s="274"/>
      <c r="H18" s="274"/>
      <c r="I18" s="274"/>
      <c r="J18" s="274"/>
      <c r="K18" s="274"/>
      <c r="L18" s="274"/>
      <c r="M18" s="274"/>
      <c r="N18" s="274"/>
      <c r="O18" s="274"/>
      <c r="P18" s="274"/>
      <c r="Q18" s="274"/>
      <c r="R18" s="274"/>
      <c r="S18" s="274"/>
      <c r="T18" s="274"/>
      <c r="U18" s="274"/>
      <c r="V18" s="274"/>
      <c r="W18" s="274"/>
      <c r="X18" s="274"/>
      <c r="Y18" s="274"/>
      <c r="Z18" s="274"/>
      <c r="AA18" s="274"/>
      <c r="AB18" s="274"/>
      <c r="AC18" s="274"/>
    </row>
    <row r="19" spans="2:29" ht="15.75" hidden="1" thickBot="1" x14ac:dyDescent="0.25">
      <c r="B19" s="274"/>
      <c r="C19" s="274"/>
      <c r="D19" s="274"/>
      <c r="E19" s="274"/>
      <c r="F19" s="274"/>
      <c r="G19" s="274"/>
      <c r="H19" s="274"/>
      <c r="I19" s="274"/>
      <c r="J19" s="274"/>
      <c r="K19" s="274"/>
      <c r="L19" s="274"/>
      <c r="M19" s="274"/>
      <c r="N19" s="274"/>
      <c r="O19" s="274"/>
      <c r="P19" s="274"/>
      <c r="Q19" s="274"/>
      <c r="R19" s="274"/>
      <c r="S19" s="274"/>
      <c r="T19" s="274"/>
      <c r="U19" s="274"/>
      <c r="V19" s="274"/>
      <c r="W19" s="274"/>
      <c r="X19" s="274"/>
      <c r="Y19" s="274"/>
      <c r="Z19" s="274"/>
      <c r="AA19" s="274"/>
      <c r="AB19" s="274"/>
      <c r="AC19" s="274"/>
    </row>
    <row r="20" spans="2:29" ht="15.75" hidden="1" thickBot="1" x14ac:dyDescent="0.25">
      <c r="B20" s="274"/>
      <c r="C20" s="274"/>
      <c r="D20" s="274"/>
      <c r="E20" s="274"/>
      <c r="F20" s="274"/>
      <c r="G20" s="274"/>
      <c r="H20" s="274"/>
      <c r="I20" s="274"/>
      <c r="J20" s="274"/>
      <c r="K20" s="274"/>
      <c r="L20" s="274"/>
      <c r="M20" s="274"/>
      <c r="N20" s="274"/>
      <c r="O20" s="274"/>
      <c r="P20" s="274"/>
      <c r="Q20" s="274"/>
      <c r="R20" s="274"/>
      <c r="S20" s="274"/>
      <c r="T20" s="274"/>
      <c r="U20" s="274"/>
      <c r="V20" s="274"/>
      <c r="W20" s="274"/>
      <c r="X20" s="274"/>
      <c r="Y20" s="274"/>
      <c r="Z20" s="274"/>
      <c r="AA20" s="274"/>
      <c r="AB20" s="274"/>
      <c r="AC20" s="274"/>
    </row>
    <row r="21" spans="2:29" ht="15.75" hidden="1" thickBot="1" x14ac:dyDescent="0.25">
      <c r="B21" s="274"/>
      <c r="C21" s="274"/>
      <c r="D21" s="274"/>
      <c r="E21" s="274"/>
      <c r="F21" s="274"/>
      <c r="G21" s="274"/>
      <c r="H21" s="274"/>
      <c r="I21" s="274"/>
      <c r="J21" s="274"/>
      <c r="K21" s="274"/>
      <c r="L21" s="274"/>
      <c r="M21" s="274"/>
      <c r="N21" s="274"/>
      <c r="O21" s="274"/>
      <c r="P21" s="274"/>
      <c r="Q21" s="274"/>
      <c r="R21" s="274"/>
      <c r="S21" s="274"/>
      <c r="T21" s="274"/>
      <c r="U21" s="274"/>
      <c r="V21" s="274"/>
      <c r="W21" s="274"/>
      <c r="X21" s="274"/>
      <c r="Y21" s="274"/>
      <c r="Z21" s="274"/>
      <c r="AA21" s="274"/>
      <c r="AB21" s="274"/>
      <c r="AC21" s="274"/>
    </row>
    <row r="22" spans="2:29" ht="15.75" hidden="1" thickBot="1" x14ac:dyDescent="0.25">
      <c r="B22" s="274"/>
      <c r="C22" s="274"/>
      <c r="D22" s="274"/>
      <c r="E22" s="274"/>
      <c r="F22" s="274"/>
      <c r="G22" s="274"/>
      <c r="H22" s="274"/>
      <c r="I22" s="274"/>
      <c r="J22" s="274"/>
      <c r="K22" s="274"/>
      <c r="L22" s="274"/>
      <c r="M22" s="274"/>
      <c r="N22" s="274"/>
      <c r="O22" s="274"/>
      <c r="P22" s="274"/>
      <c r="Q22" s="274"/>
      <c r="R22" s="274"/>
      <c r="S22" s="274"/>
      <c r="T22" s="274"/>
      <c r="U22" s="274"/>
      <c r="V22" s="274"/>
      <c r="W22" s="274"/>
      <c r="X22" s="274"/>
      <c r="Y22" s="274"/>
      <c r="Z22" s="274"/>
      <c r="AA22" s="274"/>
      <c r="AB22" s="274"/>
      <c r="AC22" s="274"/>
    </row>
    <row r="23" spans="2:29" ht="15.75" hidden="1" thickBot="1" x14ac:dyDescent="0.25">
      <c r="B23" s="274"/>
      <c r="C23" s="274"/>
      <c r="D23" s="274"/>
      <c r="E23" s="274"/>
      <c r="F23" s="274"/>
      <c r="G23" s="274"/>
      <c r="H23" s="274"/>
      <c r="I23" s="274"/>
      <c r="J23" s="274"/>
      <c r="K23" s="274"/>
      <c r="L23" s="274"/>
      <c r="M23" s="274"/>
      <c r="N23" s="274"/>
      <c r="O23" s="274"/>
      <c r="P23" s="274"/>
      <c r="Q23" s="274"/>
      <c r="R23" s="274"/>
      <c r="S23" s="274"/>
      <c r="T23" s="274"/>
      <c r="U23" s="274"/>
      <c r="V23" s="274"/>
      <c r="W23" s="274"/>
      <c r="X23" s="274"/>
      <c r="Y23" s="274"/>
      <c r="Z23" s="274"/>
      <c r="AA23" s="274"/>
      <c r="AB23" s="274"/>
      <c r="AC23" s="274"/>
    </row>
    <row r="24" spans="2:29" ht="15.75" hidden="1" thickBot="1" x14ac:dyDescent="0.25">
      <c r="B24" s="274"/>
      <c r="C24" s="274"/>
      <c r="D24" s="274"/>
      <c r="E24" s="274"/>
      <c r="F24" s="274"/>
      <c r="G24" s="274"/>
      <c r="H24" s="274"/>
      <c r="I24" s="274"/>
      <c r="J24" s="274"/>
      <c r="K24" s="274"/>
      <c r="L24" s="274"/>
      <c r="M24" s="274"/>
      <c r="N24" s="274"/>
      <c r="O24" s="274"/>
      <c r="P24" s="274"/>
      <c r="Q24" s="274"/>
      <c r="R24" s="274"/>
      <c r="S24" s="274"/>
      <c r="T24" s="274"/>
      <c r="U24" s="274"/>
      <c r="V24" s="274"/>
      <c r="W24" s="274"/>
      <c r="X24" s="274"/>
      <c r="Y24" s="274"/>
      <c r="Z24" s="274"/>
      <c r="AA24" s="274"/>
      <c r="AB24" s="274"/>
      <c r="AC24" s="274"/>
    </row>
    <row r="25" spans="2:29" ht="15.75" hidden="1" thickBot="1" x14ac:dyDescent="0.25">
      <c r="B25" s="274"/>
      <c r="C25" s="274"/>
      <c r="D25" s="274"/>
      <c r="E25" s="274"/>
      <c r="F25" s="274"/>
      <c r="G25" s="274"/>
      <c r="H25" s="274"/>
      <c r="I25" s="274"/>
      <c r="J25" s="274"/>
      <c r="K25" s="274"/>
      <c r="L25" s="274"/>
      <c r="M25" s="274"/>
      <c r="N25" s="274"/>
      <c r="O25" s="274"/>
      <c r="P25" s="274"/>
      <c r="Q25" s="274"/>
      <c r="R25" s="274"/>
      <c r="S25" s="274"/>
      <c r="T25" s="274"/>
      <c r="U25" s="274"/>
      <c r="V25" s="274"/>
      <c r="W25" s="274"/>
      <c r="X25" s="274"/>
      <c r="Y25" s="274"/>
      <c r="Z25" s="274"/>
      <c r="AA25" s="274"/>
      <c r="AB25" s="274"/>
      <c r="AC25" s="274"/>
    </row>
    <row r="26" spans="2:29" ht="15.75" hidden="1" thickBot="1" x14ac:dyDescent="0.25">
      <c r="B26" s="274"/>
      <c r="C26" s="274"/>
      <c r="D26" s="274"/>
      <c r="E26" s="274"/>
      <c r="F26" s="274"/>
      <c r="G26" s="274"/>
      <c r="H26" s="274"/>
      <c r="I26" s="274"/>
      <c r="J26" s="274"/>
      <c r="K26" s="274"/>
      <c r="L26" s="274"/>
      <c r="M26" s="274"/>
      <c r="N26" s="274"/>
      <c r="O26" s="274"/>
      <c r="P26" s="274"/>
      <c r="Q26" s="274"/>
      <c r="R26" s="274"/>
      <c r="S26" s="274"/>
      <c r="T26" s="274"/>
      <c r="U26" s="274"/>
      <c r="V26" s="274"/>
      <c r="W26" s="274"/>
      <c r="X26" s="274"/>
      <c r="Y26" s="274"/>
      <c r="Z26" s="274"/>
      <c r="AA26" s="274"/>
      <c r="AB26" s="274"/>
      <c r="AC26" s="274"/>
    </row>
    <row r="27" spans="2:29" ht="15.75" hidden="1" thickBot="1" x14ac:dyDescent="0.25">
      <c r="B27" s="274"/>
      <c r="C27" s="274"/>
      <c r="D27" s="274"/>
      <c r="E27" s="274"/>
      <c r="F27" s="274"/>
      <c r="G27" s="274"/>
      <c r="H27" s="274"/>
      <c r="I27" s="274"/>
      <c r="J27" s="274"/>
      <c r="K27" s="274"/>
      <c r="L27" s="274"/>
      <c r="M27" s="274"/>
      <c r="N27" s="274"/>
      <c r="O27" s="274"/>
      <c r="P27" s="274"/>
      <c r="Q27" s="274"/>
      <c r="R27" s="274"/>
      <c r="S27" s="274"/>
      <c r="T27" s="274"/>
      <c r="U27" s="274"/>
      <c r="V27" s="274"/>
      <c r="W27" s="274"/>
      <c r="X27" s="274"/>
      <c r="Y27" s="274"/>
      <c r="Z27" s="274"/>
      <c r="AA27" s="274"/>
      <c r="AB27" s="274"/>
      <c r="AC27" s="274"/>
    </row>
    <row r="28" spans="2:29" ht="18.75" customHeight="1" thickBot="1" x14ac:dyDescent="0.25">
      <c r="B28" s="349" t="str">
        <f ca="1">MID(CELL("filename",B29),FIND("]",CELL("filename",C29),1)+1,99)</f>
        <v>הגבלה לסכום מבוקש</v>
      </c>
      <c r="C28" s="350"/>
      <c r="D28" s="350"/>
      <c r="E28" s="350"/>
      <c r="F28" s="350"/>
      <c r="G28" s="350"/>
      <c r="H28" s="350"/>
      <c r="I28" s="350"/>
      <c r="J28" s="350"/>
      <c r="K28" s="350"/>
      <c r="L28" s="350"/>
      <c r="M28" s="350"/>
      <c r="N28" s="350"/>
      <c r="O28" s="350"/>
      <c r="P28" s="350"/>
      <c r="Q28" s="350"/>
      <c r="R28" s="350"/>
      <c r="S28" s="350"/>
      <c r="T28" s="350"/>
      <c r="U28" s="350"/>
      <c r="V28" s="350"/>
      <c r="W28" s="350"/>
      <c r="X28" s="350"/>
      <c r="Y28" s="350"/>
      <c r="Z28" s="351"/>
      <c r="AA28" s="274"/>
      <c r="AB28" s="274"/>
      <c r="AC28" s="274"/>
    </row>
    <row r="29" spans="2:29" s="279" customFormat="1" ht="45" customHeight="1" x14ac:dyDescent="0.25">
      <c r="B29" s="352" t="s">
        <v>472</v>
      </c>
      <c r="C29" s="354" t="s">
        <v>473</v>
      </c>
      <c r="D29" s="356" t="s">
        <v>521</v>
      </c>
      <c r="E29" s="356" t="s">
        <v>522</v>
      </c>
      <c r="F29" s="356" t="s">
        <v>523</v>
      </c>
      <c r="G29" s="356" t="s">
        <v>524</v>
      </c>
      <c r="H29" s="356" t="s">
        <v>525</v>
      </c>
      <c r="I29" s="277"/>
      <c r="J29" s="277"/>
      <c r="K29" s="277"/>
      <c r="L29" s="277"/>
      <c r="M29" s="277"/>
      <c r="N29" s="277"/>
      <c r="O29" s="277"/>
      <c r="P29" s="277"/>
      <c r="Q29" s="277"/>
      <c r="R29" s="277"/>
      <c r="S29" s="277"/>
      <c r="T29" s="277"/>
      <c r="U29" s="356" t="s">
        <v>526</v>
      </c>
      <c r="V29" s="278"/>
      <c r="W29" s="278"/>
      <c r="X29" s="278"/>
      <c r="Y29" s="278"/>
      <c r="Z29" s="343" t="s">
        <v>527</v>
      </c>
      <c r="AC29" s="345" t="s">
        <v>528</v>
      </c>
    </row>
    <row r="30" spans="2:29" s="279" customFormat="1" ht="30.75" customHeight="1" thickBot="1" x14ac:dyDescent="0.3">
      <c r="B30" s="353"/>
      <c r="C30" s="355"/>
      <c r="D30" s="357"/>
      <c r="E30" s="357"/>
      <c r="F30" s="357"/>
      <c r="G30" s="357"/>
      <c r="H30" s="357"/>
      <c r="I30" s="280" t="s">
        <v>529</v>
      </c>
      <c r="J30" s="280" t="s">
        <v>530</v>
      </c>
      <c r="K30" s="280" t="s">
        <v>531</v>
      </c>
      <c r="L30" s="280" t="s">
        <v>532</v>
      </c>
      <c r="M30" s="280" t="s">
        <v>533</v>
      </c>
      <c r="N30" s="280" t="s">
        <v>534</v>
      </c>
      <c r="O30" s="280" t="s">
        <v>535</v>
      </c>
      <c r="P30" s="280" t="s">
        <v>536</v>
      </c>
      <c r="Q30" s="280" t="s">
        <v>537</v>
      </c>
      <c r="R30" s="280" t="s">
        <v>538</v>
      </c>
      <c r="S30" s="280" t="s">
        <v>539</v>
      </c>
      <c r="T30" s="280" t="s">
        <v>540</v>
      </c>
      <c r="U30" s="357"/>
      <c r="V30" s="281"/>
      <c r="W30" s="281"/>
      <c r="X30" s="281"/>
      <c r="Y30" s="281"/>
      <c r="Z30" s="344"/>
      <c r="AC30" s="345"/>
    </row>
    <row r="31" spans="2:29" s="279" customFormat="1" ht="15.75" x14ac:dyDescent="0.25">
      <c r="B31" s="282">
        <f>IF(C31="","",ROW()-30)</f>
        <v>1</v>
      </c>
      <c r="C31" s="283" t="str">
        <f>IF('מודל תמיכה חלוקת 20,294,511 שח'!G3="","",'מודל תמיכה חלוקת 20,294,511 שח'!G3)</f>
        <v>"המכון ללימוד מחקר ובנין המקדש"</v>
      </c>
      <c r="D31" s="284">
        <f>IF(C31="","",'מודל תמיכה חלוקת 20,294,511 שח'!J3)</f>
        <v>510000</v>
      </c>
      <c r="E31" s="284">
        <f>הגנה!AX31</f>
        <v>263019.79253012815</v>
      </c>
      <c r="F31" s="285">
        <f>IF(C31="","",IF(E31&gt;$D31,1,0))</f>
        <v>0</v>
      </c>
      <c r="G31" s="284">
        <f>IF($C31="","",MIN(D31:E31))</f>
        <v>263019.79253012815</v>
      </c>
      <c r="H31" s="284">
        <f t="shared" ref="H31:H62" si="0">IF($C31="","",IF(F31=1,G31,G31/SUMIF(F$31:F$129,0,G$31:G$129)*($C$2-SUMIF(F$31:F$129,1,G$31:G$129))))</f>
        <v>264414.53424981504</v>
      </c>
      <c r="I31" s="286">
        <f>IF(OR(H31&gt;$D31,$F31=1),1,0)</f>
        <v>0</v>
      </c>
      <c r="J31" s="287">
        <f>IF($C31="","",MIN(H31,$D31))</f>
        <v>264414.53424981504</v>
      </c>
      <c r="K31" s="287">
        <f t="shared" ref="K31:K62" si="1">IFERROR(IF($C31="","",IF(I31=1,J31,J31/SUMIF(I$31:I$129,0,J$31:J$129)*($C$2-SUMIF(I$31:I$129,1,J$31:J$129)))),0)</f>
        <v>264414.53424981498</v>
      </c>
      <c r="L31" s="286">
        <f>IF(OR(K31&gt;$D31,$F31=1,$I31=1),1,0)</f>
        <v>0</v>
      </c>
      <c r="M31" s="287">
        <f>IF($C31="","",MIN(K31,$D31))</f>
        <v>264414.53424981498</v>
      </c>
      <c r="N31" s="287">
        <f t="shared" ref="N31:N62" si="2">IFERROR(IF($C31="","",IF(L31=1,M31,M31/SUMIF(L$31:L$129,0,M$31:M$129)*($C$2-SUMIF(L$31:L$129,1,M$31:M$129)))),0)</f>
        <v>264414.53424981504</v>
      </c>
      <c r="O31" s="286">
        <f>IF(OR(N31&gt;$D31,$F31=1,$I31=1,$L31=1),1,0)</f>
        <v>0</v>
      </c>
      <c r="P31" s="287">
        <f>IF($C31="","",MIN(N31,$D31))</f>
        <v>264414.53424981504</v>
      </c>
      <c r="Q31" s="287">
        <f t="shared" ref="Q31:Q62" si="3">IFERROR(IF($C31="","",IF(O31=2,P31,IF(O31=1,P31,P31/SUMIF(O$31:O$129,0,P$31:P$129)*($C$2-SUMIF(O$31:O$129,1,P$31:P$129)-SUMIF(O$31:O$129,2,P$31:P$129))))),0)</f>
        <v>264414.53424981498</v>
      </c>
      <c r="R31" s="286">
        <f>IF(OR(Q31&gt;$D31,$F31=1,$I31=1,$L31=1,$O31=1),1,0)</f>
        <v>0</v>
      </c>
      <c r="S31" s="287">
        <f>IF($C31="","",MIN(Q31,$D31))</f>
        <v>264414.53424981498</v>
      </c>
      <c r="T31" s="287">
        <f t="shared" ref="T31:T62" si="4">IFERROR(IF($C31="","",IF(R31=2,S31,IF(R31=1,S31,S31/SUMIF(R$31:R$129,0,S$31:S$129)*($C$2-SUMIF(R$31:R$129,1,S$31:S$129)-SUMIF(R$31:R$129,2,S$31:S$129))))),0)</f>
        <v>264414.53424981504</v>
      </c>
      <c r="U31" s="288">
        <f>IF($C31="","",IF(AC31=0,$AF$1,IFERROR(T31,$AF$1)))</f>
        <v>264414.53424981504</v>
      </c>
      <c r="V31" s="288"/>
      <c r="W31" s="288"/>
      <c r="X31" s="288"/>
      <c r="Y31" s="288"/>
      <c r="Z31" s="289">
        <f t="shared" ref="Z31:Z62" si="5">IF(C31="","",IFERROR(U31/SUMIF($U$31:$U$129,"&lt;&gt;#DIV/0!"),$AF$1))</f>
        <v>1.3028869444048933E-2</v>
      </c>
      <c r="AC31" s="290">
        <f>IF(OR(C31="",D31=""),0,IFERROR(IF(D31*1&gt;=0,1,0),0))</f>
        <v>1</v>
      </c>
    </row>
    <row r="32" spans="2:29" s="279" customFormat="1" ht="15.75" x14ac:dyDescent="0.25">
      <c r="B32" s="282">
        <f t="shared" ref="B32:B95" si="6">IF(C32="","",ROW()-30)</f>
        <v>2</v>
      </c>
      <c r="C32" s="283" t="str">
        <f>IF('מודל תמיכה חלוקת 20,294,511 שח'!G4="","",'מודל תמיכה חלוקת 20,294,511 שח'!G4)</f>
        <v>אוצר ערכי החסידות (ע"ר)</v>
      </c>
      <c r="D32" s="284">
        <f>IF(C32="","",'מודל תמיכה חלוקת 20,294,511 שח'!J4)</f>
        <v>900000</v>
      </c>
      <c r="E32" s="284">
        <f>הגנה!AX32</f>
        <v>595255.31993660587</v>
      </c>
      <c r="F32" s="285">
        <f t="shared" ref="F32:F95" si="7">IF(C32="","",IF(E32&gt;$D32,1,0))</f>
        <v>0</v>
      </c>
      <c r="G32" s="284">
        <f t="shared" ref="G32:G95" si="8">IF($C32="","",MIN(D32:E32))</f>
        <v>595255.31993660587</v>
      </c>
      <c r="H32" s="284">
        <f t="shared" si="0"/>
        <v>598411.84067063406</v>
      </c>
      <c r="I32" s="286">
        <f t="shared" ref="I32:I95" si="9">IF(OR(H32&gt;$D32,$F32=1),1,0)</f>
        <v>0</v>
      </c>
      <c r="J32" s="287">
        <f t="shared" ref="J32:J95" si="10">IF($C32="","",MIN(H32,$D32))</f>
        <v>598411.84067063406</v>
      </c>
      <c r="K32" s="287">
        <f t="shared" si="1"/>
        <v>598411.84067063383</v>
      </c>
      <c r="L32" s="286">
        <f t="shared" ref="L32:L95" si="11">IF(OR(K32&gt;$D32,$F32=1,$I32=1),1,0)</f>
        <v>0</v>
      </c>
      <c r="M32" s="287">
        <f t="shared" ref="M32:M95" si="12">IF($C32="","",MIN(K32,$D32))</f>
        <v>598411.84067063383</v>
      </c>
      <c r="N32" s="287">
        <f t="shared" si="2"/>
        <v>598411.84067063394</v>
      </c>
      <c r="O32" s="286">
        <f t="shared" ref="O32:O95" si="13">IF(OR(N32&gt;$D32,$F32=1,$I32=1,$L32=1),1,0)</f>
        <v>0</v>
      </c>
      <c r="P32" s="287">
        <f t="shared" ref="P32:P95" si="14">IF($C32="","",MIN(N32,$D32))</f>
        <v>598411.84067063394</v>
      </c>
      <c r="Q32" s="287">
        <f t="shared" si="3"/>
        <v>598411.84067063383</v>
      </c>
      <c r="R32" s="286">
        <f t="shared" ref="R32:R95" si="15">IF(OR(Q32&gt;$D32,$F32=1,$I32=1,$L32=1,$O32=1),1,0)</f>
        <v>0</v>
      </c>
      <c r="S32" s="287">
        <f t="shared" ref="S32:S95" si="16">IF($C32="","",MIN(Q32,$D32))</f>
        <v>598411.84067063383</v>
      </c>
      <c r="T32" s="287">
        <f t="shared" si="4"/>
        <v>598411.84067063394</v>
      </c>
      <c r="U32" s="288">
        <f t="shared" ref="U32:U95" si="17">IF($C32="","",IF(AC32=0,$AF$1,IFERROR(T32,$AF$1)))</f>
        <v>598411.84067063394</v>
      </c>
      <c r="V32" s="288"/>
      <c r="W32" s="288"/>
      <c r="X32" s="288"/>
      <c r="Y32" s="288"/>
      <c r="Z32" s="289">
        <f t="shared" si="5"/>
        <v>2.9486388741794947E-2</v>
      </c>
      <c r="AC32" s="290">
        <f t="shared" ref="AC32:AC95" si="18">IF(OR(C32="",D32=""),0,IFERROR(IF(D32*1&gt;=0,1,0),0))</f>
        <v>1</v>
      </c>
    </row>
    <row r="33" spans="2:29" s="279" customFormat="1" ht="15.75" x14ac:dyDescent="0.25">
      <c r="B33" s="282">
        <f t="shared" si="6"/>
        <v>3</v>
      </c>
      <c r="C33" s="283" t="str">
        <f>IF('מודל תמיכה חלוקת 20,294,511 שח'!G5="","",'מודל תמיכה חלוקת 20,294,511 שח'!G5)</f>
        <v>אוצרות שלמה להוצאת וההדרת כתבי מרן</v>
      </c>
      <c r="D33" s="284">
        <f>IF(C33="","",'מודל תמיכה חלוקת 20,294,511 שח'!J5)</f>
        <v>500000</v>
      </c>
      <c r="E33" s="284">
        <f>הגנה!AX33</f>
        <v>442980.70320863678</v>
      </c>
      <c r="F33" s="285">
        <f t="shared" si="7"/>
        <v>0</v>
      </c>
      <c r="G33" s="284">
        <f t="shared" si="8"/>
        <v>442980.70320863678</v>
      </c>
      <c r="H33" s="284">
        <f t="shared" si="0"/>
        <v>445329.74189442518</v>
      </c>
      <c r="I33" s="286">
        <f t="shared" si="9"/>
        <v>0</v>
      </c>
      <c r="J33" s="287">
        <f t="shared" si="10"/>
        <v>445329.74189442518</v>
      </c>
      <c r="K33" s="287">
        <f t="shared" si="1"/>
        <v>445329.74189442501</v>
      </c>
      <c r="L33" s="286">
        <f t="shared" si="11"/>
        <v>0</v>
      </c>
      <c r="M33" s="287">
        <f t="shared" si="12"/>
        <v>445329.74189442501</v>
      </c>
      <c r="N33" s="287">
        <f t="shared" si="2"/>
        <v>445329.74189442507</v>
      </c>
      <c r="O33" s="286">
        <f t="shared" si="13"/>
        <v>0</v>
      </c>
      <c r="P33" s="287">
        <f t="shared" si="14"/>
        <v>445329.74189442507</v>
      </c>
      <c r="Q33" s="287">
        <f t="shared" si="3"/>
        <v>445329.74189442501</v>
      </c>
      <c r="R33" s="286">
        <f t="shared" si="15"/>
        <v>0</v>
      </c>
      <c r="S33" s="287">
        <f t="shared" si="16"/>
        <v>445329.74189442501</v>
      </c>
      <c r="T33" s="287">
        <f t="shared" si="4"/>
        <v>445329.74189442507</v>
      </c>
      <c r="U33" s="288">
        <f t="shared" si="17"/>
        <v>445329.74189442507</v>
      </c>
      <c r="V33" s="288"/>
      <c r="W33" s="288"/>
      <c r="X33" s="288"/>
      <c r="Y33" s="288"/>
      <c r="Z33" s="289">
        <f t="shared" si="5"/>
        <v>2.1943359063661346E-2</v>
      </c>
      <c r="AC33" s="290">
        <f t="shared" si="18"/>
        <v>1</v>
      </c>
    </row>
    <row r="34" spans="2:29" s="279" customFormat="1" ht="15.75" x14ac:dyDescent="0.25">
      <c r="B34" s="282">
        <f t="shared" si="6"/>
        <v>4</v>
      </c>
      <c r="C34" s="283" t="str">
        <f>IF('מודל תמיכה חלוקת 20,294,511 שח'!G6="","",'מודל תמיכה חלוקת 20,294,511 שח'!G6)</f>
        <v>אור תורה סטון (ע"ר)</v>
      </c>
      <c r="D34" s="284">
        <f>IF(C34="","",'מודל תמיכה חלוקת 20,294,511 שח'!J6)</f>
        <v>525000</v>
      </c>
      <c r="E34" s="284">
        <f>הגנה!AX34</f>
        <v>0</v>
      </c>
      <c r="F34" s="285">
        <f t="shared" si="7"/>
        <v>0</v>
      </c>
      <c r="G34" s="284">
        <f t="shared" si="8"/>
        <v>0</v>
      </c>
      <c r="H34" s="284">
        <f t="shared" si="0"/>
        <v>0</v>
      </c>
      <c r="I34" s="286">
        <f t="shared" si="9"/>
        <v>0</v>
      </c>
      <c r="J34" s="287">
        <f t="shared" si="10"/>
        <v>0</v>
      </c>
      <c r="K34" s="287">
        <f t="shared" si="1"/>
        <v>0</v>
      </c>
      <c r="L34" s="286">
        <f t="shared" si="11"/>
        <v>0</v>
      </c>
      <c r="M34" s="287">
        <f t="shared" si="12"/>
        <v>0</v>
      </c>
      <c r="N34" s="287">
        <f t="shared" si="2"/>
        <v>0</v>
      </c>
      <c r="O34" s="286">
        <f t="shared" si="13"/>
        <v>0</v>
      </c>
      <c r="P34" s="287">
        <f t="shared" si="14"/>
        <v>0</v>
      </c>
      <c r="Q34" s="287">
        <f t="shared" si="3"/>
        <v>0</v>
      </c>
      <c r="R34" s="286">
        <f t="shared" si="15"/>
        <v>0</v>
      </c>
      <c r="S34" s="287">
        <f t="shared" si="16"/>
        <v>0</v>
      </c>
      <c r="T34" s="287">
        <f t="shared" si="4"/>
        <v>0</v>
      </c>
      <c r="U34" s="288">
        <f t="shared" si="17"/>
        <v>0</v>
      </c>
      <c r="V34" s="288"/>
      <c r="W34" s="288"/>
      <c r="X34" s="288"/>
      <c r="Y34" s="288"/>
      <c r="Z34" s="289">
        <f t="shared" si="5"/>
        <v>0</v>
      </c>
      <c r="AC34" s="290">
        <f t="shared" si="18"/>
        <v>1</v>
      </c>
    </row>
    <row r="35" spans="2:29" s="279" customFormat="1" ht="15.75" x14ac:dyDescent="0.25">
      <c r="B35" s="282">
        <f t="shared" si="6"/>
        <v>5</v>
      </c>
      <c r="C35" s="283" t="str">
        <f>IF('מודל תמיכה חלוקת 20,294,511 שח'!G7="","",'מודל תמיכה חלוקת 20,294,511 שח'!G7)</f>
        <v>אורות חמדה (ע"ר)</v>
      </c>
      <c r="D35" s="284">
        <f>IF(C35="","",'מודל תמיכה חלוקת 20,294,511 שח'!J7)</f>
        <v>198000</v>
      </c>
      <c r="E35" s="284">
        <f>הגנה!AX35</f>
        <v>152274.61672796891</v>
      </c>
      <c r="F35" s="285">
        <f t="shared" si="7"/>
        <v>0</v>
      </c>
      <c r="G35" s="284">
        <f t="shared" si="8"/>
        <v>152274.61672796891</v>
      </c>
      <c r="H35" s="284">
        <f t="shared" si="0"/>
        <v>153082.0987762087</v>
      </c>
      <c r="I35" s="286">
        <f t="shared" si="9"/>
        <v>0</v>
      </c>
      <c r="J35" s="287">
        <f t="shared" si="10"/>
        <v>153082.0987762087</v>
      </c>
      <c r="K35" s="287">
        <f t="shared" si="1"/>
        <v>153082.09877620864</v>
      </c>
      <c r="L35" s="286">
        <f t="shared" si="11"/>
        <v>0</v>
      </c>
      <c r="M35" s="287">
        <f t="shared" si="12"/>
        <v>153082.09877620864</v>
      </c>
      <c r="N35" s="287">
        <f t="shared" si="2"/>
        <v>153082.0987762087</v>
      </c>
      <c r="O35" s="286">
        <f t="shared" si="13"/>
        <v>0</v>
      </c>
      <c r="P35" s="287">
        <f t="shared" si="14"/>
        <v>153082.0987762087</v>
      </c>
      <c r="Q35" s="287">
        <f t="shared" si="3"/>
        <v>153082.0987762087</v>
      </c>
      <c r="R35" s="286">
        <f t="shared" si="15"/>
        <v>0</v>
      </c>
      <c r="S35" s="287">
        <f t="shared" si="16"/>
        <v>153082.0987762087</v>
      </c>
      <c r="T35" s="287">
        <f t="shared" si="4"/>
        <v>153082.09877620873</v>
      </c>
      <c r="U35" s="288">
        <f t="shared" si="17"/>
        <v>153082.09877620873</v>
      </c>
      <c r="V35" s="288"/>
      <c r="W35" s="288"/>
      <c r="X35" s="288"/>
      <c r="Y35" s="288"/>
      <c r="Z35" s="289">
        <f t="shared" si="5"/>
        <v>7.5430296781335933E-3</v>
      </c>
      <c r="AC35" s="290">
        <f t="shared" si="18"/>
        <v>1</v>
      </c>
    </row>
    <row r="36" spans="2:29" ht="15.75" x14ac:dyDescent="0.25">
      <c r="B36" s="282">
        <f t="shared" si="6"/>
        <v>6</v>
      </c>
      <c r="C36" s="283" t="str">
        <f>IF('מודל תמיכה חלוקת 20,294,511 שח'!G8="","",'מודל תמיכה חלוקת 20,294,511 שח'!G8)</f>
        <v>אריאל מפעלי תורה יהדות וחברה בישראל</v>
      </c>
      <c r="D36" s="284">
        <f>IF(C36="","",'מודל תמיכה חלוקת 20,294,511 שח'!J8)</f>
        <v>450000</v>
      </c>
      <c r="E36" s="284">
        <f>הגנה!AX36</f>
        <v>235333.49857958837</v>
      </c>
      <c r="F36" s="285">
        <f t="shared" si="7"/>
        <v>0</v>
      </c>
      <c r="G36" s="284">
        <f t="shared" si="8"/>
        <v>235333.49857958837</v>
      </c>
      <c r="H36" s="284">
        <f t="shared" si="0"/>
        <v>236581.42538141346</v>
      </c>
      <c r="I36" s="286">
        <f t="shared" si="9"/>
        <v>0</v>
      </c>
      <c r="J36" s="287">
        <f t="shared" si="10"/>
        <v>236581.42538141346</v>
      </c>
      <c r="K36" s="287">
        <f t="shared" si="1"/>
        <v>236581.42538141337</v>
      </c>
      <c r="L36" s="286">
        <f t="shared" si="11"/>
        <v>0</v>
      </c>
      <c r="M36" s="287">
        <f t="shared" si="12"/>
        <v>236581.42538141337</v>
      </c>
      <c r="N36" s="287">
        <f t="shared" si="2"/>
        <v>236581.42538141343</v>
      </c>
      <c r="O36" s="286">
        <f t="shared" si="13"/>
        <v>0</v>
      </c>
      <c r="P36" s="287">
        <f t="shared" si="14"/>
        <v>236581.42538141343</v>
      </c>
      <c r="Q36" s="287">
        <f t="shared" si="3"/>
        <v>236581.4253814134</v>
      </c>
      <c r="R36" s="286">
        <f t="shared" si="15"/>
        <v>0</v>
      </c>
      <c r="S36" s="287">
        <f t="shared" si="16"/>
        <v>236581.4253814134</v>
      </c>
      <c r="T36" s="287">
        <f t="shared" si="4"/>
        <v>236581.42538141346</v>
      </c>
      <c r="U36" s="288">
        <f t="shared" si="17"/>
        <v>236581.42538141346</v>
      </c>
      <c r="V36" s="288"/>
      <c r="W36" s="288"/>
      <c r="X36" s="288"/>
      <c r="Y36" s="288"/>
      <c r="Z36" s="289">
        <f t="shared" si="5"/>
        <v>1.1657409502570097E-2</v>
      </c>
      <c r="AA36" s="274"/>
      <c r="AB36" s="274"/>
      <c r="AC36" s="290">
        <f t="shared" si="18"/>
        <v>1</v>
      </c>
    </row>
    <row r="37" spans="2:29" ht="15.75" x14ac:dyDescent="0.25">
      <c r="B37" s="282">
        <f t="shared" si="6"/>
        <v>7</v>
      </c>
      <c r="C37" s="283" t="str">
        <f>IF('מודל תמיכה חלוקת 20,294,511 שח'!G9="","",'מודל תמיכה חלוקת 20,294,511 שח'!G9)</f>
        <v>בית המדרש להלכה בהתישבות - אמונת אי"ש</v>
      </c>
      <c r="D37" s="284">
        <f>IF(C37="","",'מודל תמיכה חלוקת 20,294,511 שח'!J9)</f>
        <v>1000000</v>
      </c>
      <c r="E37" s="284">
        <f>הגנה!AX37</f>
        <v>495958.72792657948</v>
      </c>
      <c r="F37" s="285">
        <f t="shared" si="7"/>
        <v>0</v>
      </c>
      <c r="G37" s="284">
        <f t="shared" si="8"/>
        <v>495958.72792657948</v>
      </c>
      <c r="H37" s="284">
        <f t="shared" si="0"/>
        <v>498588.69855513127</v>
      </c>
      <c r="I37" s="286">
        <f t="shared" si="9"/>
        <v>0</v>
      </c>
      <c r="J37" s="287">
        <f t="shared" si="10"/>
        <v>498588.69855513127</v>
      </c>
      <c r="K37" s="287">
        <f t="shared" si="1"/>
        <v>498588.69855513109</v>
      </c>
      <c r="L37" s="286">
        <f t="shared" si="11"/>
        <v>0</v>
      </c>
      <c r="M37" s="287">
        <f t="shared" si="12"/>
        <v>498588.69855513109</v>
      </c>
      <c r="N37" s="287">
        <f t="shared" si="2"/>
        <v>498588.69855513121</v>
      </c>
      <c r="O37" s="286">
        <f t="shared" si="13"/>
        <v>0</v>
      </c>
      <c r="P37" s="287">
        <f t="shared" si="14"/>
        <v>498588.69855513121</v>
      </c>
      <c r="Q37" s="287">
        <f t="shared" si="3"/>
        <v>498588.69855513115</v>
      </c>
      <c r="R37" s="286">
        <f t="shared" si="15"/>
        <v>0</v>
      </c>
      <c r="S37" s="287">
        <f t="shared" si="16"/>
        <v>498588.69855513115</v>
      </c>
      <c r="T37" s="287">
        <f t="shared" si="4"/>
        <v>498588.69855513127</v>
      </c>
      <c r="U37" s="288">
        <f t="shared" si="17"/>
        <v>498588.69855513127</v>
      </c>
      <c r="V37" s="288"/>
      <c r="W37" s="288"/>
      <c r="X37" s="288"/>
      <c r="Y37" s="288"/>
      <c r="Z37" s="289">
        <f t="shared" si="5"/>
        <v>2.4567662583992837E-2</v>
      </c>
      <c r="AA37" s="274"/>
      <c r="AB37" s="274"/>
      <c r="AC37" s="290">
        <f t="shared" si="18"/>
        <v>1</v>
      </c>
    </row>
    <row r="38" spans="2:29" ht="15.75" x14ac:dyDescent="0.25">
      <c r="B38" s="282">
        <f t="shared" si="6"/>
        <v>8</v>
      </c>
      <c r="C38" s="283" t="str">
        <f>IF('מודל תמיכה חלוקת 20,294,511 שח'!G10="","",'מודל תמיכה חלוקת 20,294,511 שח'!G10)</f>
        <v>בית ועד הר-חברון (ע"ר)</v>
      </c>
      <c r="D38" s="284">
        <f>IF(C38="","",'מודל תמיכה חלוקת 20,294,511 שח'!J10)</f>
        <v>290000</v>
      </c>
      <c r="E38" s="284">
        <f>הגנה!AX38</f>
        <v>269941.3660177631</v>
      </c>
      <c r="F38" s="285">
        <f t="shared" si="7"/>
        <v>0</v>
      </c>
      <c r="G38" s="284">
        <f t="shared" si="8"/>
        <v>269941.3660177631</v>
      </c>
      <c r="H38" s="284">
        <f t="shared" si="0"/>
        <v>271372.81146691542</v>
      </c>
      <c r="I38" s="286">
        <f t="shared" si="9"/>
        <v>0</v>
      </c>
      <c r="J38" s="287">
        <f t="shared" si="10"/>
        <v>271372.81146691542</v>
      </c>
      <c r="K38" s="287">
        <f t="shared" si="1"/>
        <v>271372.8114669153</v>
      </c>
      <c r="L38" s="286">
        <f t="shared" si="11"/>
        <v>0</v>
      </c>
      <c r="M38" s="287">
        <f t="shared" si="12"/>
        <v>271372.8114669153</v>
      </c>
      <c r="N38" s="287">
        <f t="shared" si="2"/>
        <v>271372.81146691536</v>
      </c>
      <c r="O38" s="286">
        <f t="shared" si="13"/>
        <v>0</v>
      </c>
      <c r="P38" s="287">
        <f t="shared" si="14"/>
        <v>271372.81146691536</v>
      </c>
      <c r="Q38" s="287">
        <f t="shared" si="3"/>
        <v>271372.8114669153</v>
      </c>
      <c r="R38" s="286">
        <f t="shared" si="15"/>
        <v>0</v>
      </c>
      <c r="S38" s="287">
        <f t="shared" si="16"/>
        <v>271372.8114669153</v>
      </c>
      <c r="T38" s="287">
        <f t="shared" si="4"/>
        <v>271372.81146691536</v>
      </c>
      <c r="U38" s="288">
        <f t="shared" si="17"/>
        <v>271372.81146691536</v>
      </c>
      <c r="V38" s="288"/>
      <c r="W38" s="288"/>
      <c r="X38" s="288"/>
      <c r="Y38" s="288"/>
      <c r="Z38" s="289">
        <f t="shared" si="5"/>
        <v>1.3371734429418638E-2</v>
      </c>
      <c r="AA38" s="274"/>
      <c r="AB38" s="274"/>
      <c r="AC38" s="290">
        <f t="shared" si="18"/>
        <v>1</v>
      </c>
    </row>
    <row r="39" spans="2:29" ht="15.75" x14ac:dyDescent="0.25">
      <c r="B39" s="282">
        <f t="shared" si="6"/>
        <v>9</v>
      </c>
      <c r="C39" s="283" t="str">
        <f>IF('מודל תמיכה חלוקת 20,294,511 שח'!G11="","",'מודל תמיכה חלוקת 20,294,511 שח'!G11)</f>
        <v>בית תלמוד לרבנים בישראל (ע"ר)</v>
      </c>
      <c r="D39" s="284">
        <f>IF(C39="","",'מודל תמיכה חלוקת 20,294,511 שח'!J11)</f>
        <v>1500000</v>
      </c>
      <c r="E39" s="284">
        <f>הגנה!AX39</f>
        <v>0</v>
      </c>
      <c r="F39" s="285">
        <f t="shared" si="7"/>
        <v>0</v>
      </c>
      <c r="G39" s="284">
        <f t="shared" si="8"/>
        <v>0</v>
      </c>
      <c r="H39" s="284">
        <f t="shared" si="0"/>
        <v>0</v>
      </c>
      <c r="I39" s="286">
        <f t="shared" si="9"/>
        <v>0</v>
      </c>
      <c r="J39" s="287">
        <f t="shared" si="10"/>
        <v>0</v>
      </c>
      <c r="K39" s="287">
        <f t="shared" si="1"/>
        <v>0</v>
      </c>
      <c r="L39" s="286">
        <f t="shared" si="11"/>
        <v>0</v>
      </c>
      <c r="M39" s="287">
        <f t="shared" si="12"/>
        <v>0</v>
      </c>
      <c r="N39" s="287">
        <f t="shared" si="2"/>
        <v>0</v>
      </c>
      <c r="O39" s="286">
        <f t="shared" si="13"/>
        <v>0</v>
      </c>
      <c r="P39" s="287">
        <f t="shared" si="14"/>
        <v>0</v>
      </c>
      <c r="Q39" s="287">
        <f t="shared" si="3"/>
        <v>0</v>
      </c>
      <c r="R39" s="286">
        <f t="shared" si="15"/>
        <v>0</v>
      </c>
      <c r="S39" s="287">
        <f t="shared" si="16"/>
        <v>0</v>
      </c>
      <c r="T39" s="287">
        <f t="shared" si="4"/>
        <v>0</v>
      </c>
      <c r="U39" s="288">
        <f t="shared" si="17"/>
        <v>0</v>
      </c>
      <c r="V39" s="288"/>
      <c r="W39" s="288"/>
      <c r="X39" s="288"/>
      <c r="Y39" s="288"/>
      <c r="Z39" s="289">
        <f t="shared" si="5"/>
        <v>0</v>
      </c>
      <c r="AA39" s="274"/>
      <c r="AB39" s="274"/>
      <c r="AC39" s="290">
        <f t="shared" si="18"/>
        <v>1</v>
      </c>
    </row>
    <row r="40" spans="2:29" ht="15.75" x14ac:dyDescent="0.25">
      <c r="B40" s="282">
        <f t="shared" si="6"/>
        <v>10</v>
      </c>
      <c r="C40" s="283" t="str">
        <f>IF('מודל תמיכה חלוקת 20,294,511 שח'!G12="","",'מודל תמיכה חלוקת 20,294,511 שח'!G12)</f>
        <v>בשורת הארץ ע"ש יוסף, נפתלי ודבורה ב</v>
      </c>
      <c r="D40" s="284">
        <f>IF(C40="","",'מודל תמיכה חלוקת 20,294,511 שח'!J12)</f>
        <v>350000</v>
      </c>
      <c r="E40" s="284">
        <f>הגנה!AX40</f>
        <v>242255.07206722331</v>
      </c>
      <c r="F40" s="285">
        <f t="shared" si="7"/>
        <v>0</v>
      </c>
      <c r="G40" s="284">
        <f t="shared" si="8"/>
        <v>242255.07206722331</v>
      </c>
      <c r="H40" s="284">
        <f t="shared" si="0"/>
        <v>243539.70259851386</v>
      </c>
      <c r="I40" s="286">
        <f t="shared" si="9"/>
        <v>0</v>
      </c>
      <c r="J40" s="287">
        <f t="shared" si="10"/>
        <v>243539.70259851386</v>
      </c>
      <c r="K40" s="287">
        <f t="shared" si="1"/>
        <v>243539.70259851377</v>
      </c>
      <c r="L40" s="286">
        <f t="shared" si="11"/>
        <v>0</v>
      </c>
      <c r="M40" s="287">
        <f t="shared" si="12"/>
        <v>243539.70259851377</v>
      </c>
      <c r="N40" s="287">
        <f t="shared" si="2"/>
        <v>243539.7025985138</v>
      </c>
      <c r="O40" s="286">
        <f t="shared" si="13"/>
        <v>0</v>
      </c>
      <c r="P40" s="287">
        <f t="shared" si="14"/>
        <v>243539.7025985138</v>
      </c>
      <c r="Q40" s="287">
        <f t="shared" si="3"/>
        <v>243539.70259851374</v>
      </c>
      <c r="R40" s="286">
        <f t="shared" si="15"/>
        <v>0</v>
      </c>
      <c r="S40" s="287">
        <f t="shared" si="16"/>
        <v>243539.70259851374</v>
      </c>
      <c r="T40" s="287">
        <f t="shared" si="4"/>
        <v>243539.70259851377</v>
      </c>
      <c r="U40" s="288">
        <f t="shared" si="17"/>
        <v>243539.70259851377</v>
      </c>
      <c r="V40" s="288"/>
      <c r="W40" s="288"/>
      <c r="X40" s="288"/>
      <c r="Y40" s="288"/>
      <c r="Z40" s="289">
        <f t="shared" si="5"/>
        <v>1.2000274487939801E-2</v>
      </c>
      <c r="AA40" s="274"/>
      <c r="AB40" s="274"/>
      <c r="AC40" s="290">
        <f t="shared" si="18"/>
        <v>1</v>
      </c>
    </row>
    <row r="41" spans="2:29" ht="15.75" x14ac:dyDescent="0.25">
      <c r="B41" s="282">
        <f t="shared" si="6"/>
        <v>11</v>
      </c>
      <c r="C41" s="283" t="str">
        <f>IF('מודל תמיכה חלוקת 20,294,511 שח'!G13="","",'מודל תמיכה חלוקת 20,294,511 שח'!G13)</f>
        <v>דרכי הוראה לרבנים (ע"ר)</v>
      </c>
      <c r="D41" s="284">
        <f>IF(C41="","",'מודל תמיכה חלוקת 20,294,511 שח'!J13)</f>
        <v>370000</v>
      </c>
      <c r="E41" s="284">
        <f>הגנה!AX41</f>
        <v>256731.1584757329</v>
      </c>
      <c r="F41" s="285">
        <f t="shared" si="7"/>
        <v>0</v>
      </c>
      <c r="G41" s="284">
        <f t="shared" si="8"/>
        <v>256731.1584757329</v>
      </c>
      <c r="H41" s="284">
        <f t="shared" si="0"/>
        <v>258092.55281805652</v>
      </c>
      <c r="I41" s="286">
        <f t="shared" si="9"/>
        <v>0</v>
      </c>
      <c r="J41" s="287">
        <f t="shared" si="10"/>
        <v>258092.55281805652</v>
      </c>
      <c r="K41" s="287">
        <f t="shared" si="1"/>
        <v>258092.5528180564</v>
      </c>
      <c r="L41" s="286">
        <f t="shared" si="11"/>
        <v>0</v>
      </c>
      <c r="M41" s="287">
        <f t="shared" si="12"/>
        <v>258092.5528180564</v>
      </c>
      <c r="N41" s="287">
        <f t="shared" si="2"/>
        <v>258092.55281805646</v>
      </c>
      <c r="O41" s="286">
        <f t="shared" si="13"/>
        <v>0</v>
      </c>
      <c r="P41" s="287">
        <f t="shared" si="14"/>
        <v>258092.55281805646</v>
      </c>
      <c r="Q41" s="287">
        <f t="shared" si="3"/>
        <v>258092.5528180564</v>
      </c>
      <c r="R41" s="286">
        <f t="shared" si="15"/>
        <v>0</v>
      </c>
      <c r="S41" s="287">
        <f t="shared" si="16"/>
        <v>258092.5528180564</v>
      </c>
      <c r="T41" s="287">
        <f t="shared" si="4"/>
        <v>258092.55281805646</v>
      </c>
      <c r="U41" s="288">
        <f t="shared" si="17"/>
        <v>258092.55281805646</v>
      </c>
      <c r="V41" s="288"/>
      <c r="W41" s="288"/>
      <c r="X41" s="288"/>
      <c r="Y41" s="288"/>
      <c r="Z41" s="289">
        <f t="shared" si="5"/>
        <v>1.2717357556339069E-2</v>
      </c>
      <c r="AA41" s="274"/>
      <c r="AB41" s="274"/>
      <c r="AC41" s="290">
        <f t="shared" si="18"/>
        <v>1</v>
      </c>
    </row>
    <row r="42" spans="2:29" ht="15.75" x14ac:dyDescent="0.25">
      <c r="B42" s="282">
        <f t="shared" si="6"/>
        <v>12</v>
      </c>
      <c r="C42" s="283" t="str">
        <f>IF('מודל תמיכה חלוקת 20,294,511 שח'!G14="","",'מודל תמיכה חלוקת 20,294,511 שח'!G14)</f>
        <v>דרכי שמחה (ע"ר)</v>
      </c>
      <c r="D42" s="284">
        <f>IF(C42="","",'מודל תמיכה חלוקת 20,294,511 שח'!J14)</f>
        <v>850000</v>
      </c>
      <c r="E42" s="284">
        <f>הגנה!AX42</f>
        <v>554306.71848924598</v>
      </c>
      <c r="F42" s="285">
        <f t="shared" si="7"/>
        <v>0</v>
      </c>
      <c r="G42" s="284">
        <f t="shared" si="8"/>
        <v>554306.71848924598</v>
      </c>
      <c r="H42" s="284">
        <f t="shared" si="0"/>
        <v>557246.09692287131</v>
      </c>
      <c r="I42" s="286">
        <f t="shared" si="9"/>
        <v>0</v>
      </c>
      <c r="J42" s="287">
        <f t="shared" si="10"/>
        <v>557246.09692287131</v>
      </c>
      <c r="K42" s="287">
        <f t="shared" si="1"/>
        <v>557246.09692287107</v>
      </c>
      <c r="L42" s="286">
        <f t="shared" si="11"/>
        <v>0</v>
      </c>
      <c r="M42" s="287">
        <f t="shared" si="12"/>
        <v>557246.09692287107</v>
      </c>
      <c r="N42" s="287">
        <f t="shared" si="2"/>
        <v>557246.09692287119</v>
      </c>
      <c r="O42" s="286">
        <f t="shared" si="13"/>
        <v>0</v>
      </c>
      <c r="P42" s="287">
        <f t="shared" si="14"/>
        <v>557246.09692287119</v>
      </c>
      <c r="Q42" s="287">
        <f t="shared" si="3"/>
        <v>557246.09692287107</v>
      </c>
      <c r="R42" s="286">
        <f t="shared" si="15"/>
        <v>0</v>
      </c>
      <c r="S42" s="287">
        <f t="shared" si="16"/>
        <v>557246.09692287107</v>
      </c>
      <c r="T42" s="287">
        <f t="shared" si="4"/>
        <v>557246.09692287119</v>
      </c>
      <c r="U42" s="288">
        <f t="shared" si="17"/>
        <v>557246.09692287119</v>
      </c>
      <c r="V42" s="288"/>
      <c r="W42" s="288"/>
      <c r="X42" s="288"/>
      <c r="Y42" s="288"/>
      <c r="Z42" s="289">
        <f t="shared" si="5"/>
        <v>2.7457971119524437E-2</v>
      </c>
      <c r="AA42" s="274"/>
      <c r="AB42" s="274"/>
      <c r="AC42" s="290">
        <f t="shared" si="18"/>
        <v>1</v>
      </c>
    </row>
    <row r="43" spans="2:29" ht="15.75" x14ac:dyDescent="0.25">
      <c r="B43" s="282">
        <f t="shared" si="6"/>
        <v>13</v>
      </c>
      <c r="C43" s="283" t="str">
        <f>IF('מודל תמיכה חלוקת 20,294,511 שח'!G15="","",'מודל תמיכה חלוקת 20,294,511 שח'!G15)</f>
        <v>הוצאת אנציקלופדיה תלמודית בע"מ (חל"צ)</v>
      </c>
      <c r="D43" s="284">
        <f>IF(C43="","",'מודל תמיכה חלוקת 20,294,511 שח'!J15)</f>
        <v>1500000</v>
      </c>
      <c r="E43" s="284">
        <f>הגנה!AX43</f>
        <v>567569.02598606597</v>
      </c>
      <c r="F43" s="285">
        <f t="shared" si="7"/>
        <v>0</v>
      </c>
      <c r="G43" s="284">
        <f t="shared" si="8"/>
        <v>567569.02598606597</v>
      </c>
      <c r="H43" s="284">
        <f t="shared" si="0"/>
        <v>570578.73180223245</v>
      </c>
      <c r="I43" s="286">
        <f t="shared" si="9"/>
        <v>0</v>
      </c>
      <c r="J43" s="287">
        <f t="shared" si="10"/>
        <v>570578.73180223245</v>
      </c>
      <c r="K43" s="287">
        <f t="shared" si="1"/>
        <v>570578.73180223221</v>
      </c>
      <c r="L43" s="286">
        <f t="shared" si="11"/>
        <v>0</v>
      </c>
      <c r="M43" s="287">
        <f t="shared" si="12"/>
        <v>570578.73180223221</v>
      </c>
      <c r="N43" s="287">
        <f t="shared" si="2"/>
        <v>570578.73180223233</v>
      </c>
      <c r="O43" s="286">
        <f t="shared" si="13"/>
        <v>0</v>
      </c>
      <c r="P43" s="287">
        <f t="shared" si="14"/>
        <v>570578.73180223233</v>
      </c>
      <c r="Q43" s="287">
        <f t="shared" si="3"/>
        <v>570578.73180223221</v>
      </c>
      <c r="R43" s="286">
        <f t="shared" si="15"/>
        <v>0</v>
      </c>
      <c r="S43" s="287">
        <f t="shared" si="16"/>
        <v>570578.73180223221</v>
      </c>
      <c r="T43" s="287">
        <f t="shared" si="4"/>
        <v>570578.73180223233</v>
      </c>
      <c r="U43" s="288">
        <f t="shared" si="17"/>
        <v>570578.73180223233</v>
      </c>
      <c r="V43" s="288"/>
      <c r="W43" s="288"/>
      <c r="X43" s="288"/>
      <c r="Y43" s="288"/>
      <c r="Z43" s="289">
        <f t="shared" si="5"/>
        <v>2.8114928800316113E-2</v>
      </c>
      <c r="AA43" s="274"/>
      <c r="AB43" s="274"/>
      <c r="AC43" s="290">
        <f t="shared" si="18"/>
        <v>1</v>
      </c>
    </row>
    <row r="44" spans="2:29" ht="15.75" x14ac:dyDescent="0.25">
      <c r="B44" s="282">
        <f t="shared" si="6"/>
        <v>14</v>
      </c>
      <c r="C44" s="283" t="str">
        <f>IF('מודל תמיכה חלוקת 20,294,511 שח'!G16="","",'מודל תמיכה חלוקת 20,294,511 שח'!G16)</f>
        <v>הישיבה הגבוהה אור-עציון (ע"ר)</v>
      </c>
      <c r="D44" s="284">
        <f>IF(C44="","",'מודל תמיכה חלוקת 20,294,511 שח'!J16)</f>
        <v>500000</v>
      </c>
      <c r="E44" s="284">
        <f>הגנה!AX44</f>
        <v>429137.55623336701</v>
      </c>
      <c r="F44" s="285">
        <f t="shared" si="7"/>
        <v>0</v>
      </c>
      <c r="G44" s="284">
        <f t="shared" si="8"/>
        <v>429137.55623336701</v>
      </c>
      <c r="H44" s="284">
        <f t="shared" si="0"/>
        <v>431413.18746022455</v>
      </c>
      <c r="I44" s="286">
        <f t="shared" si="9"/>
        <v>0</v>
      </c>
      <c r="J44" s="287">
        <f t="shared" si="10"/>
        <v>431413.18746022455</v>
      </c>
      <c r="K44" s="287">
        <f t="shared" si="1"/>
        <v>431413.18746022438</v>
      </c>
      <c r="L44" s="286">
        <f t="shared" si="11"/>
        <v>0</v>
      </c>
      <c r="M44" s="287">
        <f t="shared" si="12"/>
        <v>431413.18746022438</v>
      </c>
      <c r="N44" s="287">
        <f t="shared" si="2"/>
        <v>431413.18746022444</v>
      </c>
      <c r="O44" s="286">
        <f t="shared" si="13"/>
        <v>0</v>
      </c>
      <c r="P44" s="287">
        <f t="shared" si="14"/>
        <v>431413.18746022444</v>
      </c>
      <c r="Q44" s="287">
        <f t="shared" si="3"/>
        <v>431413.18746022438</v>
      </c>
      <c r="R44" s="286">
        <f t="shared" si="15"/>
        <v>0</v>
      </c>
      <c r="S44" s="287">
        <f t="shared" si="16"/>
        <v>431413.18746022438</v>
      </c>
      <c r="T44" s="287">
        <f t="shared" si="4"/>
        <v>431413.18746022444</v>
      </c>
      <c r="U44" s="288">
        <f t="shared" si="17"/>
        <v>431413.18746022444</v>
      </c>
      <c r="V44" s="288"/>
      <c r="W44" s="288"/>
      <c r="X44" s="288"/>
      <c r="Y44" s="288"/>
      <c r="Z44" s="289">
        <f t="shared" si="5"/>
        <v>2.1257629092921938E-2</v>
      </c>
      <c r="AA44" s="274"/>
      <c r="AB44" s="274"/>
      <c r="AC44" s="290">
        <f t="shared" si="18"/>
        <v>1</v>
      </c>
    </row>
    <row r="45" spans="2:29" ht="15.75" x14ac:dyDescent="0.25">
      <c r="B45" s="282">
        <f t="shared" si="6"/>
        <v>15</v>
      </c>
      <c r="C45" s="283" t="str">
        <f>IF('מודל תמיכה חלוקת 20,294,511 שח'!G17="","",'מודל תמיכה חלוקת 20,294,511 שח'!G17)</f>
        <v>הישיבה הגדולה אהל שמעון מערלוי ירוש</v>
      </c>
      <c r="D45" s="284">
        <f>IF(C45="","",'מודל תמיכה חלוקת 20,294,511 שח'!J17)</f>
        <v>750000</v>
      </c>
      <c r="E45" s="284">
        <f>הגנה!AX45</f>
        <v>408436.74208257964</v>
      </c>
      <c r="F45" s="285">
        <f t="shared" si="7"/>
        <v>0</v>
      </c>
      <c r="G45" s="284">
        <f t="shared" si="8"/>
        <v>408436.74208257964</v>
      </c>
      <c r="H45" s="284">
        <f t="shared" si="0"/>
        <v>410602.60100352118</v>
      </c>
      <c r="I45" s="286">
        <f t="shared" si="9"/>
        <v>0</v>
      </c>
      <c r="J45" s="287">
        <f t="shared" si="10"/>
        <v>410602.60100352118</v>
      </c>
      <c r="K45" s="287">
        <f t="shared" si="1"/>
        <v>410602.60100352101</v>
      </c>
      <c r="L45" s="286">
        <f t="shared" si="11"/>
        <v>0</v>
      </c>
      <c r="M45" s="287">
        <f t="shared" si="12"/>
        <v>410602.60100352101</v>
      </c>
      <c r="N45" s="287">
        <f t="shared" si="2"/>
        <v>410602.60100352106</v>
      </c>
      <c r="O45" s="286">
        <f t="shared" si="13"/>
        <v>0</v>
      </c>
      <c r="P45" s="287">
        <f t="shared" si="14"/>
        <v>410602.60100352106</v>
      </c>
      <c r="Q45" s="287">
        <f t="shared" si="3"/>
        <v>410602.60100352101</v>
      </c>
      <c r="R45" s="286">
        <f t="shared" si="15"/>
        <v>0</v>
      </c>
      <c r="S45" s="287">
        <f t="shared" si="16"/>
        <v>410602.60100352101</v>
      </c>
      <c r="T45" s="287">
        <f t="shared" si="4"/>
        <v>410602.60100352106</v>
      </c>
      <c r="U45" s="288">
        <f t="shared" si="17"/>
        <v>410602.60100352106</v>
      </c>
      <c r="V45" s="288"/>
      <c r="W45" s="288"/>
      <c r="X45" s="288"/>
      <c r="Y45" s="288"/>
      <c r="Z45" s="289">
        <f t="shared" si="5"/>
        <v>2.0232199780695428E-2</v>
      </c>
      <c r="AA45" s="274"/>
      <c r="AB45" s="274"/>
      <c r="AC45" s="290">
        <f t="shared" si="18"/>
        <v>1</v>
      </c>
    </row>
    <row r="46" spans="2:29" ht="15.75" x14ac:dyDescent="0.25">
      <c r="B46" s="282">
        <f t="shared" si="6"/>
        <v>16</v>
      </c>
      <c r="C46" s="283" t="str">
        <f>IF('מודל תמיכה חלוקת 20,294,511 שח'!G18="","",'מודל תמיכה חלוקת 20,294,511 שח'!G18)</f>
        <v>הליכות הארץ - משמרת המצוות במשקים ה</v>
      </c>
      <c r="D46" s="284">
        <f>IF(C46="","",'מודל תמיכה חלוקת 20,294,511 שח'!J18)</f>
        <v>500000</v>
      </c>
      <c r="E46" s="284">
        <f>הגנה!AX46</f>
        <v>152274.61672796891</v>
      </c>
      <c r="F46" s="285">
        <f t="shared" si="7"/>
        <v>0</v>
      </c>
      <c r="G46" s="284">
        <f t="shared" si="8"/>
        <v>152274.61672796891</v>
      </c>
      <c r="H46" s="284">
        <f t="shared" si="0"/>
        <v>153082.0987762087</v>
      </c>
      <c r="I46" s="286">
        <f t="shared" si="9"/>
        <v>0</v>
      </c>
      <c r="J46" s="287">
        <f t="shared" si="10"/>
        <v>153082.0987762087</v>
      </c>
      <c r="K46" s="287">
        <f t="shared" si="1"/>
        <v>153082.09877620864</v>
      </c>
      <c r="L46" s="286">
        <f t="shared" si="11"/>
        <v>0</v>
      </c>
      <c r="M46" s="287">
        <f t="shared" si="12"/>
        <v>153082.09877620864</v>
      </c>
      <c r="N46" s="287">
        <f t="shared" si="2"/>
        <v>153082.0987762087</v>
      </c>
      <c r="O46" s="286">
        <f t="shared" si="13"/>
        <v>0</v>
      </c>
      <c r="P46" s="287">
        <f t="shared" si="14"/>
        <v>153082.0987762087</v>
      </c>
      <c r="Q46" s="287">
        <f t="shared" si="3"/>
        <v>153082.0987762087</v>
      </c>
      <c r="R46" s="286">
        <f t="shared" si="15"/>
        <v>0</v>
      </c>
      <c r="S46" s="287">
        <f t="shared" si="16"/>
        <v>153082.0987762087</v>
      </c>
      <c r="T46" s="287">
        <f t="shared" si="4"/>
        <v>153082.09877620873</v>
      </c>
      <c r="U46" s="288">
        <f t="shared" si="17"/>
        <v>153082.09877620873</v>
      </c>
      <c r="V46" s="288"/>
      <c r="W46" s="288"/>
      <c r="X46" s="288"/>
      <c r="Y46" s="288"/>
      <c r="Z46" s="289">
        <f t="shared" si="5"/>
        <v>7.5430296781335933E-3</v>
      </c>
      <c r="AA46" s="274"/>
      <c r="AB46" s="274"/>
      <c r="AC46" s="290">
        <f t="shared" si="18"/>
        <v>1</v>
      </c>
    </row>
    <row r="47" spans="2:29" ht="15.75" x14ac:dyDescent="0.25">
      <c r="B47" s="282">
        <f t="shared" si="6"/>
        <v>17</v>
      </c>
      <c r="C47" s="283" t="str">
        <f>IF('מודל תמיכה חלוקת 20,294,511 שח'!G19="","",'מודל תמיכה חלוקת 20,294,511 שח'!G19)</f>
        <v>המאיר לארץ ע"ש ציס"ע אבינו רבינו יו</v>
      </c>
      <c r="D47" s="284">
        <f>IF(C47="","",'מודל תמיכה חלוקת 20,294,511 שח'!J19)</f>
        <v>1000000</v>
      </c>
      <c r="E47" s="284">
        <f>הגנה!AX47</f>
        <v>0</v>
      </c>
      <c r="F47" s="285">
        <f t="shared" si="7"/>
        <v>0</v>
      </c>
      <c r="G47" s="284">
        <f t="shared" si="8"/>
        <v>0</v>
      </c>
      <c r="H47" s="284">
        <f t="shared" si="0"/>
        <v>0</v>
      </c>
      <c r="I47" s="286">
        <f t="shared" si="9"/>
        <v>0</v>
      </c>
      <c r="J47" s="287">
        <f t="shared" si="10"/>
        <v>0</v>
      </c>
      <c r="K47" s="287">
        <f t="shared" si="1"/>
        <v>0</v>
      </c>
      <c r="L47" s="286">
        <f t="shared" si="11"/>
        <v>0</v>
      </c>
      <c r="M47" s="287">
        <f t="shared" si="12"/>
        <v>0</v>
      </c>
      <c r="N47" s="287">
        <f t="shared" si="2"/>
        <v>0</v>
      </c>
      <c r="O47" s="286">
        <f t="shared" si="13"/>
        <v>0</v>
      </c>
      <c r="P47" s="287">
        <f t="shared" si="14"/>
        <v>0</v>
      </c>
      <c r="Q47" s="287">
        <f t="shared" si="3"/>
        <v>0</v>
      </c>
      <c r="R47" s="286">
        <f t="shared" si="15"/>
        <v>0</v>
      </c>
      <c r="S47" s="287">
        <f t="shared" si="16"/>
        <v>0</v>
      </c>
      <c r="T47" s="287">
        <f t="shared" si="4"/>
        <v>0</v>
      </c>
      <c r="U47" s="288">
        <f t="shared" si="17"/>
        <v>0</v>
      </c>
      <c r="V47" s="288"/>
      <c r="W47" s="288"/>
      <c r="X47" s="288"/>
      <c r="Y47" s="288"/>
      <c r="Z47" s="289">
        <f t="shared" si="5"/>
        <v>0</v>
      </c>
      <c r="AA47" s="274"/>
      <c r="AB47" s="274"/>
      <c r="AC47" s="290">
        <f t="shared" si="18"/>
        <v>1</v>
      </c>
    </row>
    <row r="48" spans="2:29" ht="15.75" x14ac:dyDescent="0.25">
      <c r="B48" s="282">
        <f t="shared" si="6"/>
        <v>18</v>
      </c>
      <c r="C48" s="283" t="str">
        <f>IF('מודל תמיכה חלוקת 20,294,511 שח'!G20="","",'מודל תמיכה חלוקת 20,294,511 שח'!G20)</f>
        <v>המכון למצוות התלויות בארץ (ע"ר)</v>
      </c>
      <c r="D48" s="284">
        <f>IF(C48="","",'מודל תמיכה חלוקת 20,294,511 שח'!J20)</f>
        <v>680000</v>
      </c>
      <c r="E48" s="284">
        <f>הגנה!AX48</f>
        <v>507628.3260391127</v>
      </c>
      <c r="F48" s="285">
        <f t="shared" si="7"/>
        <v>0</v>
      </c>
      <c r="G48" s="284">
        <f t="shared" si="8"/>
        <v>507628.3260391127</v>
      </c>
      <c r="H48" s="284">
        <f t="shared" si="0"/>
        <v>510320.17822867923</v>
      </c>
      <c r="I48" s="286">
        <f t="shared" si="9"/>
        <v>0</v>
      </c>
      <c r="J48" s="287">
        <f t="shared" si="10"/>
        <v>510320.17822867923</v>
      </c>
      <c r="K48" s="287">
        <f t="shared" si="1"/>
        <v>510320.17822867905</v>
      </c>
      <c r="L48" s="286">
        <f t="shared" si="11"/>
        <v>0</v>
      </c>
      <c r="M48" s="287">
        <f t="shared" si="12"/>
        <v>510320.17822867905</v>
      </c>
      <c r="N48" s="287">
        <f t="shared" si="2"/>
        <v>510320.17822867917</v>
      </c>
      <c r="O48" s="286">
        <f t="shared" si="13"/>
        <v>0</v>
      </c>
      <c r="P48" s="287">
        <f t="shared" si="14"/>
        <v>510320.17822867917</v>
      </c>
      <c r="Q48" s="287">
        <f t="shared" si="3"/>
        <v>510320.17822867911</v>
      </c>
      <c r="R48" s="286">
        <f t="shared" si="15"/>
        <v>0</v>
      </c>
      <c r="S48" s="287">
        <f t="shared" si="16"/>
        <v>510320.17822867911</v>
      </c>
      <c r="T48" s="287">
        <f t="shared" si="4"/>
        <v>510320.17822867923</v>
      </c>
      <c r="U48" s="288">
        <f t="shared" si="17"/>
        <v>510320.17822867923</v>
      </c>
      <c r="V48" s="288"/>
      <c r="W48" s="288"/>
      <c r="X48" s="288"/>
      <c r="Y48" s="288"/>
      <c r="Z48" s="289">
        <f t="shared" si="5"/>
        <v>2.5145724291099156E-2</v>
      </c>
      <c r="AA48" s="274"/>
      <c r="AB48" s="274"/>
      <c r="AC48" s="290">
        <f t="shared" si="18"/>
        <v>1</v>
      </c>
    </row>
    <row r="49" spans="2:29" ht="15.75" x14ac:dyDescent="0.25">
      <c r="B49" s="282">
        <f t="shared" si="6"/>
        <v>19</v>
      </c>
      <c r="C49" s="283" t="str">
        <f>IF('מודל תמיכה חלוקת 20,294,511 שח'!G21="","",'מודל תמיכה חלוקת 20,294,511 שח'!G21)</f>
        <v>המכון ע"ש מרן הרב צבי יהודה קוק זצ"ל</v>
      </c>
      <c r="D49" s="284">
        <f>IF(C49="","",'מודל תמיכה חלוקת 20,294,511 שח'!J21)</f>
        <v>460000</v>
      </c>
      <c r="E49" s="284">
        <f>הגנה!AX49</f>
        <v>263019.79253012815</v>
      </c>
      <c r="F49" s="285">
        <f t="shared" si="7"/>
        <v>0</v>
      </c>
      <c r="G49" s="284">
        <f t="shared" si="8"/>
        <v>263019.79253012815</v>
      </c>
      <c r="H49" s="284">
        <f t="shared" si="0"/>
        <v>264414.53424981504</v>
      </c>
      <c r="I49" s="286">
        <f t="shared" si="9"/>
        <v>0</v>
      </c>
      <c r="J49" s="287">
        <f t="shared" si="10"/>
        <v>264414.53424981504</v>
      </c>
      <c r="K49" s="287">
        <f t="shared" si="1"/>
        <v>264414.53424981498</v>
      </c>
      <c r="L49" s="286">
        <f t="shared" si="11"/>
        <v>0</v>
      </c>
      <c r="M49" s="287">
        <f t="shared" si="12"/>
        <v>264414.53424981498</v>
      </c>
      <c r="N49" s="287">
        <f t="shared" si="2"/>
        <v>264414.53424981504</v>
      </c>
      <c r="O49" s="286">
        <f t="shared" si="13"/>
        <v>0</v>
      </c>
      <c r="P49" s="287">
        <f t="shared" si="14"/>
        <v>264414.53424981504</v>
      </c>
      <c r="Q49" s="287">
        <f t="shared" si="3"/>
        <v>264414.53424981498</v>
      </c>
      <c r="R49" s="286">
        <f t="shared" si="15"/>
        <v>0</v>
      </c>
      <c r="S49" s="287">
        <f t="shared" si="16"/>
        <v>264414.53424981498</v>
      </c>
      <c r="T49" s="287">
        <f t="shared" si="4"/>
        <v>264414.53424981504</v>
      </c>
      <c r="U49" s="288">
        <f t="shared" si="17"/>
        <v>264414.53424981504</v>
      </c>
      <c r="V49" s="288"/>
      <c r="W49" s="288"/>
      <c r="X49" s="288"/>
      <c r="Y49" s="288"/>
      <c r="Z49" s="289">
        <f t="shared" si="5"/>
        <v>1.3028869444048933E-2</v>
      </c>
      <c r="AA49" s="274"/>
      <c r="AB49" s="274"/>
      <c r="AC49" s="290">
        <f t="shared" si="18"/>
        <v>1</v>
      </c>
    </row>
    <row r="50" spans="2:29" ht="15.75" x14ac:dyDescent="0.25">
      <c r="B50" s="282">
        <f t="shared" si="6"/>
        <v>20</v>
      </c>
      <c r="C50" s="283" t="str">
        <f>IF('מודל תמיכה חלוקת 20,294,511 שח'!G22="","",'מודל תמיכה חלוקת 20,294,511 שח'!G22)</f>
        <v>התורה והארץ (ע"ר)</v>
      </c>
      <c r="D50" s="284">
        <f>IF(C50="","",'מודל תמיכה חלוקת 20,294,511 שח'!J22)</f>
        <v>700000</v>
      </c>
      <c r="E50" s="284">
        <f>הגנה!AX50</f>
        <v>553725.87901079608</v>
      </c>
      <c r="F50" s="285">
        <f t="shared" si="7"/>
        <v>0</v>
      </c>
      <c r="G50" s="284">
        <f t="shared" si="8"/>
        <v>553725.87901079608</v>
      </c>
      <c r="H50" s="284">
        <f t="shared" si="0"/>
        <v>556662.17736803158</v>
      </c>
      <c r="I50" s="286">
        <f t="shared" si="9"/>
        <v>0</v>
      </c>
      <c r="J50" s="287">
        <f t="shared" si="10"/>
        <v>556662.17736803158</v>
      </c>
      <c r="K50" s="287">
        <f t="shared" si="1"/>
        <v>556662.17736803135</v>
      </c>
      <c r="L50" s="286">
        <f t="shared" si="11"/>
        <v>0</v>
      </c>
      <c r="M50" s="287">
        <f t="shared" si="12"/>
        <v>556662.17736803135</v>
      </c>
      <c r="N50" s="287">
        <f t="shared" si="2"/>
        <v>556662.17736803147</v>
      </c>
      <c r="O50" s="286">
        <f t="shared" si="13"/>
        <v>0</v>
      </c>
      <c r="P50" s="287">
        <f t="shared" si="14"/>
        <v>556662.17736803147</v>
      </c>
      <c r="Q50" s="287">
        <f t="shared" si="3"/>
        <v>556662.17736803135</v>
      </c>
      <c r="R50" s="286">
        <f t="shared" si="15"/>
        <v>0</v>
      </c>
      <c r="S50" s="287">
        <f t="shared" si="16"/>
        <v>556662.17736803135</v>
      </c>
      <c r="T50" s="287">
        <f t="shared" si="4"/>
        <v>556662.17736803147</v>
      </c>
      <c r="U50" s="288">
        <f t="shared" si="17"/>
        <v>556662.17736803147</v>
      </c>
      <c r="V50" s="288"/>
      <c r="W50" s="288"/>
      <c r="X50" s="288"/>
      <c r="Y50" s="288"/>
      <c r="Z50" s="289">
        <f t="shared" si="5"/>
        <v>2.742919882957669E-2</v>
      </c>
      <c r="AA50" s="274"/>
      <c r="AB50" s="274"/>
      <c r="AC50" s="290">
        <f t="shared" si="18"/>
        <v>1</v>
      </c>
    </row>
    <row r="51" spans="2:29" ht="15.75" x14ac:dyDescent="0.25">
      <c r="B51" s="282">
        <f t="shared" si="6"/>
        <v>21</v>
      </c>
      <c r="C51" s="283" t="str">
        <f>IF('מודל תמיכה חלוקת 20,294,511 שח'!G23="","",'מודל תמיכה חלוקת 20,294,511 שח'!G23)</f>
        <v>חוסן ישועות לתורת מרן הרב קוק זצ"ל</v>
      </c>
      <c r="D51" s="284">
        <f>IF(C51="","",'מודל תמיכה חלוקת 20,294,511 שח'!J23)</f>
        <v>650000</v>
      </c>
      <c r="E51" s="284">
        <f>הגנה!AX51</f>
        <v>235333.49857958837</v>
      </c>
      <c r="F51" s="285">
        <f t="shared" si="7"/>
        <v>0</v>
      </c>
      <c r="G51" s="284">
        <f t="shared" si="8"/>
        <v>235333.49857958837</v>
      </c>
      <c r="H51" s="284">
        <f t="shared" si="0"/>
        <v>236581.42538141346</v>
      </c>
      <c r="I51" s="286">
        <f t="shared" si="9"/>
        <v>0</v>
      </c>
      <c r="J51" s="287">
        <f t="shared" si="10"/>
        <v>236581.42538141346</v>
      </c>
      <c r="K51" s="287">
        <f t="shared" si="1"/>
        <v>236581.42538141337</v>
      </c>
      <c r="L51" s="286">
        <f t="shared" si="11"/>
        <v>0</v>
      </c>
      <c r="M51" s="287">
        <f t="shared" si="12"/>
        <v>236581.42538141337</v>
      </c>
      <c r="N51" s="287">
        <f t="shared" si="2"/>
        <v>236581.42538141343</v>
      </c>
      <c r="O51" s="286">
        <f t="shared" si="13"/>
        <v>0</v>
      </c>
      <c r="P51" s="287">
        <f t="shared" si="14"/>
        <v>236581.42538141343</v>
      </c>
      <c r="Q51" s="287">
        <f t="shared" si="3"/>
        <v>236581.4253814134</v>
      </c>
      <c r="R51" s="286">
        <f t="shared" si="15"/>
        <v>0</v>
      </c>
      <c r="S51" s="287">
        <f t="shared" si="16"/>
        <v>236581.4253814134</v>
      </c>
      <c r="T51" s="287">
        <f t="shared" si="4"/>
        <v>236581.42538141346</v>
      </c>
      <c r="U51" s="288">
        <f t="shared" si="17"/>
        <v>236581.42538141346</v>
      </c>
      <c r="V51" s="288"/>
      <c r="W51" s="288"/>
      <c r="X51" s="288"/>
      <c r="Y51" s="288"/>
      <c r="Z51" s="289">
        <f t="shared" si="5"/>
        <v>1.1657409502570097E-2</v>
      </c>
      <c r="AA51" s="274"/>
      <c r="AB51" s="274"/>
      <c r="AC51" s="290">
        <f t="shared" si="18"/>
        <v>1</v>
      </c>
    </row>
    <row r="52" spans="2:29" ht="15.75" x14ac:dyDescent="0.25">
      <c r="B52" s="282">
        <f t="shared" si="6"/>
        <v>22</v>
      </c>
      <c r="C52" s="283" t="str">
        <f>IF('מודל תמיכה חלוקת 20,294,511 שח'!G24="","",'מודל תמיכה חלוקת 20,294,511 שח'!G24)</f>
        <v>חי בהם תורה לאנשים עובדים (ע"ר)</v>
      </c>
      <c r="D52" s="284">
        <f>IF(C52="","",'מודל תמיכה חלוקת 20,294,511 שח'!J24)</f>
        <v>500000</v>
      </c>
      <c r="E52" s="284">
        <f>הגנה!AX52</f>
        <v>235333.49857958837</v>
      </c>
      <c r="F52" s="285">
        <f t="shared" si="7"/>
        <v>0</v>
      </c>
      <c r="G52" s="284">
        <f t="shared" si="8"/>
        <v>235333.49857958837</v>
      </c>
      <c r="H52" s="284">
        <f t="shared" si="0"/>
        <v>236581.42538141346</v>
      </c>
      <c r="I52" s="286">
        <f t="shared" si="9"/>
        <v>0</v>
      </c>
      <c r="J52" s="287">
        <f t="shared" si="10"/>
        <v>236581.42538141346</v>
      </c>
      <c r="K52" s="287">
        <f t="shared" si="1"/>
        <v>236581.42538141337</v>
      </c>
      <c r="L52" s="286">
        <f t="shared" si="11"/>
        <v>0</v>
      </c>
      <c r="M52" s="287">
        <f t="shared" si="12"/>
        <v>236581.42538141337</v>
      </c>
      <c r="N52" s="287">
        <f t="shared" si="2"/>
        <v>236581.42538141343</v>
      </c>
      <c r="O52" s="286">
        <f t="shared" si="13"/>
        <v>0</v>
      </c>
      <c r="P52" s="287">
        <f t="shared" si="14"/>
        <v>236581.42538141343</v>
      </c>
      <c r="Q52" s="287">
        <f t="shared" si="3"/>
        <v>236581.4253814134</v>
      </c>
      <c r="R52" s="286">
        <f t="shared" si="15"/>
        <v>0</v>
      </c>
      <c r="S52" s="287">
        <f t="shared" si="16"/>
        <v>236581.4253814134</v>
      </c>
      <c r="T52" s="287">
        <f t="shared" si="4"/>
        <v>236581.42538141346</v>
      </c>
      <c r="U52" s="288">
        <f t="shared" si="17"/>
        <v>236581.42538141346</v>
      </c>
      <c r="V52" s="288"/>
      <c r="W52" s="288"/>
      <c r="X52" s="288"/>
      <c r="Y52" s="288"/>
      <c r="Z52" s="289">
        <f t="shared" si="5"/>
        <v>1.1657409502570097E-2</v>
      </c>
      <c r="AA52" s="274"/>
      <c r="AB52" s="274"/>
      <c r="AC52" s="290">
        <f t="shared" si="18"/>
        <v>1</v>
      </c>
    </row>
    <row r="53" spans="2:29" ht="15.75" x14ac:dyDescent="0.25">
      <c r="B53" s="282">
        <f t="shared" si="6"/>
        <v>23</v>
      </c>
      <c r="C53" s="283" t="str">
        <f>IF('מודל תמיכה חלוקת 20,294,511 שח'!G25="","",'מודל תמיכה חלוקת 20,294,511 שח'!G25)</f>
        <v>חכמת שלמה - קלוגר (ע"ר)</v>
      </c>
      <c r="D53" s="284">
        <f>IF(C53="","",'מודל תמיכה חלוקת 20,294,511 שח'!J25)</f>
        <v>500000</v>
      </c>
      <c r="E53" s="284">
        <f>הגנה!AX53</f>
        <v>408372.835770462</v>
      </c>
      <c r="F53" s="285">
        <f t="shared" si="7"/>
        <v>0</v>
      </c>
      <c r="G53" s="284">
        <f t="shared" si="8"/>
        <v>408372.835770462</v>
      </c>
      <c r="H53" s="284">
        <f t="shared" si="0"/>
        <v>410538.3558089232</v>
      </c>
      <c r="I53" s="286">
        <f t="shared" si="9"/>
        <v>0</v>
      </c>
      <c r="J53" s="287">
        <f t="shared" si="10"/>
        <v>410538.3558089232</v>
      </c>
      <c r="K53" s="287">
        <f t="shared" si="1"/>
        <v>410538.35580892308</v>
      </c>
      <c r="L53" s="286">
        <f t="shared" si="11"/>
        <v>0</v>
      </c>
      <c r="M53" s="287">
        <f t="shared" si="12"/>
        <v>410538.35580892308</v>
      </c>
      <c r="N53" s="287">
        <f t="shared" si="2"/>
        <v>410538.3558089232</v>
      </c>
      <c r="O53" s="286">
        <f t="shared" si="13"/>
        <v>0</v>
      </c>
      <c r="P53" s="287">
        <f t="shared" si="14"/>
        <v>410538.3558089232</v>
      </c>
      <c r="Q53" s="287">
        <f t="shared" si="3"/>
        <v>410538.35580892314</v>
      </c>
      <c r="R53" s="286">
        <f t="shared" si="15"/>
        <v>0</v>
      </c>
      <c r="S53" s="287">
        <f t="shared" si="16"/>
        <v>410538.35580892314</v>
      </c>
      <c r="T53" s="287">
        <f t="shared" si="4"/>
        <v>410538.3558089232</v>
      </c>
      <c r="U53" s="288">
        <f t="shared" si="17"/>
        <v>410538.3558089232</v>
      </c>
      <c r="V53" s="288"/>
      <c r="W53" s="288"/>
      <c r="X53" s="288"/>
      <c r="Y53" s="288"/>
      <c r="Z53" s="289">
        <f t="shared" si="5"/>
        <v>2.0229034136812808E-2</v>
      </c>
      <c r="AA53" s="274"/>
      <c r="AB53" s="274"/>
      <c r="AC53" s="290">
        <f t="shared" si="18"/>
        <v>1</v>
      </c>
    </row>
    <row r="54" spans="2:29" ht="15.75" x14ac:dyDescent="0.25">
      <c r="B54" s="282">
        <f t="shared" si="6"/>
        <v>24</v>
      </c>
      <c r="C54" s="283" t="str">
        <f>IF('מודל תמיכה חלוקת 20,294,511 שח'!G26="","",'מודל תמיכה חלוקת 20,294,511 שח'!G26)</f>
        <v>טהרות בעיון (ע"ר)</v>
      </c>
      <c r="D54" s="284">
        <f>IF(C54="","",'מודל תמיכה חלוקת 20,294,511 שח'!J26)</f>
        <v>1200000</v>
      </c>
      <c r="E54" s="284">
        <f>הגנה!AX54</f>
        <v>567569.02598606597</v>
      </c>
      <c r="F54" s="285">
        <f t="shared" si="7"/>
        <v>0</v>
      </c>
      <c r="G54" s="284">
        <f t="shared" si="8"/>
        <v>567569.02598606597</v>
      </c>
      <c r="H54" s="284">
        <f t="shared" si="0"/>
        <v>570578.73180223245</v>
      </c>
      <c r="I54" s="286">
        <f t="shared" si="9"/>
        <v>0</v>
      </c>
      <c r="J54" s="287">
        <f t="shared" si="10"/>
        <v>570578.73180223245</v>
      </c>
      <c r="K54" s="287">
        <f t="shared" si="1"/>
        <v>570578.73180223221</v>
      </c>
      <c r="L54" s="286">
        <f t="shared" si="11"/>
        <v>0</v>
      </c>
      <c r="M54" s="287">
        <f t="shared" si="12"/>
        <v>570578.73180223221</v>
      </c>
      <c r="N54" s="287">
        <f t="shared" si="2"/>
        <v>570578.73180223233</v>
      </c>
      <c r="O54" s="286">
        <f t="shared" si="13"/>
        <v>0</v>
      </c>
      <c r="P54" s="287">
        <f t="shared" si="14"/>
        <v>570578.73180223233</v>
      </c>
      <c r="Q54" s="287">
        <f t="shared" si="3"/>
        <v>570578.73180223221</v>
      </c>
      <c r="R54" s="286">
        <f t="shared" si="15"/>
        <v>0</v>
      </c>
      <c r="S54" s="287">
        <f t="shared" si="16"/>
        <v>570578.73180223221</v>
      </c>
      <c r="T54" s="287">
        <f t="shared" si="4"/>
        <v>570578.73180223233</v>
      </c>
      <c r="U54" s="288">
        <f t="shared" si="17"/>
        <v>570578.73180223233</v>
      </c>
      <c r="V54" s="288"/>
      <c r="W54" s="288"/>
      <c r="X54" s="288"/>
      <c r="Y54" s="288"/>
      <c r="Z54" s="289">
        <f t="shared" si="5"/>
        <v>2.8114928800316113E-2</v>
      </c>
      <c r="AA54" s="274"/>
      <c r="AB54" s="274"/>
      <c r="AC54" s="290">
        <f t="shared" si="18"/>
        <v>1</v>
      </c>
    </row>
    <row r="55" spans="2:29" ht="15.75" x14ac:dyDescent="0.25">
      <c r="B55" s="282">
        <f t="shared" si="6"/>
        <v>25</v>
      </c>
      <c r="C55" s="283" t="str">
        <f>IF('מודל תמיכה חלוקת 20,294,511 שח'!G27="","",'מודל תמיכה חלוקת 20,294,511 שח'!G27)</f>
        <v>ישיבת בית מאיר ע"ש מרן הגאון ר מאיר</v>
      </c>
      <c r="D55" s="284">
        <f>IF(C55="","",'מודל תמיכה חלוקת 20,294,511 שח'!J27)</f>
        <v>380000</v>
      </c>
      <c r="E55" s="284">
        <f>הגנה!AX55</f>
        <v>318392.38043120783</v>
      </c>
      <c r="F55" s="285">
        <f t="shared" si="7"/>
        <v>0</v>
      </c>
      <c r="G55" s="284">
        <f t="shared" si="8"/>
        <v>318392.38043120783</v>
      </c>
      <c r="H55" s="284">
        <f t="shared" si="0"/>
        <v>320080.75198661821</v>
      </c>
      <c r="I55" s="286">
        <f t="shared" si="9"/>
        <v>0</v>
      </c>
      <c r="J55" s="287">
        <f t="shared" si="10"/>
        <v>320080.75198661821</v>
      </c>
      <c r="K55" s="287">
        <f t="shared" si="1"/>
        <v>320080.7519866181</v>
      </c>
      <c r="L55" s="286">
        <f t="shared" si="11"/>
        <v>0</v>
      </c>
      <c r="M55" s="287">
        <f t="shared" si="12"/>
        <v>320080.7519866181</v>
      </c>
      <c r="N55" s="287">
        <f t="shared" si="2"/>
        <v>320080.75198661815</v>
      </c>
      <c r="O55" s="286">
        <f t="shared" si="13"/>
        <v>0</v>
      </c>
      <c r="P55" s="287">
        <f t="shared" si="14"/>
        <v>320080.75198661815</v>
      </c>
      <c r="Q55" s="287">
        <f t="shared" si="3"/>
        <v>320080.7519866181</v>
      </c>
      <c r="R55" s="286">
        <f t="shared" si="15"/>
        <v>0</v>
      </c>
      <c r="S55" s="287">
        <f t="shared" si="16"/>
        <v>320080.7519866181</v>
      </c>
      <c r="T55" s="287">
        <f t="shared" si="4"/>
        <v>320080.75198661815</v>
      </c>
      <c r="U55" s="288">
        <f t="shared" si="17"/>
        <v>320080.75198661815</v>
      </c>
      <c r="V55" s="288"/>
      <c r="W55" s="288"/>
      <c r="X55" s="288"/>
      <c r="Y55" s="288"/>
      <c r="Z55" s="289">
        <f t="shared" si="5"/>
        <v>1.57717893270066E-2</v>
      </c>
      <c r="AA55" s="274"/>
      <c r="AB55" s="274"/>
      <c r="AC55" s="290">
        <f t="shared" si="18"/>
        <v>1</v>
      </c>
    </row>
    <row r="56" spans="2:29" ht="15.75" x14ac:dyDescent="0.25">
      <c r="B56" s="282">
        <f t="shared" si="6"/>
        <v>26</v>
      </c>
      <c r="C56" s="283" t="str">
        <f>IF('מודל תמיכה חלוקת 20,294,511 שח'!G28="","",'מודל תמיכה חלוקת 20,294,511 שח'!G28)</f>
        <v>ישיבת הר ברכה (ע"ר)</v>
      </c>
      <c r="D56" s="284">
        <f>IF(C56="","",'מודל תמיכה חלוקת 20,294,511 שח'!J28)</f>
        <v>1000000</v>
      </c>
      <c r="E56" s="284">
        <f>הגנה!AX56</f>
        <v>325313.95391884266</v>
      </c>
      <c r="F56" s="285">
        <f t="shared" si="7"/>
        <v>0</v>
      </c>
      <c r="G56" s="284">
        <f t="shared" si="8"/>
        <v>325313.95391884266</v>
      </c>
      <c r="H56" s="284">
        <f t="shared" si="0"/>
        <v>327039.02920371853</v>
      </c>
      <c r="I56" s="286">
        <f t="shared" si="9"/>
        <v>0</v>
      </c>
      <c r="J56" s="287">
        <f t="shared" si="10"/>
        <v>327039.02920371853</v>
      </c>
      <c r="K56" s="287">
        <f t="shared" si="1"/>
        <v>327039.02920371841</v>
      </c>
      <c r="L56" s="286">
        <f t="shared" si="11"/>
        <v>0</v>
      </c>
      <c r="M56" s="287">
        <f t="shared" si="12"/>
        <v>327039.02920371841</v>
      </c>
      <c r="N56" s="287">
        <f t="shared" si="2"/>
        <v>327039.02920371847</v>
      </c>
      <c r="O56" s="286">
        <f t="shared" si="13"/>
        <v>0</v>
      </c>
      <c r="P56" s="287">
        <f t="shared" si="14"/>
        <v>327039.02920371847</v>
      </c>
      <c r="Q56" s="287">
        <f t="shared" si="3"/>
        <v>327039.02920371841</v>
      </c>
      <c r="R56" s="286">
        <f t="shared" si="15"/>
        <v>0</v>
      </c>
      <c r="S56" s="287">
        <f t="shared" si="16"/>
        <v>327039.02920371841</v>
      </c>
      <c r="T56" s="287">
        <f t="shared" si="4"/>
        <v>327039.02920371847</v>
      </c>
      <c r="U56" s="288">
        <f t="shared" si="17"/>
        <v>327039.02920371847</v>
      </c>
      <c r="V56" s="288"/>
      <c r="W56" s="288"/>
      <c r="X56" s="288"/>
      <c r="Y56" s="288"/>
      <c r="Z56" s="289">
        <f t="shared" si="5"/>
        <v>1.6114654312376304E-2</v>
      </c>
      <c r="AA56" s="274"/>
      <c r="AB56" s="274"/>
      <c r="AC56" s="290">
        <f t="shared" si="18"/>
        <v>1</v>
      </c>
    </row>
    <row r="57" spans="2:29" ht="15.75" x14ac:dyDescent="0.25">
      <c r="B57" s="282">
        <f t="shared" si="6"/>
        <v>27</v>
      </c>
      <c r="C57" s="283" t="str">
        <f>IF('מודל תמיכה חלוקת 20,294,511 שח'!G29="","",'מודל תמיכה חלוקת 20,294,511 שח'!G29)</f>
        <v>כולל דעת תורה - ומכון להוצאת ספרים,</v>
      </c>
      <c r="D57" s="284">
        <f>IF(C57="","",'מודל תמיכה חלוקת 20,294,511 שח'!J29)</f>
        <v>290000</v>
      </c>
      <c r="E57" s="284">
        <f>הגנה!AX57</f>
        <v>214568.7781166835</v>
      </c>
      <c r="F57" s="285">
        <f t="shared" si="7"/>
        <v>0</v>
      </c>
      <c r="G57" s="284">
        <f t="shared" si="8"/>
        <v>214568.7781166835</v>
      </c>
      <c r="H57" s="284">
        <f t="shared" si="0"/>
        <v>215706.59373011228</v>
      </c>
      <c r="I57" s="286">
        <f t="shared" si="9"/>
        <v>0</v>
      </c>
      <c r="J57" s="287">
        <f t="shared" si="10"/>
        <v>215706.59373011228</v>
      </c>
      <c r="K57" s="287">
        <f t="shared" si="1"/>
        <v>215706.59373011219</v>
      </c>
      <c r="L57" s="286">
        <f t="shared" si="11"/>
        <v>0</v>
      </c>
      <c r="M57" s="287">
        <f t="shared" si="12"/>
        <v>215706.59373011219</v>
      </c>
      <c r="N57" s="287">
        <f t="shared" si="2"/>
        <v>215706.59373011222</v>
      </c>
      <c r="O57" s="286">
        <f t="shared" si="13"/>
        <v>0</v>
      </c>
      <c r="P57" s="287">
        <f t="shared" si="14"/>
        <v>215706.59373011222</v>
      </c>
      <c r="Q57" s="287">
        <f t="shared" si="3"/>
        <v>215706.59373011219</v>
      </c>
      <c r="R57" s="286">
        <f t="shared" si="15"/>
        <v>0</v>
      </c>
      <c r="S57" s="287">
        <f t="shared" si="16"/>
        <v>215706.59373011219</v>
      </c>
      <c r="T57" s="287">
        <f t="shared" si="4"/>
        <v>215706.59373011222</v>
      </c>
      <c r="U57" s="288">
        <f t="shared" si="17"/>
        <v>215706.59373011222</v>
      </c>
      <c r="V57" s="288"/>
      <c r="W57" s="288"/>
      <c r="X57" s="288"/>
      <c r="Y57" s="288"/>
      <c r="Z57" s="289">
        <f t="shared" si="5"/>
        <v>1.0628814546460969E-2</v>
      </c>
      <c r="AA57" s="274"/>
      <c r="AB57" s="274"/>
      <c r="AC57" s="290">
        <f t="shared" si="18"/>
        <v>1</v>
      </c>
    </row>
    <row r="58" spans="2:29" ht="15.75" x14ac:dyDescent="0.25">
      <c r="B58" s="282">
        <f t="shared" si="6"/>
        <v>28</v>
      </c>
      <c r="C58" s="283" t="str">
        <f>IF('מודל תמיכה חלוקת 20,294,511 שח'!G30="","",'מודל תמיכה חלוקת 20,294,511 שח'!G30)</f>
        <v>כת"ר - מכון לכלכלה ע"פ התורה (ע"ר)</v>
      </c>
      <c r="D58" s="284">
        <f>IF(C58="","",'מודל תמיכה חלוקת 20,294,511 שח'!J30)</f>
        <v>240000</v>
      </c>
      <c r="E58" s="284">
        <f>הגנה!AX58</f>
        <v>304549.23345593782</v>
      </c>
      <c r="F58" s="285">
        <f t="shared" si="7"/>
        <v>1</v>
      </c>
      <c r="G58" s="284">
        <f t="shared" si="8"/>
        <v>240000</v>
      </c>
      <c r="H58" s="284">
        <f t="shared" si="0"/>
        <v>240000</v>
      </c>
      <c r="I58" s="286">
        <f t="shared" si="9"/>
        <v>1</v>
      </c>
      <c r="J58" s="287">
        <f t="shared" si="10"/>
        <v>240000</v>
      </c>
      <c r="K58" s="287">
        <f t="shared" si="1"/>
        <v>240000</v>
      </c>
      <c r="L58" s="286">
        <f t="shared" si="11"/>
        <v>1</v>
      </c>
      <c r="M58" s="287">
        <f t="shared" si="12"/>
        <v>240000</v>
      </c>
      <c r="N58" s="287">
        <f t="shared" si="2"/>
        <v>240000</v>
      </c>
      <c r="O58" s="286">
        <f t="shared" si="13"/>
        <v>1</v>
      </c>
      <c r="P58" s="287">
        <f t="shared" si="14"/>
        <v>240000</v>
      </c>
      <c r="Q58" s="287">
        <f t="shared" si="3"/>
        <v>240000</v>
      </c>
      <c r="R58" s="286">
        <f t="shared" si="15"/>
        <v>1</v>
      </c>
      <c r="S58" s="287">
        <f t="shared" si="16"/>
        <v>240000</v>
      </c>
      <c r="T58" s="287">
        <f t="shared" si="4"/>
        <v>240000</v>
      </c>
      <c r="U58" s="288">
        <f t="shared" si="17"/>
        <v>240000</v>
      </c>
      <c r="V58" s="288"/>
      <c r="W58" s="288"/>
      <c r="X58" s="288"/>
      <c r="Y58" s="288"/>
      <c r="Z58" s="289">
        <f t="shared" si="5"/>
        <v>1.1825857740548659E-2</v>
      </c>
      <c r="AA58" s="274"/>
      <c r="AB58" s="274"/>
      <c r="AC58" s="290">
        <f t="shared" si="18"/>
        <v>1</v>
      </c>
    </row>
    <row r="59" spans="2:29" ht="15.75" x14ac:dyDescent="0.25">
      <c r="B59" s="282">
        <f t="shared" si="6"/>
        <v>29</v>
      </c>
      <c r="C59" s="283" t="str">
        <f>IF('מודל תמיכה חלוקת 20,294,511 שח'!G31="","",'מודל תמיכה חלוקת 20,294,511 שח'!G31)</f>
        <v>לימוד והפצת הרמב"ם המבואר (ע"ר)</v>
      </c>
      <c r="D59" s="284">
        <f>IF(C59="","",'מודל תמיכה חלוקת 20,294,511 שח'!J31)</f>
        <v>600000</v>
      </c>
      <c r="E59" s="284">
        <f>הגנה!AX59</f>
        <v>186882.48416614367</v>
      </c>
      <c r="F59" s="285">
        <f t="shared" si="7"/>
        <v>0</v>
      </c>
      <c r="G59" s="284">
        <f t="shared" si="8"/>
        <v>186882.48416614367</v>
      </c>
      <c r="H59" s="284">
        <f t="shared" si="0"/>
        <v>187873.48486171066</v>
      </c>
      <c r="I59" s="286">
        <f t="shared" si="9"/>
        <v>0</v>
      </c>
      <c r="J59" s="287">
        <f t="shared" si="10"/>
        <v>187873.48486171066</v>
      </c>
      <c r="K59" s="287">
        <f t="shared" si="1"/>
        <v>187873.48486171057</v>
      </c>
      <c r="L59" s="286">
        <f t="shared" si="11"/>
        <v>0</v>
      </c>
      <c r="M59" s="287">
        <f t="shared" si="12"/>
        <v>187873.48486171057</v>
      </c>
      <c r="N59" s="287">
        <f t="shared" si="2"/>
        <v>187873.4848617106</v>
      </c>
      <c r="O59" s="286">
        <f t="shared" si="13"/>
        <v>0</v>
      </c>
      <c r="P59" s="287">
        <f t="shared" si="14"/>
        <v>187873.4848617106</v>
      </c>
      <c r="Q59" s="287">
        <f t="shared" si="3"/>
        <v>187873.48486171057</v>
      </c>
      <c r="R59" s="286">
        <f t="shared" si="15"/>
        <v>0</v>
      </c>
      <c r="S59" s="287">
        <f t="shared" si="16"/>
        <v>187873.48486171057</v>
      </c>
      <c r="T59" s="287">
        <f t="shared" si="4"/>
        <v>187873.4848617106</v>
      </c>
      <c r="U59" s="288">
        <f t="shared" si="17"/>
        <v>187873.4848617106</v>
      </c>
      <c r="V59" s="288"/>
      <c r="W59" s="288"/>
      <c r="X59" s="288"/>
      <c r="Y59" s="288"/>
      <c r="Z59" s="289">
        <f t="shared" si="5"/>
        <v>9.2573546049821327E-3</v>
      </c>
      <c r="AA59" s="274"/>
      <c r="AB59" s="274"/>
      <c r="AC59" s="290">
        <f t="shared" si="18"/>
        <v>1</v>
      </c>
    </row>
    <row r="60" spans="2:29" ht="15.75" x14ac:dyDescent="0.25">
      <c r="B60" s="282">
        <f t="shared" si="6"/>
        <v>30</v>
      </c>
      <c r="C60" s="283" t="str">
        <f>IF('מודל תמיכה חלוקת 20,294,511 שח'!G32="","",'מודל תמיכה חלוקת 20,294,511 שח'!G32)</f>
        <v>לפיד - אפיקי דעת, שדרות (ע"ר)</v>
      </c>
      <c r="D60" s="284">
        <f>IF(C60="","",'מודל תמיכה חלוקת 20,294,511 שח'!J32)</f>
        <v>250000</v>
      </c>
      <c r="E60" s="284">
        <f>הגנה!AX60</f>
        <v>269941.3660177631</v>
      </c>
      <c r="F60" s="285">
        <f t="shared" si="7"/>
        <v>1</v>
      </c>
      <c r="G60" s="284">
        <f t="shared" si="8"/>
        <v>250000</v>
      </c>
      <c r="H60" s="284">
        <f t="shared" si="0"/>
        <v>250000</v>
      </c>
      <c r="I60" s="286">
        <f t="shared" si="9"/>
        <v>1</v>
      </c>
      <c r="J60" s="287">
        <f t="shared" si="10"/>
        <v>250000</v>
      </c>
      <c r="K60" s="287">
        <f t="shared" si="1"/>
        <v>250000</v>
      </c>
      <c r="L60" s="286">
        <f t="shared" si="11"/>
        <v>1</v>
      </c>
      <c r="M60" s="287">
        <f t="shared" si="12"/>
        <v>250000</v>
      </c>
      <c r="N60" s="287">
        <f t="shared" si="2"/>
        <v>250000</v>
      </c>
      <c r="O60" s="286">
        <f t="shared" si="13"/>
        <v>1</v>
      </c>
      <c r="P60" s="287">
        <f t="shared" si="14"/>
        <v>250000</v>
      </c>
      <c r="Q60" s="287">
        <f t="shared" si="3"/>
        <v>250000</v>
      </c>
      <c r="R60" s="286">
        <f t="shared" si="15"/>
        <v>1</v>
      </c>
      <c r="S60" s="287">
        <f t="shared" si="16"/>
        <v>250000</v>
      </c>
      <c r="T60" s="287">
        <f t="shared" si="4"/>
        <v>250000</v>
      </c>
      <c r="U60" s="288">
        <f t="shared" si="17"/>
        <v>250000</v>
      </c>
      <c r="V60" s="288"/>
      <c r="W60" s="288"/>
      <c r="X60" s="288"/>
      <c r="Y60" s="288"/>
      <c r="Z60" s="289">
        <f t="shared" si="5"/>
        <v>1.231860181307152E-2</v>
      </c>
      <c r="AA60" s="274"/>
      <c r="AB60" s="274"/>
      <c r="AC60" s="290">
        <f t="shared" si="18"/>
        <v>1</v>
      </c>
    </row>
    <row r="61" spans="2:29" ht="15.75" x14ac:dyDescent="0.25">
      <c r="B61" s="282">
        <f t="shared" si="6"/>
        <v>31</v>
      </c>
      <c r="C61" s="283" t="str">
        <f>IF('מודל תמיכה חלוקת 20,294,511 שח'!G33="","",'מודל תמיכה חלוקת 20,294,511 שח'!G33)</f>
        <v>מוסדות חכמת שלמה ע"ש הרה"צ רבי שלמה</v>
      </c>
      <c r="D61" s="284">
        <f>IF(C61="","",'מודל תמיכה חלוקת 20,294,511 שח'!J33)</f>
        <v>250000</v>
      </c>
      <c r="E61" s="284">
        <f>הגנה!AX61</f>
        <v>0</v>
      </c>
      <c r="F61" s="285">
        <f t="shared" si="7"/>
        <v>0</v>
      </c>
      <c r="G61" s="284">
        <f t="shared" si="8"/>
        <v>0</v>
      </c>
      <c r="H61" s="284">
        <f t="shared" si="0"/>
        <v>0</v>
      </c>
      <c r="I61" s="286">
        <f t="shared" si="9"/>
        <v>0</v>
      </c>
      <c r="J61" s="287">
        <f t="shared" si="10"/>
        <v>0</v>
      </c>
      <c r="K61" s="287">
        <f t="shared" si="1"/>
        <v>0</v>
      </c>
      <c r="L61" s="286">
        <f t="shared" si="11"/>
        <v>0</v>
      </c>
      <c r="M61" s="287">
        <f t="shared" si="12"/>
        <v>0</v>
      </c>
      <c r="N61" s="287">
        <f t="shared" si="2"/>
        <v>0</v>
      </c>
      <c r="O61" s="286">
        <f t="shared" si="13"/>
        <v>0</v>
      </c>
      <c r="P61" s="287">
        <f t="shared" si="14"/>
        <v>0</v>
      </c>
      <c r="Q61" s="287">
        <f t="shared" si="3"/>
        <v>0</v>
      </c>
      <c r="R61" s="286">
        <f t="shared" si="15"/>
        <v>0</v>
      </c>
      <c r="S61" s="287">
        <f t="shared" si="16"/>
        <v>0</v>
      </c>
      <c r="T61" s="287">
        <f t="shared" si="4"/>
        <v>0</v>
      </c>
      <c r="U61" s="288">
        <f t="shared" si="17"/>
        <v>0</v>
      </c>
      <c r="V61" s="288"/>
      <c r="W61" s="288"/>
      <c r="X61" s="288"/>
      <c r="Y61" s="288"/>
      <c r="Z61" s="289">
        <f t="shared" si="5"/>
        <v>0</v>
      </c>
      <c r="AA61" s="274"/>
      <c r="AB61" s="274"/>
      <c r="AC61" s="290">
        <f t="shared" si="18"/>
        <v>1</v>
      </c>
    </row>
    <row r="62" spans="2:29" ht="15.75" x14ac:dyDescent="0.25">
      <c r="B62" s="282">
        <f t="shared" si="6"/>
        <v>32</v>
      </c>
      <c r="C62" s="283" t="str">
        <f>IF('מודל תמיכה חלוקת 20,294,511 שח'!G34="","",'מודל תמיכה חלוקת 20,294,511 שח'!G34)</f>
        <v>מוסדות ישיבת כסא רחמים ספרדית (ע"ר)</v>
      </c>
      <c r="D62" s="284">
        <f>IF(C62="","",'מודל תמיכה חלוקת 20,294,511 שח'!J34)</f>
        <v>500000</v>
      </c>
      <c r="E62" s="284">
        <f>הגנה!AX62</f>
        <v>380686.54181992233</v>
      </c>
      <c r="F62" s="285">
        <f t="shared" si="7"/>
        <v>0</v>
      </c>
      <c r="G62" s="284">
        <f t="shared" si="8"/>
        <v>380686.54181992233</v>
      </c>
      <c r="H62" s="284">
        <f t="shared" si="0"/>
        <v>382705.24694052176</v>
      </c>
      <c r="I62" s="286">
        <f t="shared" si="9"/>
        <v>0</v>
      </c>
      <c r="J62" s="287">
        <f t="shared" si="10"/>
        <v>382705.24694052176</v>
      </c>
      <c r="K62" s="287">
        <f t="shared" si="1"/>
        <v>382705.24694052164</v>
      </c>
      <c r="L62" s="286">
        <f t="shared" si="11"/>
        <v>0</v>
      </c>
      <c r="M62" s="287">
        <f t="shared" si="12"/>
        <v>382705.24694052164</v>
      </c>
      <c r="N62" s="287">
        <f t="shared" si="2"/>
        <v>382705.2469405217</v>
      </c>
      <c r="O62" s="286">
        <f t="shared" si="13"/>
        <v>0</v>
      </c>
      <c r="P62" s="287">
        <f t="shared" si="14"/>
        <v>382705.2469405217</v>
      </c>
      <c r="Q62" s="287">
        <f t="shared" si="3"/>
        <v>382705.24694052164</v>
      </c>
      <c r="R62" s="286">
        <f t="shared" si="15"/>
        <v>0</v>
      </c>
      <c r="S62" s="287">
        <f t="shared" si="16"/>
        <v>382705.24694052164</v>
      </c>
      <c r="T62" s="287">
        <f t="shared" si="4"/>
        <v>382705.2469405217</v>
      </c>
      <c r="U62" s="288">
        <f t="shared" si="17"/>
        <v>382705.2469405217</v>
      </c>
      <c r="V62" s="288"/>
      <c r="W62" s="288"/>
      <c r="X62" s="288"/>
      <c r="Y62" s="288"/>
      <c r="Z62" s="289">
        <f t="shared" si="5"/>
        <v>1.8857574195333977E-2</v>
      </c>
      <c r="AA62" s="274"/>
      <c r="AB62" s="274"/>
      <c r="AC62" s="290">
        <f t="shared" si="18"/>
        <v>1</v>
      </c>
    </row>
    <row r="63" spans="2:29" ht="15.75" x14ac:dyDescent="0.25">
      <c r="B63" s="282">
        <f t="shared" si="6"/>
        <v>33</v>
      </c>
      <c r="C63" s="283" t="str">
        <f>IF('מודל תמיכה חלוקת 20,294,511 שח'!G35="","",'מודל תמיכה חלוקת 20,294,511 שח'!G35)</f>
        <v>מורשת "אור החיים" הקדוש (ע"ר)</v>
      </c>
      <c r="D63" s="284">
        <f>IF(C63="","",'מודל תמיכה חלוקת 20,294,511 שח'!J35)</f>
        <v>500000</v>
      </c>
      <c r="E63" s="284">
        <f>הגנה!AX63</f>
        <v>0</v>
      </c>
      <c r="F63" s="285">
        <f t="shared" si="7"/>
        <v>0</v>
      </c>
      <c r="G63" s="284">
        <f t="shared" si="8"/>
        <v>0</v>
      </c>
      <c r="H63" s="284">
        <f t="shared" ref="H63:H94" si="19">IF($C63="","",IF(F63=1,G63,G63/SUMIF(F$31:F$129,0,G$31:G$129)*($C$2-SUMIF(F$31:F$129,1,G$31:G$129))))</f>
        <v>0</v>
      </c>
      <c r="I63" s="286">
        <f t="shared" si="9"/>
        <v>0</v>
      </c>
      <c r="J63" s="287">
        <f t="shared" si="10"/>
        <v>0</v>
      </c>
      <c r="K63" s="287">
        <f t="shared" ref="K63:K94" si="20">IFERROR(IF($C63="","",IF(I63=1,J63,J63/SUMIF(I$31:I$129,0,J$31:J$129)*($C$2-SUMIF(I$31:I$129,1,J$31:J$129)))),0)</f>
        <v>0</v>
      </c>
      <c r="L63" s="286">
        <f t="shared" si="11"/>
        <v>0</v>
      </c>
      <c r="M63" s="287">
        <f t="shared" si="12"/>
        <v>0</v>
      </c>
      <c r="N63" s="287">
        <f t="shared" ref="N63:N94" si="21">IFERROR(IF($C63="","",IF(L63=1,M63,M63/SUMIF(L$31:L$129,0,M$31:M$129)*($C$2-SUMIF(L$31:L$129,1,M$31:M$129)))),0)</f>
        <v>0</v>
      </c>
      <c r="O63" s="286">
        <f t="shared" si="13"/>
        <v>0</v>
      </c>
      <c r="P63" s="287">
        <f t="shared" si="14"/>
        <v>0</v>
      </c>
      <c r="Q63" s="287">
        <f t="shared" ref="Q63:Q94" si="22">IFERROR(IF($C63="","",IF(O63=2,P63,IF(O63=1,P63,P63/SUMIF(O$31:O$129,0,P$31:P$129)*($C$2-SUMIF(O$31:O$129,1,P$31:P$129)-SUMIF(O$31:O$129,2,P$31:P$129))))),0)</f>
        <v>0</v>
      </c>
      <c r="R63" s="286">
        <f t="shared" si="15"/>
        <v>0</v>
      </c>
      <c r="S63" s="287">
        <f t="shared" si="16"/>
        <v>0</v>
      </c>
      <c r="T63" s="287">
        <f t="shared" ref="T63:T94" si="23">IFERROR(IF($C63="","",IF(R63=2,S63,IF(R63=1,S63,S63/SUMIF(R$31:R$129,0,S$31:S$129)*($C$2-SUMIF(R$31:R$129,1,S$31:S$129)-SUMIF(R$31:R$129,2,S$31:S$129))))),0)</f>
        <v>0</v>
      </c>
      <c r="U63" s="288">
        <f t="shared" si="17"/>
        <v>0</v>
      </c>
      <c r="V63" s="288"/>
      <c r="W63" s="288"/>
      <c r="X63" s="288"/>
      <c r="Y63" s="288"/>
      <c r="Z63" s="289">
        <f t="shared" ref="Z63:Z94" si="24">IF(C63="","",IFERROR(U63/SUMIF($U$31:$U$129,"&lt;&gt;#DIV/0!"),$AF$1))</f>
        <v>0</v>
      </c>
      <c r="AA63" s="274"/>
      <c r="AB63" s="274"/>
      <c r="AC63" s="290">
        <f t="shared" si="18"/>
        <v>1</v>
      </c>
    </row>
    <row r="64" spans="2:29" ht="15.75" x14ac:dyDescent="0.25">
      <c r="B64" s="282">
        <f t="shared" si="6"/>
        <v>34</v>
      </c>
      <c r="C64" s="283" t="str">
        <f>IF('מודל תמיכה חלוקת 20,294,511 שח'!G36="","",'מודל תמיכה חלוקת 20,294,511 שח'!G36)</f>
        <v>מכון "יחוה דעת" לפרסומים תורניים הל</v>
      </c>
      <c r="D64" s="284">
        <f>IF(C64="","",'מודל תמיכה חלוקת 20,294,511 שח'!J36)</f>
        <v>600000</v>
      </c>
      <c r="E64" s="284">
        <f>הגנה!AX64</f>
        <v>567569.02598606597</v>
      </c>
      <c r="F64" s="285">
        <f t="shared" si="7"/>
        <v>0</v>
      </c>
      <c r="G64" s="284">
        <f t="shared" si="8"/>
        <v>567569.02598606597</v>
      </c>
      <c r="H64" s="284">
        <f t="shared" si="19"/>
        <v>570578.73180223245</v>
      </c>
      <c r="I64" s="286">
        <f t="shared" si="9"/>
        <v>0</v>
      </c>
      <c r="J64" s="287">
        <f t="shared" si="10"/>
        <v>570578.73180223245</v>
      </c>
      <c r="K64" s="287">
        <f t="shared" si="20"/>
        <v>570578.73180223221</v>
      </c>
      <c r="L64" s="286">
        <f t="shared" si="11"/>
        <v>0</v>
      </c>
      <c r="M64" s="287">
        <f t="shared" si="12"/>
        <v>570578.73180223221</v>
      </c>
      <c r="N64" s="287">
        <f t="shared" si="21"/>
        <v>570578.73180223233</v>
      </c>
      <c r="O64" s="286">
        <f t="shared" si="13"/>
        <v>0</v>
      </c>
      <c r="P64" s="287">
        <f t="shared" si="14"/>
        <v>570578.73180223233</v>
      </c>
      <c r="Q64" s="287">
        <f t="shared" si="22"/>
        <v>570578.73180223221</v>
      </c>
      <c r="R64" s="286">
        <f t="shared" si="15"/>
        <v>0</v>
      </c>
      <c r="S64" s="287">
        <f t="shared" si="16"/>
        <v>570578.73180223221</v>
      </c>
      <c r="T64" s="287">
        <f t="shared" si="23"/>
        <v>570578.73180223233</v>
      </c>
      <c r="U64" s="288">
        <f t="shared" si="17"/>
        <v>570578.73180223233</v>
      </c>
      <c r="V64" s="288"/>
      <c r="W64" s="288"/>
      <c r="X64" s="288"/>
      <c r="Y64" s="288"/>
      <c r="Z64" s="289">
        <f t="shared" si="24"/>
        <v>2.8114928800316113E-2</v>
      </c>
      <c r="AA64" s="274"/>
      <c r="AB64" s="274"/>
      <c r="AC64" s="290">
        <f t="shared" si="18"/>
        <v>1</v>
      </c>
    </row>
    <row r="65" spans="2:29" ht="15.75" x14ac:dyDescent="0.25">
      <c r="B65" s="282">
        <f t="shared" si="6"/>
        <v>35</v>
      </c>
      <c r="C65" s="283" t="str">
        <f>IF('מודל תמיכה חלוקת 20,294,511 שח'!G37="","",'מודל תמיכה חלוקת 20,294,511 שח'!G37)</f>
        <v>מכון "ראש פינה" בירושלים (ע"ר)</v>
      </c>
      <c r="D65" s="284">
        <f>IF(C65="","",'מודל תמיכה חלוקת 20,294,511 שח'!J37)</f>
        <v>500000</v>
      </c>
      <c r="E65" s="284">
        <f>הגנה!AX65</f>
        <v>221490.35160431839</v>
      </c>
      <c r="F65" s="285">
        <f t="shared" si="7"/>
        <v>0</v>
      </c>
      <c r="G65" s="284">
        <f t="shared" si="8"/>
        <v>221490.35160431839</v>
      </c>
      <c r="H65" s="284">
        <f t="shared" si="19"/>
        <v>222664.87094721259</v>
      </c>
      <c r="I65" s="286">
        <f t="shared" si="9"/>
        <v>0</v>
      </c>
      <c r="J65" s="287">
        <f t="shared" si="10"/>
        <v>222664.87094721259</v>
      </c>
      <c r="K65" s="287">
        <f t="shared" si="20"/>
        <v>222664.8709472125</v>
      </c>
      <c r="L65" s="286">
        <f t="shared" si="11"/>
        <v>0</v>
      </c>
      <c r="M65" s="287">
        <f t="shared" si="12"/>
        <v>222664.8709472125</v>
      </c>
      <c r="N65" s="287">
        <f t="shared" si="21"/>
        <v>222664.87094721253</v>
      </c>
      <c r="O65" s="286">
        <f t="shared" si="13"/>
        <v>0</v>
      </c>
      <c r="P65" s="287">
        <f t="shared" si="14"/>
        <v>222664.87094721253</v>
      </c>
      <c r="Q65" s="287">
        <f t="shared" si="22"/>
        <v>222664.8709472125</v>
      </c>
      <c r="R65" s="286">
        <f t="shared" si="15"/>
        <v>0</v>
      </c>
      <c r="S65" s="287">
        <f t="shared" si="16"/>
        <v>222664.8709472125</v>
      </c>
      <c r="T65" s="287">
        <f t="shared" si="23"/>
        <v>222664.87094721253</v>
      </c>
      <c r="U65" s="288">
        <f t="shared" si="17"/>
        <v>222664.87094721253</v>
      </c>
      <c r="V65" s="288"/>
      <c r="W65" s="288"/>
      <c r="X65" s="288"/>
      <c r="Y65" s="288"/>
      <c r="Z65" s="289">
        <f t="shared" si="24"/>
        <v>1.0971679531830673E-2</v>
      </c>
      <c r="AA65" s="274"/>
      <c r="AB65" s="274"/>
      <c r="AC65" s="290">
        <f t="shared" si="18"/>
        <v>1</v>
      </c>
    </row>
    <row r="66" spans="2:29" ht="15.75" x14ac:dyDescent="0.25">
      <c r="B66" s="282">
        <f t="shared" si="6"/>
        <v>36</v>
      </c>
      <c r="C66" s="283" t="str">
        <f>IF('מודל תמיכה חלוקת 20,294,511 שח'!G38="","",'מודל תמיכה חלוקת 20,294,511 שח'!G38)</f>
        <v>מכון בית אהרן וישראל למחקר כת"י והו</v>
      </c>
      <c r="D66" s="284">
        <f>IF(C66="","",'מודל תמיכה חלוקת 20,294,511 שח'!J38)</f>
        <v>995000</v>
      </c>
      <c r="E66" s="284">
        <f>הגנה!AX66</f>
        <v>622941.61388714542</v>
      </c>
      <c r="F66" s="285">
        <f t="shared" si="7"/>
        <v>0</v>
      </c>
      <c r="G66" s="284">
        <f t="shared" si="8"/>
        <v>622941.61388714542</v>
      </c>
      <c r="H66" s="284">
        <f t="shared" si="19"/>
        <v>626244.94953903544</v>
      </c>
      <c r="I66" s="286">
        <f t="shared" si="9"/>
        <v>0</v>
      </c>
      <c r="J66" s="287">
        <f t="shared" si="10"/>
        <v>626244.94953903544</v>
      </c>
      <c r="K66" s="287">
        <f t="shared" si="20"/>
        <v>626244.94953903521</v>
      </c>
      <c r="L66" s="286">
        <f t="shared" si="11"/>
        <v>0</v>
      </c>
      <c r="M66" s="287">
        <f t="shared" si="12"/>
        <v>626244.94953903521</v>
      </c>
      <c r="N66" s="287">
        <f t="shared" si="21"/>
        <v>626244.94953903521</v>
      </c>
      <c r="O66" s="286">
        <f t="shared" si="13"/>
        <v>0</v>
      </c>
      <c r="P66" s="287">
        <f t="shared" si="14"/>
        <v>626244.94953903521</v>
      </c>
      <c r="Q66" s="287">
        <f t="shared" si="22"/>
        <v>626244.94953903509</v>
      </c>
      <c r="R66" s="286">
        <f t="shared" si="15"/>
        <v>0</v>
      </c>
      <c r="S66" s="287">
        <f t="shared" si="16"/>
        <v>626244.94953903509</v>
      </c>
      <c r="T66" s="287">
        <f t="shared" si="23"/>
        <v>626244.94953903521</v>
      </c>
      <c r="U66" s="288">
        <f t="shared" si="17"/>
        <v>626244.94953903521</v>
      </c>
      <c r="V66" s="288"/>
      <c r="W66" s="288"/>
      <c r="X66" s="288"/>
      <c r="Y66" s="288"/>
      <c r="Z66" s="289">
        <f t="shared" si="24"/>
        <v>3.0857848683273768E-2</v>
      </c>
      <c r="AA66" s="274"/>
      <c r="AB66" s="274"/>
      <c r="AC66" s="290">
        <f t="shared" si="18"/>
        <v>1</v>
      </c>
    </row>
    <row r="67" spans="2:29" ht="15.75" x14ac:dyDescent="0.25">
      <c r="B67" s="282">
        <f t="shared" si="6"/>
        <v>37</v>
      </c>
      <c r="C67" s="283" t="str">
        <f>IF('מודל תמיכה חלוקת 20,294,511 שח'!G39="","",'מודל תמיכה חלוקת 20,294,511 שח'!G39)</f>
        <v>מכון הכתב (ע"ר)</v>
      </c>
      <c r="D67" s="284">
        <f>IF(C67="","",'מודל תמיכה חלוקת 20,294,511 שח'!J39)</f>
        <v>700000</v>
      </c>
      <c r="E67" s="284">
        <f>הגנה!AX67</f>
        <v>415294.40925809706</v>
      </c>
      <c r="F67" s="285">
        <f t="shared" si="7"/>
        <v>0</v>
      </c>
      <c r="G67" s="284">
        <f t="shared" si="8"/>
        <v>415294.40925809706</v>
      </c>
      <c r="H67" s="284">
        <f t="shared" si="19"/>
        <v>417496.63302602369</v>
      </c>
      <c r="I67" s="286">
        <f t="shared" si="9"/>
        <v>0</v>
      </c>
      <c r="J67" s="287">
        <f t="shared" si="10"/>
        <v>417496.63302602369</v>
      </c>
      <c r="K67" s="287">
        <f t="shared" si="20"/>
        <v>417496.63302602351</v>
      </c>
      <c r="L67" s="286">
        <f t="shared" si="11"/>
        <v>0</v>
      </c>
      <c r="M67" s="287">
        <f t="shared" si="12"/>
        <v>417496.63302602351</v>
      </c>
      <c r="N67" s="287">
        <f t="shared" si="21"/>
        <v>417496.63302602357</v>
      </c>
      <c r="O67" s="286">
        <f t="shared" si="13"/>
        <v>0</v>
      </c>
      <c r="P67" s="287">
        <f t="shared" si="14"/>
        <v>417496.63302602357</v>
      </c>
      <c r="Q67" s="287">
        <f t="shared" si="22"/>
        <v>417496.63302602351</v>
      </c>
      <c r="R67" s="286">
        <f t="shared" si="15"/>
        <v>0</v>
      </c>
      <c r="S67" s="287">
        <f t="shared" si="16"/>
        <v>417496.63302602351</v>
      </c>
      <c r="T67" s="287">
        <f t="shared" si="23"/>
        <v>417496.63302602357</v>
      </c>
      <c r="U67" s="288">
        <f t="shared" si="17"/>
        <v>417496.63302602357</v>
      </c>
      <c r="V67" s="288"/>
      <c r="W67" s="288"/>
      <c r="X67" s="288"/>
      <c r="Y67" s="288"/>
      <c r="Z67" s="289">
        <f t="shared" si="24"/>
        <v>2.0571899122182515E-2</v>
      </c>
      <c r="AA67" s="274"/>
      <c r="AB67" s="274"/>
      <c r="AC67" s="290">
        <f t="shared" si="18"/>
        <v>1</v>
      </c>
    </row>
    <row r="68" spans="2:29" ht="15.75" x14ac:dyDescent="0.25">
      <c r="B68" s="282">
        <f t="shared" si="6"/>
        <v>38</v>
      </c>
      <c r="C68" s="283" t="str">
        <f>IF('מודל תמיכה חלוקת 20,294,511 שח'!G40="","",'מודל תמיכה חלוקת 20,294,511 שח'!G40)</f>
        <v>מכון הלכה ברורה וברור הלכה (ע"ר)</v>
      </c>
      <c r="D68" s="284">
        <f>IF(C68="","",'מודל תמיכה חלוקת 20,294,511 שח'!J40)</f>
        <v>750000</v>
      </c>
      <c r="E68" s="284">
        <f>הגנה!AX68</f>
        <v>530967.52226417942</v>
      </c>
      <c r="F68" s="285">
        <f t="shared" si="7"/>
        <v>0</v>
      </c>
      <c r="G68" s="284">
        <f t="shared" si="8"/>
        <v>530967.52226417942</v>
      </c>
      <c r="H68" s="284">
        <f t="shared" si="19"/>
        <v>533783.13757577538</v>
      </c>
      <c r="I68" s="286">
        <f t="shared" si="9"/>
        <v>0</v>
      </c>
      <c r="J68" s="287">
        <f t="shared" si="10"/>
        <v>533783.13757577538</v>
      </c>
      <c r="K68" s="287">
        <f t="shared" si="20"/>
        <v>533783.13757577515</v>
      </c>
      <c r="L68" s="286">
        <f t="shared" si="11"/>
        <v>0</v>
      </c>
      <c r="M68" s="287">
        <f t="shared" si="12"/>
        <v>533783.13757577515</v>
      </c>
      <c r="N68" s="287">
        <f t="shared" si="21"/>
        <v>533783.13757577527</v>
      </c>
      <c r="O68" s="286">
        <f t="shared" si="13"/>
        <v>0</v>
      </c>
      <c r="P68" s="287">
        <f t="shared" si="14"/>
        <v>533783.13757577527</v>
      </c>
      <c r="Q68" s="287">
        <f t="shared" si="22"/>
        <v>533783.13757577515</v>
      </c>
      <c r="R68" s="286">
        <f t="shared" si="15"/>
        <v>0</v>
      </c>
      <c r="S68" s="287">
        <f t="shared" si="16"/>
        <v>533783.13757577515</v>
      </c>
      <c r="T68" s="287">
        <f t="shared" si="23"/>
        <v>533783.13757577527</v>
      </c>
      <c r="U68" s="288">
        <f t="shared" si="17"/>
        <v>533783.13757577527</v>
      </c>
      <c r="V68" s="288"/>
      <c r="W68" s="288"/>
      <c r="X68" s="288"/>
      <c r="Y68" s="288"/>
      <c r="Z68" s="289">
        <f t="shared" si="24"/>
        <v>2.6301847705311798E-2</v>
      </c>
      <c r="AA68" s="274"/>
      <c r="AB68" s="274"/>
      <c r="AC68" s="290">
        <f t="shared" si="18"/>
        <v>1</v>
      </c>
    </row>
    <row r="69" spans="2:29" ht="15.75" x14ac:dyDescent="0.25">
      <c r="B69" s="282">
        <f t="shared" si="6"/>
        <v>39</v>
      </c>
      <c r="C69" s="283" t="str">
        <f>IF('מודל תמיכה חלוקת 20,294,511 שח'!G41="","",'מודל תמיכה חלוקת 20,294,511 שח'!G41)</f>
        <v>מכון הלכה חב"ד (ע"ר)</v>
      </c>
      <c r="D69" s="284">
        <f>IF(C69="","",'מודל תמיכה חלוקת 20,294,511 שח'!J41)</f>
        <v>600000</v>
      </c>
      <c r="E69" s="284">
        <f>הגנה!AX69</f>
        <v>0</v>
      </c>
      <c r="F69" s="285">
        <f t="shared" si="7"/>
        <v>0</v>
      </c>
      <c r="G69" s="284">
        <f t="shared" si="8"/>
        <v>0</v>
      </c>
      <c r="H69" s="284">
        <f t="shared" si="19"/>
        <v>0</v>
      </c>
      <c r="I69" s="286">
        <f t="shared" si="9"/>
        <v>0</v>
      </c>
      <c r="J69" s="287">
        <f t="shared" si="10"/>
        <v>0</v>
      </c>
      <c r="K69" s="287">
        <f t="shared" si="20"/>
        <v>0</v>
      </c>
      <c r="L69" s="286">
        <f t="shared" si="11"/>
        <v>0</v>
      </c>
      <c r="M69" s="287">
        <f t="shared" si="12"/>
        <v>0</v>
      </c>
      <c r="N69" s="287">
        <f t="shared" si="21"/>
        <v>0</v>
      </c>
      <c r="O69" s="286">
        <f t="shared" si="13"/>
        <v>0</v>
      </c>
      <c r="P69" s="287">
        <f t="shared" si="14"/>
        <v>0</v>
      </c>
      <c r="Q69" s="287">
        <f t="shared" si="22"/>
        <v>0</v>
      </c>
      <c r="R69" s="286">
        <f t="shared" si="15"/>
        <v>0</v>
      </c>
      <c r="S69" s="287">
        <f t="shared" si="16"/>
        <v>0</v>
      </c>
      <c r="T69" s="287">
        <f t="shared" si="23"/>
        <v>0</v>
      </c>
      <c r="U69" s="288">
        <f t="shared" si="17"/>
        <v>0</v>
      </c>
      <c r="V69" s="288"/>
      <c r="W69" s="288"/>
      <c r="X69" s="288"/>
      <c r="Y69" s="288"/>
      <c r="Z69" s="289">
        <f t="shared" si="24"/>
        <v>0</v>
      </c>
      <c r="AA69" s="274"/>
      <c r="AB69" s="274"/>
      <c r="AC69" s="290">
        <f t="shared" si="18"/>
        <v>1</v>
      </c>
    </row>
    <row r="70" spans="2:29" ht="15.75" x14ac:dyDescent="0.25">
      <c r="B70" s="282">
        <f t="shared" si="6"/>
        <v>40</v>
      </c>
      <c r="C70" s="283" t="str">
        <f>IF('מודל תמיכה חלוקת 20,294,511 שח'!G42="","",'מודל תמיכה חלוקת 20,294,511 שח'!G42)</f>
        <v>מכון הרב פראנק (ע"ר)</v>
      </c>
      <c r="D70" s="284">
        <f>IF(C70="","",'מודל תמיכה חלוקת 20,294,511 שח'!J42)</f>
        <v>380000</v>
      </c>
      <c r="E70" s="284">
        <f>הגנה!AX70</f>
        <v>332235.52740647772</v>
      </c>
      <c r="F70" s="285">
        <f t="shared" si="7"/>
        <v>0</v>
      </c>
      <c r="G70" s="284">
        <f t="shared" si="8"/>
        <v>332235.52740647772</v>
      </c>
      <c r="H70" s="284">
        <f t="shared" si="19"/>
        <v>333997.30642081902</v>
      </c>
      <c r="I70" s="286">
        <f t="shared" si="9"/>
        <v>0</v>
      </c>
      <c r="J70" s="287">
        <f t="shared" si="10"/>
        <v>333997.30642081902</v>
      </c>
      <c r="K70" s="287">
        <f t="shared" si="20"/>
        <v>333997.3064208189</v>
      </c>
      <c r="L70" s="286">
        <f t="shared" si="11"/>
        <v>0</v>
      </c>
      <c r="M70" s="287">
        <f t="shared" si="12"/>
        <v>333997.3064208189</v>
      </c>
      <c r="N70" s="287">
        <f t="shared" si="21"/>
        <v>333997.30642081896</v>
      </c>
      <c r="O70" s="286">
        <f t="shared" si="13"/>
        <v>0</v>
      </c>
      <c r="P70" s="287">
        <f t="shared" si="14"/>
        <v>333997.30642081896</v>
      </c>
      <c r="Q70" s="287">
        <f t="shared" si="22"/>
        <v>333997.3064208189</v>
      </c>
      <c r="R70" s="286">
        <f t="shared" si="15"/>
        <v>0</v>
      </c>
      <c r="S70" s="287">
        <f t="shared" si="16"/>
        <v>333997.3064208189</v>
      </c>
      <c r="T70" s="287">
        <f t="shared" si="23"/>
        <v>333997.30642081896</v>
      </c>
      <c r="U70" s="288">
        <f t="shared" si="17"/>
        <v>333997.30642081896</v>
      </c>
      <c r="V70" s="288"/>
      <c r="W70" s="288"/>
      <c r="X70" s="288"/>
      <c r="Y70" s="288"/>
      <c r="Z70" s="289">
        <f t="shared" si="24"/>
        <v>1.6457519297746019E-2</v>
      </c>
      <c r="AA70" s="274"/>
      <c r="AB70" s="274"/>
      <c r="AC70" s="290">
        <f t="shared" si="18"/>
        <v>1</v>
      </c>
    </row>
    <row r="71" spans="2:29" ht="15.75" x14ac:dyDescent="0.25">
      <c r="B71" s="282">
        <f t="shared" si="6"/>
        <v>41</v>
      </c>
      <c r="C71" s="283" t="str">
        <f>IF('מודל תמיכה חלוקת 20,294,511 שח'!G43="","",'מודל תמיכה חלוקת 20,294,511 שח'!G43)</f>
        <v>מכון הרי פישל לדרישת התלמוד ומשפט ה</v>
      </c>
      <c r="D71" s="284">
        <f>IF(C71="","",'מודל תמיכה חלוקת 20,294,511 שח'!J43)</f>
        <v>400000</v>
      </c>
      <c r="E71" s="284">
        <f>הגנה!AX71</f>
        <v>304549.23345593782</v>
      </c>
      <c r="F71" s="285">
        <f t="shared" si="7"/>
        <v>0</v>
      </c>
      <c r="G71" s="284">
        <f t="shared" si="8"/>
        <v>304549.23345593782</v>
      </c>
      <c r="H71" s="284">
        <f t="shared" si="19"/>
        <v>306164.1975524174</v>
      </c>
      <c r="I71" s="286">
        <f t="shared" si="9"/>
        <v>0</v>
      </c>
      <c r="J71" s="287">
        <f t="shared" si="10"/>
        <v>306164.1975524174</v>
      </c>
      <c r="K71" s="287">
        <f t="shared" si="20"/>
        <v>306164.19755241729</v>
      </c>
      <c r="L71" s="286">
        <f t="shared" si="11"/>
        <v>0</v>
      </c>
      <c r="M71" s="287">
        <f t="shared" si="12"/>
        <v>306164.19755241729</v>
      </c>
      <c r="N71" s="287">
        <f t="shared" si="21"/>
        <v>306164.1975524174</v>
      </c>
      <c r="O71" s="286">
        <f t="shared" si="13"/>
        <v>0</v>
      </c>
      <c r="P71" s="287">
        <f t="shared" si="14"/>
        <v>306164.1975524174</v>
      </c>
      <c r="Q71" s="287">
        <f t="shared" si="22"/>
        <v>306164.1975524174</v>
      </c>
      <c r="R71" s="286">
        <f t="shared" si="15"/>
        <v>0</v>
      </c>
      <c r="S71" s="287">
        <f t="shared" si="16"/>
        <v>306164.1975524174</v>
      </c>
      <c r="T71" s="287">
        <f t="shared" si="23"/>
        <v>306164.19755241746</v>
      </c>
      <c r="U71" s="288">
        <f t="shared" si="17"/>
        <v>306164.19755241746</v>
      </c>
      <c r="V71" s="288"/>
      <c r="W71" s="288"/>
      <c r="X71" s="288"/>
      <c r="Y71" s="288"/>
      <c r="Z71" s="289">
        <f t="shared" si="24"/>
        <v>1.5086059356267187E-2</v>
      </c>
      <c r="AA71" s="274"/>
      <c r="AB71" s="274"/>
      <c r="AC71" s="290">
        <f t="shared" si="18"/>
        <v>1</v>
      </c>
    </row>
    <row r="72" spans="2:29" ht="15.75" x14ac:dyDescent="0.25">
      <c r="B72" s="282">
        <f t="shared" si="6"/>
        <v>42</v>
      </c>
      <c r="C72" s="283" t="str">
        <f>IF('מודל תמיכה חלוקת 20,294,511 שח'!G44="","",'מודל תמיכה חלוקת 20,294,511 שח'!G44)</f>
        <v>מכון התלמוד הישראלי השלם ע"ש הרב הר</v>
      </c>
      <c r="D72" s="284">
        <f>IF(C72="","",'מודל תמיכה חלוקת 20,294,511 שח'!J44)</f>
        <v>600000</v>
      </c>
      <c r="E72" s="284">
        <f>הגנה!AX72</f>
        <v>595255.31993660587</v>
      </c>
      <c r="F72" s="285">
        <f t="shared" si="7"/>
        <v>0</v>
      </c>
      <c r="G72" s="284">
        <f t="shared" si="8"/>
        <v>595255.31993660587</v>
      </c>
      <c r="H72" s="284">
        <f t="shared" si="19"/>
        <v>598411.84067063406</v>
      </c>
      <c r="I72" s="286">
        <f t="shared" si="9"/>
        <v>0</v>
      </c>
      <c r="J72" s="287">
        <f t="shared" si="10"/>
        <v>598411.84067063406</v>
      </c>
      <c r="K72" s="287">
        <f t="shared" si="20"/>
        <v>598411.84067063383</v>
      </c>
      <c r="L72" s="286">
        <f t="shared" si="11"/>
        <v>0</v>
      </c>
      <c r="M72" s="287">
        <f t="shared" si="12"/>
        <v>598411.84067063383</v>
      </c>
      <c r="N72" s="287">
        <f t="shared" si="21"/>
        <v>598411.84067063394</v>
      </c>
      <c r="O72" s="286">
        <f t="shared" si="13"/>
        <v>0</v>
      </c>
      <c r="P72" s="287">
        <f t="shared" si="14"/>
        <v>598411.84067063394</v>
      </c>
      <c r="Q72" s="287">
        <f t="shared" si="22"/>
        <v>598411.84067063383</v>
      </c>
      <c r="R72" s="286">
        <f t="shared" si="15"/>
        <v>0</v>
      </c>
      <c r="S72" s="287">
        <f t="shared" si="16"/>
        <v>598411.84067063383</v>
      </c>
      <c r="T72" s="287">
        <f t="shared" si="23"/>
        <v>598411.84067063394</v>
      </c>
      <c r="U72" s="288">
        <f t="shared" si="17"/>
        <v>598411.84067063394</v>
      </c>
      <c r="V72" s="288"/>
      <c r="W72" s="288"/>
      <c r="X72" s="288"/>
      <c r="Y72" s="288"/>
      <c r="Z72" s="289">
        <f t="shared" si="24"/>
        <v>2.9486388741794947E-2</v>
      </c>
      <c r="AA72" s="274"/>
      <c r="AB72" s="274"/>
      <c r="AC72" s="290">
        <f t="shared" si="18"/>
        <v>1</v>
      </c>
    </row>
    <row r="73" spans="2:29" ht="15.75" x14ac:dyDescent="0.25">
      <c r="B73" s="282">
        <f t="shared" si="6"/>
        <v>43</v>
      </c>
      <c r="C73" s="283" t="str">
        <f>IF('מודל תמיכה חלוקת 20,294,511 שח'!G45="","",'מודל תמיכה חלוקת 20,294,511 שח'!G45)</f>
        <v>מכון ירושלים בתי מדרש לאברכים (ע"ר)</v>
      </c>
      <c r="D73" s="284">
        <f>IF(C73="","",'מודל תמיכה חלוקת 20,294,511 שח'!J45)</f>
        <v>1300000</v>
      </c>
      <c r="E73" s="284">
        <f>הגנה!AX73</f>
        <v>650627.90783768531</v>
      </c>
      <c r="F73" s="285">
        <f t="shared" si="7"/>
        <v>0</v>
      </c>
      <c r="G73" s="284">
        <f t="shared" si="8"/>
        <v>650627.90783768531</v>
      </c>
      <c r="H73" s="284">
        <f t="shared" si="19"/>
        <v>654078.05840743706</v>
      </c>
      <c r="I73" s="286">
        <f t="shared" si="9"/>
        <v>0</v>
      </c>
      <c r="J73" s="287">
        <f t="shared" si="10"/>
        <v>654078.05840743706</v>
      </c>
      <c r="K73" s="287">
        <f t="shared" si="20"/>
        <v>654078.05840743682</v>
      </c>
      <c r="L73" s="286">
        <f t="shared" si="11"/>
        <v>0</v>
      </c>
      <c r="M73" s="287">
        <f t="shared" si="12"/>
        <v>654078.05840743682</v>
      </c>
      <c r="N73" s="287">
        <f t="shared" si="21"/>
        <v>654078.05840743694</v>
      </c>
      <c r="O73" s="286">
        <f t="shared" si="13"/>
        <v>0</v>
      </c>
      <c r="P73" s="287">
        <f t="shared" si="14"/>
        <v>654078.05840743694</v>
      </c>
      <c r="Q73" s="287">
        <f t="shared" si="22"/>
        <v>654078.05840743682</v>
      </c>
      <c r="R73" s="286">
        <f t="shared" si="15"/>
        <v>0</v>
      </c>
      <c r="S73" s="287">
        <f t="shared" si="16"/>
        <v>654078.05840743682</v>
      </c>
      <c r="T73" s="287">
        <f t="shared" si="23"/>
        <v>654078.05840743694</v>
      </c>
      <c r="U73" s="288">
        <f t="shared" si="17"/>
        <v>654078.05840743694</v>
      </c>
      <c r="V73" s="288"/>
      <c r="W73" s="288"/>
      <c r="X73" s="288"/>
      <c r="Y73" s="288"/>
      <c r="Z73" s="289">
        <f t="shared" si="24"/>
        <v>3.2229308624752609E-2</v>
      </c>
      <c r="AA73" s="274"/>
      <c r="AB73" s="274"/>
      <c r="AC73" s="290">
        <f t="shared" si="18"/>
        <v>1</v>
      </c>
    </row>
    <row r="74" spans="2:29" ht="15.75" x14ac:dyDescent="0.25">
      <c r="B74" s="282">
        <f t="shared" si="6"/>
        <v>44</v>
      </c>
      <c r="C74" s="283" t="str">
        <f>IF('מודל תמיכה חלוקת 20,294,511 שח'!G46="","",'מודל תמיכה חלוקת 20,294,511 שח'!G46)</f>
        <v>מכון להורות נתן (ע"ר)</v>
      </c>
      <c r="D74" s="284">
        <f>IF(C74="","",'מודל תמיכה חלוקת 20,294,511 שח'!J46)</f>
        <v>650000</v>
      </c>
      <c r="E74" s="284">
        <f>הגנה!AX74</f>
        <v>394529.68879519223</v>
      </c>
      <c r="F74" s="285">
        <f t="shared" si="7"/>
        <v>0</v>
      </c>
      <c r="G74" s="284">
        <f t="shared" si="8"/>
        <v>394529.68879519223</v>
      </c>
      <c r="H74" s="284">
        <f t="shared" si="19"/>
        <v>396621.80137472256</v>
      </c>
      <c r="I74" s="286">
        <f t="shared" si="9"/>
        <v>0</v>
      </c>
      <c r="J74" s="287">
        <f t="shared" si="10"/>
        <v>396621.80137472256</v>
      </c>
      <c r="K74" s="287">
        <f t="shared" si="20"/>
        <v>396621.80137472239</v>
      </c>
      <c r="L74" s="286">
        <f t="shared" si="11"/>
        <v>0</v>
      </c>
      <c r="M74" s="287">
        <f t="shared" si="12"/>
        <v>396621.80137472239</v>
      </c>
      <c r="N74" s="287">
        <f t="shared" si="21"/>
        <v>396621.80137472245</v>
      </c>
      <c r="O74" s="286">
        <f t="shared" si="13"/>
        <v>0</v>
      </c>
      <c r="P74" s="287">
        <f t="shared" si="14"/>
        <v>396621.80137472245</v>
      </c>
      <c r="Q74" s="287">
        <f t="shared" si="22"/>
        <v>396621.80137472239</v>
      </c>
      <c r="R74" s="286">
        <f t="shared" si="15"/>
        <v>0</v>
      </c>
      <c r="S74" s="287">
        <f t="shared" si="16"/>
        <v>396621.80137472239</v>
      </c>
      <c r="T74" s="287">
        <f t="shared" si="23"/>
        <v>396621.80137472245</v>
      </c>
      <c r="U74" s="288">
        <f t="shared" si="17"/>
        <v>396621.80137472245</v>
      </c>
      <c r="V74" s="288"/>
      <c r="W74" s="288"/>
      <c r="X74" s="288"/>
      <c r="Y74" s="288"/>
      <c r="Z74" s="289">
        <f t="shared" si="24"/>
        <v>1.9543304166073392E-2</v>
      </c>
      <c r="AA74" s="274"/>
      <c r="AB74" s="274"/>
      <c r="AC74" s="290">
        <f t="shared" si="18"/>
        <v>1</v>
      </c>
    </row>
    <row r="75" spans="2:29" ht="15.75" x14ac:dyDescent="0.25">
      <c r="B75" s="282">
        <f t="shared" si="6"/>
        <v>45</v>
      </c>
      <c r="C75" s="283" t="str">
        <f>IF('מודל תמיכה חלוקת 20,294,511 שח'!G47="","",'מודל תמיכה חלוקת 20,294,511 שח'!G47)</f>
        <v>מכון להפצת משפט התורה (ע"ר)</v>
      </c>
      <c r="D75" s="284">
        <f>IF(C75="","",'מודל תמיכה חלוקת 20,294,511 שח'!J47)</f>
        <v>600000</v>
      </c>
      <c r="E75" s="284">
        <f>הגנה!AX75</f>
        <v>325313.95391884266</v>
      </c>
      <c r="F75" s="285">
        <f t="shared" si="7"/>
        <v>0</v>
      </c>
      <c r="G75" s="284">
        <f t="shared" si="8"/>
        <v>325313.95391884266</v>
      </c>
      <c r="H75" s="284">
        <f t="shared" si="19"/>
        <v>327039.02920371853</v>
      </c>
      <c r="I75" s="286">
        <f t="shared" si="9"/>
        <v>0</v>
      </c>
      <c r="J75" s="287">
        <f t="shared" si="10"/>
        <v>327039.02920371853</v>
      </c>
      <c r="K75" s="287">
        <f t="shared" si="20"/>
        <v>327039.02920371841</v>
      </c>
      <c r="L75" s="286">
        <f t="shared" si="11"/>
        <v>0</v>
      </c>
      <c r="M75" s="287">
        <f t="shared" si="12"/>
        <v>327039.02920371841</v>
      </c>
      <c r="N75" s="287">
        <f t="shared" si="21"/>
        <v>327039.02920371847</v>
      </c>
      <c r="O75" s="286">
        <f t="shared" si="13"/>
        <v>0</v>
      </c>
      <c r="P75" s="287">
        <f t="shared" si="14"/>
        <v>327039.02920371847</v>
      </c>
      <c r="Q75" s="287">
        <f t="shared" si="22"/>
        <v>327039.02920371841</v>
      </c>
      <c r="R75" s="286">
        <f t="shared" si="15"/>
        <v>0</v>
      </c>
      <c r="S75" s="287">
        <f t="shared" si="16"/>
        <v>327039.02920371841</v>
      </c>
      <c r="T75" s="287">
        <f t="shared" si="23"/>
        <v>327039.02920371847</v>
      </c>
      <c r="U75" s="288">
        <f t="shared" si="17"/>
        <v>327039.02920371847</v>
      </c>
      <c r="V75" s="288"/>
      <c r="W75" s="288"/>
      <c r="X75" s="288"/>
      <c r="Y75" s="288"/>
      <c r="Z75" s="289">
        <f t="shared" si="24"/>
        <v>1.6114654312376304E-2</v>
      </c>
      <c r="AA75" s="274"/>
      <c r="AB75" s="274"/>
      <c r="AC75" s="290">
        <f t="shared" si="18"/>
        <v>1</v>
      </c>
    </row>
    <row r="76" spans="2:29" ht="15.75" x14ac:dyDescent="0.25">
      <c r="B76" s="282">
        <f t="shared" si="6"/>
        <v>46</v>
      </c>
      <c r="C76" s="283" t="str">
        <f>IF('מודל תמיכה חלוקת 20,294,511 שח'!G48="","",'מודל תמיכה חלוקת 20,294,511 שח'!G48)</f>
        <v>מכון לרבני ישובים (ע"ר)</v>
      </c>
      <c r="D76" s="284">
        <f>IF(C76="","",'מודל תמיכה חלוקת 20,294,511 שח'!J48)</f>
        <v>300000</v>
      </c>
      <c r="E76" s="284">
        <f>הגנה!AX76</f>
        <v>318392.38043120783</v>
      </c>
      <c r="F76" s="285">
        <f t="shared" si="7"/>
        <v>1</v>
      </c>
      <c r="G76" s="284">
        <f t="shared" si="8"/>
        <v>300000</v>
      </c>
      <c r="H76" s="284">
        <f t="shared" si="19"/>
        <v>300000</v>
      </c>
      <c r="I76" s="286">
        <f t="shared" si="9"/>
        <v>1</v>
      </c>
      <c r="J76" s="287">
        <f t="shared" si="10"/>
        <v>300000</v>
      </c>
      <c r="K76" s="287">
        <f t="shared" si="20"/>
        <v>300000</v>
      </c>
      <c r="L76" s="286">
        <f t="shared" si="11"/>
        <v>1</v>
      </c>
      <c r="M76" s="287">
        <f t="shared" si="12"/>
        <v>300000</v>
      </c>
      <c r="N76" s="287">
        <f t="shared" si="21"/>
        <v>300000</v>
      </c>
      <c r="O76" s="286">
        <f t="shared" si="13"/>
        <v>1</v>
      </c>
      <c r="P76" s="287">
        <f t="shared" si="14"/>
        <v>300000</v>
      </c>
      <c r="Q76" s="287">
        <f t="shared" si="22"/>
        <v>300000</v>
      </c>
      <c r="R76" s="286">
        <f t="shared" si="15"/>
        <v>1</v>
      </c>
      <c r="S76" s="287">
        <f t="shared" si="16"/>
        <v>300000</v>
      </c>
      <c r="T76" s="287">
        <f t="shared" si="23"/>
        <v>300000</v>
      </c>
      <c r="U76" s="288">
        <f t="shared" si="17"/>
        <v>300000</v>
      </c>
      <c r="V76" s="288"/>
      <c r="W76" s="288"/>
      <c r="X76" s="288"/>
      <c r="Y76" s="288"/>
      <c r="Z76" s="289">
        <f t="shared" si="24"/>
        <v>1.4782322175685824E-2</v>
      </c>
      <c r="AA76" s="274"/>
      <c r="AB76" s="274"/>
      <c r="AC76" s="290">
        <f t="shared" si="18"/>
        <v>1</v>
      </c>
    </row>
    <row r="77" spans="2:29" ht="15.75" x14ac:dyDescent="0.25">
      <c r="B77" s="282">
        <f t="shared" si="6"/>
        <v>47</v>
      </c>
      <c r="C77" s="283" t="str">
        <f>IF('מודל תמיכה חלוקת 20,294,511 שח'!G49="","",'מודל תמיכה חלוקת 20,294,511 שח'!G49)</f>
        <v>מכון מעליות (ע"ר)</v>
      </c>
      <c r="D77" s="284">
        <f>IF(C77="","",'מודל תמיכה חלוקת 20,294,511 שח'!J49)</f>
        <v>450000</v>
      </c>
      <c r="E77" s="284">
        <f>הגנה!AX77</f>
        <v>422215.98274573212</v>
      </c>
      <c r="F77" s="285">
        <f t="shared" si="7"/>
        <v>0</v>
      </c>
      <c r="G77" s="284">
        <f t="shared" si="8"/>
        <v>422215.98274573212</v>
      </c>
      <c r="H77" s="284">
        <f t="shared" si="19"/>
        <v>424454.91024312418</v>
      </c>
      <c r="I77" s="286">
        <f t="shared" si="9"/>
        <v>0</v>
      </c>
      <c r="J77" s="287">
        <f t="shared" si="10"/>
        <v>424454.91024312418</v>
      </c>
      <c r="K77" s="287">
        <f t="shared" si="20"/>
        <v>424454.91024312406</v>
      </c>
      <c r="L77" s="286">
        <f t="shared" si="11"/>
        <v>0</v>
      </c>
      <c r="M77" s="287">
        <f t="shared" si="12"/>
        <v>424454.91024312406</v>
      </c>
      <c r="N77" s="287">
        <f t="shared" si="21"/>
        <v>424454.91024312418</v>
      </c>
      <c r="O77" s="286">
        <f t="shared" si="13"/>
        <v>0</v>
      </c>
      <c r="P77" s="287">
        <f t="shared" si="14"/>
        <v>424454.91024312418</v>
      </c>
      <c r="Q77" s="287">
        <f t="shared" si="22"/>
        <v>424454.91024312412</v>
      </c>
      <c r="R77" s="286">
        <f t="shared" si="15"/>
        <v>0</v>
      </c>
      <c r="S77" s="287">
        <f t="shared" si="16"/>
        <v>424454.91024312412</v>
      </c>
      <c r="T77" s="287">
        <f t="shared" si="23"/>
        <v>424454.91024312418</v>
      </c>
      <c r="U77" s="288">
        <f t="shared" si="17"/>
        <v>424454.91024312418</v>
      </c>
      <c r="V77" s="288"/>
      <c r="W77" s="288"/>
      <c r="X77" s="288"/>
      <c r="Y77" s="288"/>
      <c r="Z77" s="289">
        <f t="shared" si="24"/>
        <v>2.0914764107552237E-2</v>
      </c>
      <c r="AA77" s="274"/>
      <c r="AB77" s="274"/>
      <c r="AC77" s="290">
        <f t="shared" si="18"/>
        <v>1</v>
      </c>
    </row>
    <row r="78" spans="2:29" ht="15.75" x14ac:dyDescent="0.25">
      <c r="B78" s="282">
        <f t="shared" si="6"/>
        <v>48</v>
      </c>
      <c r="C78" s="283" t="str">
        <f>IF('מודל תמיכה חלוקת 20,294,511 שח'!G50="","",'מודל תמיכה חלוקת 20,294,511 שח'!G50)</f>
        <v>מכון משפטי ארץ (ע"ר)</v>
      </c>
      <c r="D78" s="284">
        <f>IF(C78="","",'מודל תמיכה חלוקת 20,294,511 שח'!J50)</f>
        <v>450000</v>
      </c>
      <c r="E78" s="284">
        <f>הגנה!AX78</f>
        <v>346078.67438174761</v>
      </c>
      <c r="F78" s="285">
        <f t="shared" si="7"/>
        <v>0</v>
      </c>
      <c r="G78" s="284">
        <f t="shared" si="8"/>
        <v>346078.67438174761</v>
      </c>
      <c r="H78" s="284">
        <f t="shared" si="19"/>
        <v>347913.86085501977</v>
      </c>
      <c r="I78" s="286">
        <f t="shared" si="9"/>
        <v>0</v>
      </c>
      <c r="J78" s="287">
        <f t="shared" si="10"/>
        <v>347913.86085501977</v>
      </c>
      <c r="K78" s="287">
        <f t="shared" si="20"/>
        <v>347913.86085501965</v>
      </c>
      <c r="L78" s="286">
        <f t="shared" si="11"/>
        <v>0</v>
      </c>
      <c r="M78" s="287">
        <f t="shared" si="12"/>
        <v>347913.86085501965</v>
      </c>
      <c r="N78" s="287">
        <f t="shared" si="21"/>
        <v>347913.86085501971</v>
      </c>
      <c r="O78" s="286">
        <f t="shared" si="13"/>
        <v>0</v>
      </c>
      <c r="P78" s="287">
        <f t="shared" si="14"/>
        <v>347913.86085501971</v>
      </c>
      <c r="Q78" s="287">
        <f t="shared" si="22"/>
        <v>347913.86085501965</v>
      </c>
      <c r="R78" s="286">
        <f t="shared" si="15"/>
        <v>0</v>
      </c>
      <c r="S78" s="287">
        <f t="shared" si="16"/>
        <v>347913.86085501965</v>
      </c>
      <c r="T78" s="287">
        <f t="shared" si="23"/>
        <v>347913.86085501971</v>
      </c>
      <c r="U78" s="288">
        <f t="shared" si="17"/>
        <v>347913.86085501971</v>
      </c>
      <c r="V78" s="288"/>
      <c r="W78" s="288"/>
      <c r="X78" s="288"/>
      <c r="Y78" s="288"/>
      <c r="Z78" s="289">
        <f t="shared" si="24"/>
        <v>1.7143249268485435E-2</v>
      </c>
      <c r="AA78" s="274"/>
      <c r="AB78" s="274"/>
      <c r="AC78" s="290">
        <f t="shared" si="18"/>
        <v>1</v>
      </c>
    </row>
    <row r="79" spans="2:29" ht="15.75" x14ac:dyDescent="0.25">
      <c r="B79" s="282">
        <f t="shared" si="6"/>
        <v>49</v>
      </c>
      <c r="C79" s="283" t="str">
        <f>IF('מודל תמיכה חלוקת 20,294,511 שח'!G51="","",'מודל תמיכה חלוקת 20,294,511 שח'!G51)</f>
        <v>מכון פוע"ה - פוריות ורפואה עפ"י ההל</v>
      </c>
      <c r="D79" s="284">
        <f>IF(C79="","",'מודל תמיכה חלוקת 20,294,511 שח'!J51)</f>
        <v>540000</v>
      </c>
      <c r="E79" s="284">
        <f>הגנה!AX79</f>
        <v>250897.16756337986</v>
      </c>
      <c r="F79" s="285">
        <f t="shared" si="7"/>
        <v>0</v>
      </c>
      <c r="G79" s="284">
        <f t="shared" si="8"/>
        <v>250897.16756337986</v>
      </c>
      <c r="H79" s="284">
        <f t="shared" si="19"/>
        <v>252227.6254106228</v>
      </c>
      <c r="I79" s="286">
        <f t="shared" si="9"/>
        <v>0</v>
      </c>
      <c r="J79" s="287">
        <f t="shared" si="10"/>
        <v>252227.6254106228</v>
      </c>
      <c r="K79" s="287">
        <f t="shared" si="20"/>
        <v>252227.62541062271</v>
      </c>
      <c r="L79" s="286">
        <f t="shared" si="11"/>
        <v>0</v>
      </c>
      <c r="M79" s="287">
        <f t="shared" si="12"/>
        <v>252227.62541062271</v>
      </c>
      <c r="N79" s="287">
        <f t="shared" si="21"/>
        <v>252227.62541062274</v>
      </c>
      <c r="O79" s="286">
        <f t="shared" si="13"/>
        <v>0</v>
      </c>
      <c r="P79" s="287">
        <f t="shared" si="14"/>
        <v>252227.62541062274</v>
      </c>
      <c r="Q79" s="287">
        <f t="shared" si="22"/>
        <v>252227.62541062268</v>
      </c>
      <c r="R79" s="286">
        <f t="shared" si="15"/>
        <v>0</v>
      </c>
      <c r="S79" s="287">
        <f t="shared" si="16"/>
        <v>252227.62541062268</v>
      </c>
      <c r="T79" s="287">
        <f t="shared" si="23"/>
        <v>252227.62541062271</v>
      </c>
      <c r="U79" s="288">
        <f t="shared" si="17"/>
        <v>252227.62541062271</v>
      </c>
      <c r="V79" s="288"/>
      <c r="W79" s="288"/>
      <c r="X79" s="288"/>
      <c r="Y79" s="288"/>
      <c r="Z79" s="289">
        <f t="shared" si="24"/>
        <v>1.2428366734760084E-2</v>
      </c>
      <c r="AA79" s="274"/>
      <c r="AB79" s="274"/>
      <c r="AC79" s="290">
        <f t="shared" si="18"/>
        <v>1</v>
      </c>
    </row>
    <row r="80" spans="2:29" ht="15.75" x14ac:dyDescent="0.25">
      <c r="B80" s="282">
        <f t="shared" si="6"/>
        <v>50</v>
      </c>
      <c r="C80" s="283" t="str">
        <f>IF('מודל תמיכה חלוקת 20,294,511 שח'!G52="","",'מודל תמיכה חלוקת 20,294,511 שח'!G52)</f>
        <v>מכון שלמה אומן ז"ל (ע"ר)</v>
      </c>
      <c r="D80" s="284">
        <f>IF(C80="","",'מודל תמיכה חלוקת 20,294,511 שח'!J52)</f>
        <v>700000</v>
      </c>
      <c r="E80" s="284">
        <f>הגנה!AX80</f>
        <v>553725.87901079608</v>
      </c>
      <c r="F80" s="285">
        <f t="shared" si="7"/>
        <v>0</v>
      </c>
      <c r="G80" s="284">
        <f t="shared" si="8"/>
        <v>553725.87901079608</v>
      </c>
      <c r="H80" s="284">
        <f t="shared" si="19"/>
        <v>556662.17736803158</v>
      </c>
      <c r="I80" s="286">
        <f t="shared" si="9"/>
        <v>0</v>
      </c>
      <c r="J80" s="287">
        <f t="shared" si="10"/>
        <v>556662.17736803158</v>
      </c>
      <c r="K80" s="287">
        <f t="shared" si="20"/>
        <v>556662.17736803135</v>
      </c>
      <c r="L80" s="286">
        <f t="shared" si="11"/>
        <v>0</v>
      </c>
      <c r="M80" s="287">
        <f t="shared" si="12"/>
        <v>556662.17736803135</v>
      </c>
      <c r="N80" s="287">
        <f t="shared" si="21"/>
        <v>556662.17736803147</v>
      </c>
      <c r="O80" s="286">
        <f t="shared" si="13"/>
        <v>0</v>
      </c>
      <c r="P80" s="287">
        <f t="shared" si="14"/>
        <v>556662.17736803147</v>
      </c>
      <c r="Q80" s="287">
        <f t="shared" si="22"/>
        <v>556662.17736803135</v>
      </c>
      <c r="R80" s="286">
        <f t="shared" si="15"/>
        <v>0</v>
      </c>
      <c r="S80" s="287">
        <f t="shared" si="16"/>
        <v>556662.17736803135</v>
      </c>
      <c r="T80" s="287">
        <f t="shared" si="23"/>
        <v>556662.17736803147</v>
      </c>
      <c r="U80" s="288">
        <f t="shared" si="17"/>
        <v>556662.17736803147</v>
      </c>
      <c r="V80" s="288"/>
      <c r="W80" s="288"/>
      <c r="X80" s="288"/>
      <c r="Y80" s="288"/>
      <c r="Z80" s="289">
        <f t="shared" si="24"/>
        <v>2.742919882957669E-2</v>
      </c>
      <c r="AA80" s="274"/>
      <c r="AB80" s="274"/>
      <c r="AC80" s="290">
        <f t="shared" si="18"/>
        <v>1</v>
      </c>
    </row>
    <row r="81" spans="2:29" ht="15.75" x14ac:dyDescent="0.25">
      <c r="B81" s="282">
        <f t="shared" si="6"/>
        <v>51</v>
      </c>
      <c r="C81" s="283" t="str">
        <f>IF('מודל תמיכה חלוקת 20,294,511 שח'!G53="","",'מודל תמיכה חלוקת 20,294,511 שח'!G53)</f>
        <v>מכון שתילי זתים - לחקר מורשת תימן ע</v>
      </c>
      <c r="D81" s="284">
        <f>IF(C81="","",'מודל תמיכה חלוקת 20,294,511 שח'!J53)</f>
        <v>380000</v>
      </c>
      <c r="E81" s="284">
        <f>הגנה!AX81</f>
        <v>283784.51299303299</v>
      </c>
      <c r="F81" s="285">
        <f t="shared" si="7"/>
        <v>0</v>
      </c>
      <c r="G81" s="284">
        <f t="shared" si="8"/>
        <v>283784.51299303299</v>
      </c>
      <c r="H81" s="284">
        <f t="shared" si="19"/>
        <v>285289.36590111622</v>
      </c>
      <c r="I81" s="286">
        <f t="shared" si="9"/>
        <v>0</v>
      </c>
      <c r="J81" s="287">
        <f t="shared" si="10"/>
        <v>285289.36590111622</v>
      </c>
      <c r="K81" s="287">
        <f t="shared" si="20"/>
        <v>285289.36590111611</v>
      </c>
      <c r="L81" s="286">
        <f t="shared" si="11"/>
        <v>0</v>
      </c>
      <c r="M81" s="287">
        <f t="shared" si="12"/>
        <v>285289.36590111611</v>
      </c>
      <c r="N81" s="287">
        <f t="shared" si="21"/>
        <v>285289.36590111617</v>
      </c>
      <c r="O81" s="286">
        <f t="shared" si="13"/>
        <v>0</v>
      </c>
      <c r="P81" s="287">
        <f t="shared" si="14"/>
        <v>285289.36590111617</v>
      </c>
      <c r="Q81" s="287">
        <f t="shared" si="22"/>
        <v>285289.36590111611</v>
      </c>
      <c r="R81" s="286">
        <f t="shared" si="15"/>
        <v>0</v>
      </c>
      <c r="S81" s="287">
        <f t="shared" si="16"/>
        <v>285289.36590111611</v>
      </c>
      <c r="T81" s="287">
        <f t="shared" si="23"/>
        <v>285289.36590111617</v>
      </c>
      <c r="U81" s="288">
        <f t="shared" si="17"/>
        <v>285289.36590111617</v>
      </c>
      <c r="V81" s="288"/>
      <c r="W81" s="288"/>
      <c r="X81" s="288"/>
      <c r="Y81" s="288"/>
      <c r="Z81" s="289">
        <f t="shared" si="24"/>
        <v>1.4057464400158056E-2</v>
      </c>
      <c r="AA81" s="274"/>
      <c r="AB81" s="274"/>
      <c r="AC81" s="290">
        <f t="shared" si="18"/>
        <v>1</v>
      </c>
    </row>
    <row r="82" spans="2:29" ht="15.75" x14ac:dyDescent="0.25">
      <c r="B82" s="282">
        <f t="shared" si="6"/>
        <v>52</v>
      </c>
      <c r="C82" s="283" t="str">
        <f>IF('מודל תמיכה חלוקת 20,294,511 שח'!G54="","",'מודל תמיכה חלוקת 20,294,511 שח'!G54)</f>
        <v>מעמק חברון- מכון חקר תורני (ע"ר)</v>
      </c>
      <c r="D82" s="284">
        <f>IF(C82="","",'מודל תמיכה חלוקת 20,294,511 שח'!J54)</f>
        <v>200000</v>
      </c>
      <c r="E82" s="284">
        <f>הגנה!AX82</f>
        <v>131509.89626506408</v>
      </c>
      <c r="F82" s="285">
        <f t="shared" si="7"/>
        <v>0</v>
      </c>
      <c r="G82" s="284">
        <f t="shared" si="8"/>
        <v>131509.89626506408</v>
      </c>
      <c r="H82" s="284">
        <f t="shared" si="19"/>
        <v>132207.26712490752</v>
      </c>
      <c r="I82" s="286">
        <f t="shared" si="9"/>
        <v>0</v>
      </c>
      <c r="J82" s="287">
        <f t="shared" si="10"/>
        <v>132207.26712490752</v>
      </c>
      <c r="K82" s="287">
        <f t="shared" si="20"/>
        <v>132207.26712490749</v>
      </c>
      <c r="L82" s="286">
        <f t="shared" si="11"/>
        <v>0</v>
      </c>
      <c r="M82" s="287">
        <f t="shared" si="12"/>
        <v>132207.26712490749</v>
      </c>
      <c r="N82" s="287">
        <f t="shared" si="21"/>
        <v>132207.26712490752</v>
      </c>
      <c r="O82" s="286">
        <f t="shared" si="13"/>
        <v>0</v>
      </c>
      <c r="P82" s="287">
        <f t="shared" si="14"/>
        <v>132207.26712490752</v>
      </c>
      <c r="Q82" s="287">
        <f t="shared" si="22"/>
        <v>132207.26712490749</v>
      </c>
      <c r="R82" s="286">
        <f t="shared" si="15"/>
        <v>0</v>
      </c>
      <c r="S82" s="287">
        <f t="shared" si="16"/>
        <v>132207.26712490749</v>
      </c>
      <c r="T82" s="287">
        <f t="shared" si="23"/>
        <v>132207.26712490752</v>
      </c>
      <c r="U82" s="288">
        <f t="shared" si="17"/>
        <v>132207.26712490752</v>
      </c>
      <c r="V82" s="288"/>
      <c r="W82" s="288"/>
      <c r="X82" s="288"/>
      <c r="Y82" s="288"/>
      <c r="Z82" s="289">
        <f t="shared" si="24"/>
        <v>6.5144347220244666E-3</v>
      </c>
      <c r="AA82" s="274"/>
      <c r="AB82" s="274"/>
      <c r="AC82" s="290">
        <f t="shared" si="18"/>
        <v>1</v>
      </c>
    </row>
    <row r="83" spans="2:29" ht="15.75" x14ac:dyDescent="0.25">
      <c r="B83" s="282">
        <f t="shared" si="6"/>
        <v>53</v>
      </c>
      <c r="C83" s="283" t="str">
        <f>IF('מודל תמיכה חלוקת 20,294,511 שח'!G55="","",'מודל תמיכה חלוקת 20,294,511 שח'!G55)</f>
        <v>מרחבים - מרכז תורני ליהדות וחינוך (</v>
      </c>
      <c r="D83" s="284">
        <f>IF(C83="","",'מודל תמיכה חלוקת 20,294,511 שח'!J55)</f>
        <v>400000</v>
      </c>
      <c r="E83" s="284">
        <f>הגנה!AX83</f>
        <v>235333.49857958837</v>
      </c>
      <c r="F83" s="285">
        <f t="shared" si="7"/>
        <v>0</v>
      </c>
      <c r="G83" s="284">
        <f t="shared" si="8"/>
        <v>235333.49857958837</v>
      </c>
      <c r="H83" s="284">
        <f t="shared" si="19"/>
        <v>236581.42538141346</v>
      </c>
      <c r="I83" s="286">
        <f t="shared" si="9"/>
        <v>0</v>
      </c>
      <c r="J83" s="287">
        <f t="shared" si="10"/>
        <v>236581.42538141346</v>
      </c>
      <c r="K83" s="287">
        <f t="shared" si="20"/>
        <v>236581.42538141337</v>
      </c>
      <c r="L83" s="286">
        <f t="shared" si="11"/>
        <v>0</v>
      </c>
      <c r="M83" s="287">
        <f t="shared" si="12"/>
        <v>236581.42538141337</v>
      </c>
      <c r="N83" s="287">
        <f t="shared" si="21"/>
        <v>236581.42538141343</v>
      </c>
      <c r="O83" s="286">
        <f t="shared" si="13"/>
        <v>0</v>
      </c>
      <c r="P83" s="287">
        <f t="shared" si="14"/>
        <v>236581.42538141343</v>
      </c>
      <c r="Q83" s="287">
        <f t="shared" si="22"/>
        <v>236581.4253814134</v>
      </c>
      <c r="R83" s="286">
        <f t="shared" si="15"/>
        <v>0</v>
      </c>
      <c r="S83" s="287">
        <f t="shared" si="16"/>
        <v>236581.4253814134</v>
      </c>
      <c r="T83" s="287">
        <f t="shared" si="23"/>
        <v>236581.42538141346</v>
      </c>
      <c r="U83" s="288">
        <f t="shared" si="17"/>
        <v>236581.42538141346</v>
      </c>
      <c r="V83" s="288"/>
      <c r="W83" s="288"/>
      <c r="X83" s="288"/>
      <c r="Y83" s="288"/>
      <c r="Z83" s="289">
        <f t="shared" si="24"/>
        <v>1.1657409502570097E-2</v>
      </c>
      <c r="AA83" s="274"/>
      <c r="AB83" s="274"/>
      <c r="AC83" s="290">
        <f t="shared" si="18"/>
        <v>1</v>
      </c>
    </row>
    <row r="84" spans="2:29" ht="15.75" x14ac:dyDescent="0.25">
      <c r="B84" s="282">
        <f t="shared" si="6"/>
        <v>54</v>
      </c>
      <c r="C84" s="283" t="str">
        <f>IF('מודל תמיכה חלוקת 20,294,511 שח'!G56="","",'מודל תמיכה חלוקת 20,294,511 שח'!G56)</f>
        <v>מרכז להפצת תורה ויראה בנגב</v>
      </c>
      <c r="D84" s="284">
        <f>IF(C84="","",'מודל תמיכה חלוקת 20,294,511 שח'!J56)</f>
        <v>500000</v>
      </c>
      <c r="E84" s="284">
        <f>הגנה!AX84</f>
        <v>215887.56508186634</v>
      </c>
      <c r="F84" s="285">
        <f t="shared" si="7"/>
        <v>0</v>
      </c>
      <c r="G84" s="284">
        <f t="shared" si="8"/>
        <v>215887.56508186634</v>
      </c>
      <c r="H84" s="284">
        <f t="shared" si="19"/>
        <v>217032.37396063848</v>
      </c>
      <c r="I84" s="286">
        <f t="shared" si="9"/>
        <v>0</v>
      </c>
      <c r="J84" s="287">
        <f t="shared" si="10"/>
        <v>217032.37396063848</v>
      </c>
      <c r="K84" s="287">
        <f t="shared" si="20"/>
        <v>217032.37396063842</v>
      </c>
      <c r="L84" s="286">
        <f t="shared" si="11"/>
        <v>0</v>
      </c>
      <c r="M84" s="287">
        <f t="shared" si="12"/>
        <v>217032.37396063842</v>
      </c>
      <c r="N84" s="287">
        <f t="shared" si="21"/>
        <v>217032.37396063845</v>
      </c>
      <c r="O84" s="286">
        <f t="shared" si="13"/>
        <v>0</v>
      </c>
      <c r="P84" s="287">
        <f t="shared" si="14"/>
        <v>217032.37396063845</v>
      </c>
      <c r="Q84" s="287">
        <f t="shared" si="22"/>
        <v>217032.37396063842</v>
      </c>
      <c r="R84" s="286">
        <f t="shared" si="15"/>
        <v>0</v>
      </c>
      <c r="S84" s="287">
        <f t="shared" si="16"/>
        <v>217032.37396063842</v>
      </c>
      <c r="T84" s="287">
        <f t="shared" si="23"/>
        <v>217032.37396063845</v>
      </c>
      <c r="U84" s="288">
        <f t="shared" si="17"/>
        <v>217032.37396063845</v>
      </c>
      <c r="V84" s="288"/>
      <c r="W84" s="288"/>
      <c r="X84" s="288"/>
      <c r="Y84" s="288"/>
      <c r="Z84" s="289">
        <f t="shared" si="24"/>
        <v>1.0694141581466948E-2</v>
      </c>
      <c r="AA84" s="274"/>
      <c r="AB84" s="274"/>
      <c r="AC84" s="290">
        <f t="shared" si="18"/>
        <v>1</v>
      </c>
    </row>
    <row r="85" spans="2:29" ht="15.75" x14ac:dyDescent="0.25">
      <c r="B85" s="282">
        <f t="shared" si="6"/>
        <v>55</v>
      </c>
      <c r="C85" s="283" t="str">
        <f>IF('מודל תמיכה חלוקת 20,294,511 שח'!G57="","",'מודל תמיכה חלוקת 20,294,511 שח'!G57)</f>
        <v>מרכז מורשת הרב ניסים הראשון לציון ה</v>
      </c>
      <c r="D85" s="284">
        <f>IF(C85="","",'מודל תמיכה חלוקת 20,294,511 שח'!J57)</f>
        <v>800000</v>
      </c>
      <c r="E85" s="284">
        <f>הגנה!AX85</f>
        <v>311470.80694357271</v>
      </c>
      <c r="F85" s="285">
        <f t="shared" si="7"/>
        <v>0</v>
      </c>
      <c r="G85" s="284">
        <f t="shared" si="8"/>
        <v>311470.80694357271</v>
      </c>
      <c r="H85" s="284">
        <f t="shared" si="19"/>
        <v>313122.47476951772</v>
      </c>
      <c r="I85" s="286">
        <f t="shared" si="9"/>
        <v>0</v>
      </c>
      <c r="J85" s="287">
        <f t="shared" si="10"/>
        <v>313122.47476951772</v>
      </c>
      <c r="K85" s="287">
        <f t="shared" si="20"/>
        <v>313122.4747695176</v>
      </c>
      <c r="L85" s="286">
        <f t="shared" si="11"/>
        <v>0</v>
      </c>
      <c r="M85" s="287">
        <f t="shared" si="12"/>
        <v>313122.4747695176</v>
      </c>
      <c r="N85" s="287">
        <f t="shared" si="21"/>
        <v>313122.4747695176</v>
      </c>
      <c r="O85" s="286">
        <f t="shared" si="13"/>
        <v>0</v>
      </c>
      <c r="P85" s="287">
        <f t="shared" si="14"/>
        <v>313122.4747695176</v>
      </c>
      <c r="Q85" s="287">
        <f t="shared" si="22"/>
        <v>313122.47476951755</v>
      </c>
      <c r="R85" s="286">
        <f t="shared" si="15"/>
        <v>0</v>
      </c>
      <c r="S85" s="287">
        <f t="shared" si="16"/>
        <v>313122.47476951755</v>
      </c>
      <c r="T85" s="287">
        <f t="shared" si="23"/>
        <v>313122.4747695176</v>
      </c>
      <c r="U85" s="288">
        <f t="shared" si="17"/>
        <v>313122.4747695176</v>
      </c>
      <c r="V85" s="288"/>
      <c r="W85" s="288"/>
      <c r="X85" s="288"/>
      <c r="Y85" s="288"/>
      <c r="Z85" s="289">
        <f t="shared" si="24"/>
        <v>1.5428924341636884E-2</v>
      </c>
      <c r="AA85" s="274"/>
      <c r="AB85" s="274"/>
      <c r="AC85" s="290">
        <f t="shared" si="18"/>
        <v>1</v>
      </c>
    </row>
    <row r="86" spans="2:29" ht="15.75" x14ac:dyDescent="0.25">
      <c r="B86" s="282">
        <f t="shared" si="6"/>
        <v>56</v>
      </c>
      <c r="C86" s="283" t="str">
        <f>IF('מודל תמיכה חלוקת 20,294,511 שח'!G58="","",'מודל תמיכה חלוקת 20,294,511 שח'!G58)</f>
        <v>מתוקים מדבש - מאור מאיר (ע"ר)</v>
      </c>
      <c r="D86" s="284">
        <f>IF(C86="","",'מודל תמיכה חלוקת 20,294,511 שח'!J58)</f>
        <v>650000</v>
      </c>
      <c r="E86" s="284">
        <f>הגנה!AX86</f>
        <v>0</v>
      </c>
      <c r="F86" s="285">
        <f t="shared" si="7"/>
        <v>0</v>
      </c>
      <c r="G86" s="284">
        <f t="shared" si="8"/>
        <v>0</v>
      </c>
      <c r="H86" s="284">
        <f t="shared" si="19"/>
        <v>0</v>
      </c>
      <c r="I86" s="286">
        <f t="shared" si="9"/>
        <v>0</v>
      </c>
      <c r="J86" s="287">
        <f t="shared" si="10"/>
        <v>0</v>
      </c>
      <c r="K86" s="287">
        <f t="shared" si="20"/>
        <v>0</v>
      </c>
      <c r="L86" s="286">
        <f t="shared" si="11"/>
        <v>0</v>
      </c>
      <c r="M86" s="287">
        <f t="shared" si="12"/>
        <v>0</v>
      </c>
      <c r="N86" s="287">
        <f t="shared" si="21"/>
        <v>0</v>
      </c>
      <c r="O86" s="286">
        <f t="shared" si="13"/>
        <v>0</v>
      </c>
      <c r="P86" s="287">
        <f t="shared" si="14"/>
        <v>0</v>
      </c>
      <c r="Q86" s="287">
        <f t="shared" si="22"/>
        <v>0</v>
      </c>
      <c r="R86" s="286">
        <f t="shared" si="15"/>
        <v>0</v>
      </c>
      <c r="S86" s="287">
        <f t="shared" si="16"/>
        <v>0</v>
      </c>
      <c r="T86" s="287">
        <f t="shared" si="23"/>
        <v>0</v>
      </c>
      <c r="U86" s="288">
        <f t="shared" si="17"/>
        <v>0</v>
      </c>
      <c r="V86" s="288"/>
      <c r="W86" s="288"/>
      <c r="X86" s="288"/>
      <c r="Y86" s="288"/>
      <c r="Z86" s="289">
        <f t="shared" si="24"/>
        <v>0</v>
      </c>
      <c r="AA86" s="274"/>
      <c r="AB86" s="274"/>
      <c r="AC86" s="290">
        <f t="shared" si="18"/>
        <v>1</v>
      </c>
    </row>
    <row r="87" spans="2:29" ht="15.75" x14ac:dyDescent="0.25">
      <c r="B87" s="282">
        <f t="shared" si="6"/>
        <v>57</v>
      </c>
      <c r="C87" s="283" t="str">
        <f>IF('מודל תמיכה חלוקת 20,294,511 שח'!G59="","",'מודל תמיכה חלוקת 20,294,511 שח'!G59)</f>
        <v>סולמות - יהדות חינוך וחוויה (ע"ר)</v>
      </c>
      <c r="D87" s="284">
        <f>IF(C87="","",'מודל תמיכה חלוקת 20,294,511 שח'!J59)</f>
        <v>750000</v>
      </c>
      <c r="E87" s="284">
        <f>הגנה!AX87</f>
        <v>304549.23345593782</v>
      </c>
      <c r="F87" s="285">
        <f t="shared" si="7"/>
        <v>0</v>
      </c>
      <c r="G87" s="284">
        <f t="shared" si="8"/>
        <v>304549.23345593782</v>
      </c>
      <c r="H87" s="284">
        <f t="shared" si="19"/>
        <v>306164.1975524174</v>
      </c>
      <c r="I87" s="286">
        <f t="shared" si="9"/>
        <v>0</v>
      </c>
      <c r="J87" s="287">
        <f t="shared" si="10"/>
        <v>306164.1975524174</v>
      </c>
      <c r="K87" s="287">
        <f t="shared" si="20"/>
        <v>306164.19755241729</v>
      </c>
      <c r="L87" s="286">
        <f t="shared" si="11"/>
        <v>0</v>
      </c>
      <c r="M87" s="287">
        <f t="shared" si="12"/>
        <v>306164.19755241729</v>
      </c>
      <c r="N87" s="287">
        <f t="shared" si="21"/>
        <v>306164.1975524174</v>
      </c>
      <c r="O87" s="286">
        <f t="shared" si="13"/>
        <v>0</v>
      </c>
      <c r="P87" s="287">
        <f t="shared" si="14"/>
        <v>306164.1975524174</v>
      </c>
      <c r="Q87" s="287">
        <f t="shared" si="22"/>
        <v>306164.1975524174</v>
      </c>
      <c r="R87" s="286">
        <f t="shared" si="15"/>
        <v>0</v>
      </c>
      <c r="S87" s="287">
        <f t="shared" si="16"/>
        <v>306164.1975524174</v>
      </c>
      <c r="T87" s="287">
        <f t="shared" si="23"/>
        <v>306164.19755241746</v>
      </c>
      <c r="U87" s="288">
        <f t="shared" si="17"/>
        <v>306164.19755241746</v>
      </c>
      <c r="V87" s="288"/>
      <c r="W87" s="288"/>
      <c r="X87" s="288"/>
      <c r="Y87" s="288"/>
      <c r="Z87" s="289">
        <f t="shared" si="24"/>
        <v>1.5086059356267187E-2</v>
      </c>
      <c r="AA87" s="274"/>
      <c r="AB87" s="274"/>
      <c r="AC87" s="290">
        <f t="shared" si="18"/>
        <v>1</v>
      </c>
    </row>
    <row r="88" spans="2:29" ht="15.75" x14ac:dyDescent="0.25">
      <c r="B88" s="282">
        <f t="shared" si="6"/>
        <v>58</v>
      </c>
      <c r="C88" s="283" t="str">
        <f>IF('מודל תמיכה חלוקת 20,294,511 שח'!G60="","",'מודל תמיכה חלוקת 20,294,511 שח'!G60)</f>
        <v>עטרת ירושלים (ע"ר)</v>
      </c>
      <c r="D88" s="284">
        <f>IF(C88="","",'מודל תמיכה חלוקת 20,294,511 שח'!J60)</f>
        <v>518000</v>
      </c>
      <c r="E88" s="284">
        <f>הגנה!AX88</f>
        <v>228411.92509195337</v>
      </c>
      <c r="F88" s="285">
        <f t="shared" si="7"/>
        <v>0</v>
      </c>
      <c r="G88" s="284">
        <f t="shared" si="8"/>
        <v>228411.92509195337</v>
      </c>
      <c r="H88" s="284">
        <f t="shared" si="19"/>
        <v>229623.14816431302</v>
      </c>
      <c r="I88" s="286">
        <f t="shared" si="9"/>
        <v>0</v>
      </c>
      <c r="J88" s="287">
        <f t="shared" si="10"/>
        <v>229623.14816431302</v>
      </c>
      <c r="K88" s="287">
        <f t="shared" si="20"/>
        <v>229623.14816431294</v>
      </c>
      <c r="L88" s="286">
        <f t="shared" si="11"/>
        <v>0</v>
      </c>
      <c r="M88" s="287">
        <f t="shared" si="12"/>
        <v>229623.14816431294</v>
      </c>
      <c r="N88" s="287">
        <f t="shared" si="21"/>
        <v>229623.14816431297</v>
      </c>
      <c r="O88" s="286">
        <f t="shared" si="13"/>
        <v>0</v>
      </c>
      <c r="P88" s="287">
        <f t="shared" si="14"/>
        <v>229623.14816431297</v>
      </c>
      <c r="Q88" s="287">
        <f t="shared" si="22"/>
        <v>229623.14816431294</v>
      </c>
      <c r="R88" s="286">
        <f t="shared" si="15"/>
        <v>0</v>
      </c>
      <c r="S88" s="287">
        <f t="shared" si="16"/>
        <v>229623.14816431294</v>
      </c>
      <c r="T88" s="287">
        <f t="shared" si="23"/>
        <v>229623.14816431297</v>
      </c>
      <c r="U88" s="288">
        <f t="shared" si="17"/>
        <v>229623.14816431297</v>
      </c>
      <c r="V88" s="288"/>
      <c r="W88" s="288"/>
      <c r="X88" s="288"/>
      <c r="Y88" s="288"/>
      <c r="Z88" s="289">
        <f t="shared" si="24"/>
        <v>1.1314544517200384E-2</v>
      </c>
      <c r="AA88" s="274"/>
      <c r="AB88" s="274"/>
      <c r="AC88" s="290">
        <f t="shared" si="18"/>
        <v>1</v>
      </c>
    </row>
    <row r="89" spans="2:29" ht="15.75" x14ac:dyDescent="0.25">
      <c r="B89" s="282">
        <f t="shared" si="6"/>
        <v>59</v>
      </c>
      <c r="C89" s="283" t="str">
        <f>IF('מודל תמיכה חלוקת 20,294,511 שח'!G61="","",'מודל תמיכה חלוקת 20,294,511 שח'!G61)</f>
        <v>עמותת המכון הישראלי לפרסומים תלמודיים</v>
      </c>
      <c r="D89" s="284">
        <f>IF(C89="","",'מודל תמיכה חלוקת 20,294,511 שח'!J61)</f>
        <v>600000</v>
      </c>
      <c r="E89" s="284">
        <f>הגנה!AX89</f>
        <v>477588.57064681174</v>
      </c>
      <c r="F89" s="285">
        <f t="shared" si="7"/>
        <v>0</v>
      </c>
      <c r="G89" s="284">
        <f t="shared" si="8"/>
        <v>477588.57064681174</v>
      </c>
      <c r="H89" s="284">
        <f t="shared" si="19"/>
        <v>480121.12797992735</v>
      </c>
      <c r="I89" s="286">
        <f t="shared" si="9"/>
        <v>0</v>
      </c>
      <c r="J89" s="287">
        <f t="shared" si="10"/>
        <v>480121.12797992735</v>
      </c>
      <c r="K89" s="287">
        <f t="shared" si="20"/>
        <v>480121.12797992717</v>
      </c>
      <c r="L89" s="286">
        <f t="shared" si="11"/>
        <v>0</v>
      </c>
      <c r="M89" s="287">
        <f t="shared" si="12"/>
        <v>480121.12797992717</v>
      </c>
      <c r="N89" s="287">
        <f t="shared" si="21"/>
        <v>480121.12797992723</v>
      </c>
      <c r="O89" s="286">
        <f t="shared" si="13"/>
        <v>0</v>
      </c>
      <c r="P89" s="287">
        <f t="shared" si="14"/>
        <v>480121.12797992723</v>
      </c>
      <c r="Q89" s="287">
        <f t="shared" si="22"/>
        <v>480121.12797992717</v>
      </c>
      <c r="R89" s="286">
        <f t="shared" si="15"/>
        <v>0</v>
      </c>
      <c r="S89" s="287">
        <f t="shared" si="16"/>
        <v>480121.12797992717</v>
      </c>
      <c r="T89" s="287">
        <f t="shared" si="23"/>
        <v>480121.12797992723</v>
      </c>
      <c r="U89" s="288">
        <f t="shared" si="17"/>
        <v>480121.12797992723</v>
      </c>
      <c r="V89" s="288"/>
      <c r="W89" s="288"/>
      <c r="X89" s="288"/>
      <c r="Y89" s="288"/>
      <c r="Z89" s="289">
        <f t="shared" si="24"/>
        <v>2.3657683990509899E-2</v>
      </c>
      <c r="AA89" s="274"/>
      <c r="AB89" s="274"/>
      <c r="AC89" s="290">
        <f t="shared" si="18"/>
        <v>1</v>
      </c>
    </row>
    <row r="90" spans="2:29" ht="15.75" x14ac:dyDescent="0.25">
      <c r="B90" s="282">
        <f t="shared" si="6"/>
        <v>60</v>
      </c>
      <c r="C90" s="283" t="str">
        <f>IF('מודל תמיכה חלוקת 20,294,511 שח'!G62="","",'מודל תמיכה חלוקת 20,294,511 שח'!G62)</f>
        <v>צומת-צוותי מדע ותורה</v>
      </c>
      <c r="D90" s="284">
        <f>IF(C90="","",'מודל תמיכה חלוקת 20,294,511 שח'!J62)</f>
        <v>450000</v>
      </c>
      <c r="E90" s="284">
        <f>הגנה!AX90</f>
        <v>401451.26228282723</v>
      </c>
      <c r="F90" s="285">
        <f t="shared" si="7"/>
        <v>0</v>
      </c>
      <c r="G90" s="284">
        <f t="shared" si="8"/>
        <v>401451.26228282723</v>
      </c>
      <c r="H90" s="284">
        <f t="shared" si="19"/>
        <v>403580.078591823</v>
      </c>
      <c r="I90" s="286">
        <f t="shared" si="9"/>
        <v>0</v>
      </c>
      <c r="J90" s="287">
        <f t="shared" si="10"/>
        <v>403580.078591823</v>
      </c>
      <c r="K90" s="287">
        <f t="shared" si="20"/>
        <v>403580.07859182288</v>
      </c>
      <c r="L90" s="286">
        <f t="shared" si="11"/>
        <v>0</v>
      </c>
      <c r="M90" s="287">
        <f t="shared" si="12"/>
        <v>403580.07859182288</v>
      </c>
      <c r="N90" s="287">
        <f t="shared" si="21"/>
        <v>403580.07859182294</v>
      </c>
      <c r="O90" s="286">
        <f t="shared" si="13"/>
        <v>0</v>
      </c>
      <c r="P90" s="287">
        <f t="shared" si="14"/>
        <v>403580.07859182294</v>
      </c>
      <c r="Q90" s="287">
        <f t="shared" si="22"/>
        <v>403580.07859182288</v>
      </c>
      <c r="R90" s="286">
        <f t="shared" si="15"/>
        <v>0</v>
      </c>
      <c r="S90" s="287">
        <f t="shared" si="16"/>
        <v>403580.07859182288</v>
      </c>
      <c r="T90" s="287">
        <f t="shared" si="23"/>
        <v>403580.07859182294</v>
      </c>
      <c r="U90" s="288">
        <f t="shared" si="17"/>
        <v>403580.07859182294</v>
      </c>
      <c r="V90" s="288"/>
      <c r="W90" s="288"/>
      <c r="X90" s="288"/>
      <c r="Y90" s="288"/>
      <c r="Z90" s="289">
        <f t="shared" si="24"/>
        <v>1.9886169151443107E-2</v>
      </c>
      <c r="AA90" s="274"/>
      <c r="AB90" s="274"/>
      <c r="AC90" s="290">
        <f t="shared" si="18"/>
        <v>1</v>
      </c>
    </row>
    <row r="91" spans="2:29" ht="15.75" x14ac:dyDescent="0.25">
      <c r="B91" s="282">
        <f t="shared" si="6"/>
        <v>61</v>
      </c>
      <c r="C91" s="283" t="str">
        <f>IF('מודל תמיכה חלוקת 20,294,511 שח'!G63="","",'מודל תמיכה חלוקת 20,294,511 שח'!G63)</f>
        <v>קרן מורשת ספרד והמזרח (ע"ר)</v>
      </c>
      <c r="D91" s="284">
        <f>IF(C91="","",'מודל תמיכה חלוקת 20,294,511 שח'!J63)</f>
        <v>96800</v>
      </c>
      <c r="E91" s="284">
        <f>הגנה!AX91</f>
        <v>0</v>
      </c>
      <c r="F91" s="285">
        <f t="shared" si="7"/>
        <v>0</v>
      </c>
      <c r="G91" s="284">
        <f t="shared" si="8"/>
        <v>0</v>
      </c>
      <c r="H91" s="284">
        <f t="shared" si="19"/>
        <v>0</v>
      </c>
      <c r="I91" s="286">
        <f t="shared" si="9"/>
        <v>0</v>
      </c>
      <c r="J91" s="287">
        <f t="shared" si="10"/>
        <v>0</v>
      </c>
      <c r="K91" s="287">
        <f t="shared" si="20"/>
        <v>0</v>
      </c>
      <c r="L91" s="286">
        <f t="shared" si="11"/>
        <v>0</v>
      </c>
      <c r="M91" s="287">
        <f t="shared" si="12"/>
        <v>0</v>
      </c>
      <c r="N91" s="287">
        <f t="shared" si="21"/>
        <v>0</v>
      </c>
      <c r="O91" s="286">
        <f t="shared" si="13"/>
        <v>0</v>
      </c>
      <c r="P91" s="287">
        <f t="shared" si="14"/>
        <v>0</v>
      </c>
      <c r="Q91" s="287">
        <f t="shared" si="22"/>
        <v>0</v>
      </c>
      <c r="R91" s="286">
        <f t="shared" si="15"/>
        <v>0</v>
      </c>
      <c r="S91" s="287">
        <f t="shared" si="16"/>
        <v>0</v>
      </c>
      <c r="T91" s="287">
        <f t="shared" si="23"/>
        <v>0</v>
      </c>
      <c r="U91" s="288">
        <f t="shared" si="17"/>
        <v>0</v>
      </c>
      <c r="V91" s="288"/>
      <c r="W91" s="288"/>
      <c r="X91" s="288"/>
      <c r="Y91" s="288"/>
      <c r="Z91" s="289">
        <f t="shared" si="24"/>
        <v>0</v>
      </c>
      <c r="AA91" s="274"/>
      <c r="AB91" s="274"/>
      <c r="AC91" s="290">
        <f t="shared" si="18"/>
        <v>1</v>
      </c>
    </row>
    <row r="92" spans="2:29" ht="15.75" x14ac:dyDescent="0.25">
      <c r="B92" s="282">
        <f t="shared" si="6"/>
        <v>62</v>
      </c>
      <c r="C92" s="283" t="str">
        <f>IF('מודל תמיכה חלוקת 20,294,511 שח'!G64="","",'מודל תמיכה חלוקת 20,294,511 שח'!G64)</f>
        <v>רשת כוללים ומוסדות תורה בן מלך (ע"ר</v>
      </c>
      <c r="D92" s="284">
        <f>IF(C92="","",'מודל תמיכה חלוקת 20,294,511 שח'!J64)</f>
        <v>600000</v>
      </c>
      <c r="E92" s="284">
        <f>הגנה!AX92</f>
        <v>344253.95246364642</v>
      </c>
      <c r="F92" s="285">
        <f t="shared" si="7"/>
        <v>0</v>
      </c>
      <c r="G92" s="284">
        <f t="shared" si="8"/>
        <v>344253.95246364642</v>
      </c>
      <c r="H92" s="284">
        <f t="shared" si="19"/>
        <v>346079.46279900701</v>
      </c>
      <c r="I92" s="286">
        <f t="shared" si="9"/>
        <v>0</v>
      </c>
      <c r="J92" s="287">
        <f t="shared" si="10"/>
        <v>346079.46279900701</v>
      </c>
      <c r="K92" s="287">
        <f t="shared" si="20"/>
        <v>346079.4627990069</v>
      </c>
      <c r="L92" s="286">
        <f t="shared" si="11"/>
        <v>0</v>
      </c>
      <c r="M92" s="287">
        <f t="shared" si="12"/>
        <v>346079.4627990069</v>
      </c>
      <c r="N92" s="287">
        <f t="shared" si="21"/>
        <v>346079.46279900696</v>
      </c>
      <c r="O92" s="286">
        <f t="shared" si="13"/>
        <v>0</v>
      </c>
      <c r="P92" s="287">
        <f t="shared" si="14"/>
        <v>346079.46279900696</v>
      </c>
      <c r="Q92" s="287">
        <f t="shared" si="22"/>
        <v>346079.4627990069</v>
      </c>
      <c r="R92" s="286">
        <f t="shared" si="15"/>
        <v>0</v>
      </c>
      <c r="S92" s="287">
        <f t="shared" si="16"/>
        <v>346079.4627990069</v>
      </c>
      <c r="T92" s="287">
        <f t="shared" si="23"/>
        <v>346079.46279900696</v>
      </c>
      <c r="U92" s="288">
        <f t="shared" si="17"/>
        <v>346079.46279900696</v>
      </c>
      <c r="V92" s="288"/>
      <c r="W92" s="288"/>
      <c r="X92" s="288"/>
      <c r="Y92" s="288"/>
      <c r="Z92" s="289">
        <f t="shared" si="24"/>
        <v>1.705286039161066E-2</v>
      </c>
      <c r="AA92" s="274"/>
      <c r="AB92" s="274"/>
      <c r="AC92" s="290">
        <f t="shared" si="18"/>
        <v>1</v>
      </c>
    </row>
    <row r="93" spans="2:29" ht="15.75" x14ac:dyDescent="0.25">
      <c r="B93" s="282">
        <f t="shared" si="6"/>
        <v>63</v>
      </c>
      <c r="C93" s="283" t="str">
        <f>IF('מודל תמיכה חלוקת 20,294,511 שח'!G65="","",'מודל תמיכה חלוקת 20,294,511 שח'!G65)</f>
        <v>שערי ציון להפצת היהדות ברוח הציונות</v>
      </c>
      <c r="D93" s="284">
        <f>IF(C93="","",'מודל תמיכה חלוקת 20,294,511 שח'!J65)</f>
        <v>585000</v>
      </c>
      <c r="E93" s="284">
        <f>הגנה!AX93</f>
        <v>0</v>
      </c>
      <c r="F93" s="285">
        <f t="shared" si="7"/>
        <v>0</v>
      </c>
      <c r="G93" s="284">
        <f t="shared" si="8"/>
        <v>0</v>
      </c>
      <c r="H93" s="284">
        <f t="shared" si="19"/>
        <v>0</v>
      </c>
      <c r="I93" s="286">
        <f t="shared" si="9"/>
        <v>0</v>
      </c>
      <c r="J93" s="287">
        <f t="shared" si="10"/>
        <v>0</v>
      </c>
      <c r="K93" s="287">
        <f t="shared" si="20"/>
        <v>0</v>
      </c>
      <c r="L93" s="286">
        <f t="shared" si="11"/>
        <v>0</v>
      </c>
      <c r="M93" s="287">
        <f t="shared" si="12"/>
        <v>0</v>
      </c>
      <c r="N93" s="287">
        <f t="shared" si="21"/>
        <v>0</v>
      </c>
      <c r="O93" s="286">
        <f t="shared" si="13"/>
        <v>0</v>
      </c>
      <c r="P93" s="287">
        <f t="shared" si="14"/>
        <v>0</v>
      </c>
      <c r="Q93" s="287">
        <f t="shared" si="22"/>
        <v>0</v>
      </c>
      <c r="R93" s="286">
        <f t="shared" si="15"/>
        <v>0</v>
      </c>
      <c r="S93" s="287">
        <f t="shared" si="16"/>
        <v>0</v>
      </c>
      <c r="T93" s="287">
        <f t="shared" si="23"/>
        <v>0</v>
      </c>
      <c r="U93" s="288">
        <f t="shared" si="17"/>
        <v>0</v>
      </c>
      <c r="V93" s="288"/>
      <c r="W93" s="288"/>
      <c r="X93" s="288"/>
      <c r="Y93" s="288"/>
      <c r="Z93" s="289">
        <f t="shared" si="24"/>
        <v>0</v>
      </c>
      <c r="AA93" s="274"/>
      <c r="AB93" s="274"/>
      <c r="AC93" s="290">
        <f t="shared" si="18"/>
        <v>1</v>
      </c>
    </row>
    <row r="94" spans="2:29" ht="15.75" x14ac:dyDescent="0.25">
      <c r="B94" s="282">
        <f t="shared" si="6"/>
        <v>64</v>
      </c>
      <c r="C94" s="283" t="str">
        <f>IF('מודל תמיכה חלוקת 20,294,511 שח'!G66="","",'מודל תמיכה חלוקת 20,294,511 שח'!G66)</f>
        <v>תורה ומדינה - מכון מחקר (ע"ר) (לשעבר 'שיחת דקלים')</v>
      </c>
      <c r="D94" s="284">
        <f>IF(C94="","",'מודל תמיכה חלוקת 20,294,511 שח'!J66)</f>
        <v>400000</v>
      </c>
      <c r="E94" s="284">
        <f>הגנה!AX94</f>
        <v>304549.23345593782</v>
      </c>
      <c r="F94" s="285">
        <f t="shared" si="7"/>
        <v>0</v>
      </c>
      <c r="G94" s="284">
        <f t="shared" si="8"/>
        <v>304549.23345593782</v>
      </c>
      <c r="H94" s="284">
        <f t="shared" si="19"/>
        <v>306164.1975524174</v>
      </c>
      <c r="I94" s="286">
        <f t="shared" si="9"/>
        <v>0</v>
      </c>
      <c r="J94" s="287">
        <f t="shared" si="10"/>
        <v>306164.1975524174</v>
      </c>
      <c r="K94" s="287">
        <f t="shared" si="20"/>
        <v>306164.19755241729</v>
      </c>
      <c r="L94" s="286">
        <f t="shared" si="11"/>
        <v>0</v>
      </c>
      <c r="M94" s="287">
        <f t="shared" si="12"/>
        <v>306164.19755241729</v>
      </c>
      <c r="N94" s="287">
        <f t="shared" si="21"/>
        <v>306164.1975524174</v>
      </c>
      <c r="O94" s="286">
        <f t="shared" si="13"/>
        <v>0</v>
      </c>
      <c r="P94" s="287">
        <f t="shared" si="14"/>
        <v>306164.1975524174</v>
      </c>
      <c r="Q94" s="287">
        <f t="shared" si="22"/>
        <v>306164.1975524174</v>
      </c>
      <c r="R94" s="286">
        <f t="shared" si="15"/>
        <v>0</v>
      </c>
      <c r="S94" s="287">
        <f t="shared" si="16"/>
        <v>306164.1975524174</v>
      </c>
      <c r="T94" s="287">
        <f t="shared" si="23"/>
        <v>306164.19755241746</v>
      </c>
      <c r="U94" s="288">
        <f t="shared" si="17"/>
        <v>306164.19755241746</v>
      </c>
      <c r="V94" s="288"/>
      <c r="W94" s="288"/>
      <c r="X94" s="288"/>
      <c r="Y94" s="288"/>
      <c r="Z94" s="289">
        <f t="shared" si="24"/>
        <v>1.5086059356267187E-2</v>
      </c>
      <c r="AA94" s="274"/>
      <c r="AB94" s="274"/>
      <c r="AC94" s="290">
        <f t="shared" si="18"/>
        <v>1</v>
      </c>
    </row>
    <row r="95" spans="2:29" ht="15.75" x14ac:dyDescent="0.25">
      <c r="B95" s="282">
        <f t="shared" si="6"/>
        <v>65</v>
      </c>
      <c r="C95" s="283" t="str">
        <f>IF('מודל תמיכה חלוקת 20,294,511 שח'!G67="","",'מודל תמיכה חלוקת 20,294,511 שח'!G67)</f>
        <v>תורת חב"ד לבני הישיבות שעל ידי צעיר</v>
      </c>
      <c r="D95" s="284">
        <f>IF(C95="","",'מודל תמיכה חלוקת 20,294,511 שח'!J67)</f>
        <v>410000</v>
      </c>
      <c r="E95" s="284">
        <f>הגנה!AX95</f>
        <v>366843.3948446525</v>
      </c>
      <c r="F95" s="285">
        <f t="shared" si="7"/>
        <v>0</v>
      </c>
      <c r="G95" s="284">
        <f t="shared" si="8"/>
        <v>366843.3948446525</v>
      </c>
      <c r="H95" s="284">
        <f t="shared" ref="H95:H126" si="25">IF($C95="","",IF(F95=1,G95,G95/SUMIF(F$31:F$129,0,G$31:G$129)*($C$2-SUMIF(F$31:F$129,1,G$31:G$129))))</f>
        <v>368788.69250632107</v>
      </c>
      <c r="I95" s="286">
        <f t="shared" si="9"/>
        <v>0</v>
      </c>
      <c r="J95" s="287">
        <f t="shared" si="10"/>
        <v>368788.69250632107</v>
      </c>
      <c r="K95" s="287">
        <f t="shared" ref="K95:K126" si="26">IFERROR(IF($C95="","",IF(I95=1,J95,J95/SUMIF(I$31:I$129,0,J$31:J$129)*($C$2-SUMIF(I$31:I$129,1,J$31:J$129)))),0)</f>
        <v>368788.69250632089</v>
      </c>
      <c r="L95" s="286">
        <f t="shared" si="11"/>
        <v>0</v>
      </c>
      <c r="M95" s="287">
        <f t="shared" si="12"/>
        <v>368788.69250632089</v>
      </c>
      <c r="N95" s="287">
        <f t="shared" ref="N95:N126" si="27">IFERROR(IF($C95="","",IF(L95=1,M95,M95/SUMIF(L$31:L$129,0,M$31:M$129)*($C$2-SUMIF(L$31:L$129,1,M$31:M$129)))),0)</f>
        <v>368788.69250632095</v>
      </c>
      <c r="O95" s="286">
        <f t="shared" si="13"/>
        <v>0</v>
      </c>
      <c r="P95" s="287">
        <f t="shared" si="14"/>
        <v>368788.69250632095</v>
      </c>
      <c r="Q95" s="287">
        <f t="shared" ref="Q95:Q126" si="28">IFERROR(IF($C95="","",IF(O95=2,P95,IF(O95=1,P95,P95/SUMIF(O$31:O$129,0,P$31:P$129)*($C$2-SUMIF(O$31:O$129,1,P$31:P$129)-SUMIF(O$31:O$129,2,P$31:P$129))))),0)</f>
        <v>368788.69250632089</v>
      </c>
      <c r="R95" s="286">
        <f t="shared" si="15"/>
        <v>0</v>
      </c>
      <c r="S95" s="287">
        <f t="shared" si="16"/>
        <v>368788.69250632089</v>
      </c>
      <c r="T95" s="287">
        <f t="shared" ref="T95:T126" si="29">IFERROR(IF($C95="","",IF(R95=2,S95,IF(R95=1,S95,S95/SUMIF(R$31:R$129,0,S$31:S$129)*($C$2-SUMIF(R$31:R$129,1,S$31:S$129)-SUMIF(R$31:R$129,2,S$31:S$129))))),0)</f>
        <v>368788.69250632095</v>
      </c>
      <c r="U95" s="288">
        <f t="shared" si="17"/>
        <v>368788.69250632095</v>
      </c>
      <c r="V95" s="288"/>
      <c r="W95" s="288"/>
      <c r="X95" s="288"/>
      <c r="Y95" s="288"/>
      <c r="Z95" s="289">
        <f t="shared" ref="Z95:Z129" si="30">IF(C95="","",IFERROR(U95/SUMIF($U$31:$U$129,"&lt;&gt;#DIV/0!"),$AF$1))</f>
        <v>1.8171844224594561E-2</v>
      </c>
      <c r="AA95" s="274"/>
      <c r="AB95" s="274"/>
      <c r="AC95" s="290">
        <f t="shared" si="18"/>
        <v>1</v>
      </c>
    </row>
    <row r="96" spans="2:29" ht="15.75" x14ac:dyDescent="0.25">
      <c r="B96" s="282" t="str">
        <f t="shared" ref="B96:B129" si="31">IF(C96="","",ROW()-30)</f>
        <v/>
      </c>
      <c r="C96" s="283" t="str">
        <f>IF('מודל תמיכה חלוקת 20,294,511 שח'!G69="","",'מודל תמיכה חלוקת 20,294,511 שח'!G69)</f>
        <v/>
      </c>
      <c r="D96" s="284" t="str">
        <f>IF(C96="","",'מודל תמיכה חלוקת 20,294,511 שח'!J69)</f>
        <v/>
      </c>
      <c r="E96" s="284" t="str">
        <f>הגנה!AX96</f>
        <v/>
      </c>
      <c r="F96" s="285" t="str">
        <f t="shared" ref="F96:F129" si="32">IF(C96="","",IF(E96&gt;$D96,1,0))</f>
        <v/>
      </c>
      <c r="G96" s="284" t="str">
        <f t="shared" ref="G96:G129" si="33">IF($C96="","",MIN(D96:E96))</f>
        <v/>
      </c>
      <c r="H96" s="284" t="str">
        <f t="shared" si="25"/>
        <v/>
      </c>
      <c r="I96" s="286">
        <f t="shared" ref="I96:I129" si="34">IF(OR(H96&gt;$D96,$F96=1),1,0)</f>
        <v>0</v>
      </c>
      <c r="J96" s="287" t="str">
        <f t="shared" ref="J96:J129" si="35">IF($C96="","",MIN(H96,$D96))</f>
        <v/>
      </c>
      <c r="K96" s="287" t="str">
        <f t="shared" si="26"/>
        <v/>
      </c>
      <c r="L96" s="286">
        <f t="shared" ref="L96:L129" si="36">IF(OR(K96&gt;$D96,$F96=1,$I96=1),1,0)</f>
        <v>0</v>
      </c>
      <c r="M96" s="287" t="str">
        <f t="shared" ref="M96:M129" si="37">IF($C96="","",MIN(K96,$D96))</f>
        <v/>
      </c>
      <c r="N96" s="287" t="str">
        <f t="shared" si="27"/>
        <v/>
      </c>
      <c r="O96" s="286">
        <f t="shared" ref="O96:O129" si="38">IF(OR(N96&gt;$D96,$F96=1,$I96=1,$L96=1),1,0)</f>
        <v>0</v>
      </c>
      <c r="P96" s="287" t="str">
        <f t="shared" ref="P96:P129" si="39">IF($C96="","",MIN(N96,$D96))</f>
        <v/>
      </c>
      <c r="Q96" s="287" t="str">
        <f t="shared" si="28"/>
        <v/>
      </c>
      <c r="R96" s="286">
        <f t="shared" ref="R96:R129" si="40">IF(OR(Q96&gt;$D96,$F96=1,$I96=1,$L96=1,$O96=1),1,0)</f>
        <v>0</v>
      </c>
      <c r="S96" s="287" t="str">
        <f t="shared" ref="S96:S129" si="41">IF($C96="","",MIN(Q96,$D96))</f>
        <v/>
      </c>
      <c r="T96" s="287" t="str">
        <f t="shared" si="29"/>
        <v/>
      </c>
      <c r="U96" s="288" t="str">
        <f t="shared" ref="U96:U129" si="42">IF($C96="","",IF(AC96=0,$AF$1,IFERROR(T96,$AF$1)))</f>
        <v/>
      </c>
      <c r="V96" s="288"/>
      <c r="W96" s="288"/>
      <c r="X96" s="288"/>
      <c r="Y96" s="288"/>
      <c r="Z96" s="289" t="str">
        <f t="shared" si="30"/>
        <v/>
      </c>
      <c r="AA96" s="274"/>
      <c r="AB96" s="274"/>
      <c r="AC96" s="290">
        <f t="shared" ref="AC96:AC129" si="43">IF(OR(C96="",D96=""),0,IFERROR(IF(D96*1&gt;=0,1,0),0))</f>
        <v>0</v>
      </c>
    </row>
    <row r="97" spans="2:29" ht="15.75" x14ac:dyDescent="0.25">
      <c r="B97" s="282" t="str">
        <f t="shared" si="31"/>
        <v/>
      </c>
      <c r="C97" s="283" t="str">
        <f>IF('מודל תמיכה חלוקת 20,294,511 שח'!G70="","",'מודל תמיכה חלוקת 20,294,511 שח'!G70)</f>
        <v/>
      </c>
      <c r="D97" s="284" t="str">
        <f>IF(C97="","",'מודל תמיכה חלוקת 20,294,511 שח'!J70)</f>
        <v/>
      </c>
      <c r="E97" s="284" t="str">
        <f>הגנה!AX97</f>
        <v/>
      </c>
      <c r="F97" s="285" t="str">
        <f t="shared" si="32"/>
        <v/>
      </c>
      <c r="G97" s="284" t="str">
        <f t="shared" si="33"/>
        <v/>
      </c>
      <c r="H97" s="284" t="str">
        <f t="shared" si="25"/>
        <v/>
      </c>
      <c r="I97" s="286">
        <f t="shared" si="34"/>
        <v>0</v>
      </c>
      <c r="J97" s="287" t="str">
        <f t="shared" si="35"/>
        <v/>
      </c>
      <c r="K97" s="287" t="str">
        <f t="shared" si="26"/>
        <v/>
      </c>
      <c r="L97" s="286">
        <f t="shared" si="36"/>
        <v>0</v>
      </c>
      <c r="M97" s="287" t="str">
        <f t="shared" si="37"/>
        <v/>
      </c>
      <c r="N97" s="287" t="str">
        <f t="shared" si="27"/>
        <v/>
      </c>
      <c r="O97" s="286">
        <f t="shared" si="38"/>
        <v>0</v>
      </c>
      <c r="P97" s="287" t="str">
        <f t="shared" si="39"/>
        <v/>
      </c>
      <c r="Q97" s="287" t="str">
        <f t="shared" si="28"/>
        <v/>
      </c>
      <c r="R97" s="286">
        <f t="shared" si="40"/>
        <v>0</v>
      </c>
      <c r="S97" s="287" t="str">
        <f t="shared" si="41"/>
        <v/>
      </c>
      <c r="T97" s="287" t="str">
        <f t="shared" si="29"/>
        <v/>
      </c>
      <c r="U97" s="288" t="str">
        <f t="shared" si="42"/>
        <v/>
      </c>
      <c r="V97" s="288"/>
      <c r="W97" s="288"/>
      <c r="X97" s="288"/>
      <c r="Y97" s="288"/>
      <c r="Z97" s="289" t="str">
        <f t="shared" si="30"/>
        <v/>
      </c>
      <c r="AA97" s="274"/>
      <c r="AB97" s="274"/>
      <c r="AC97" s="290">
        <f t="shared" si="43"/>
        <v>0</v>
      </c>
    </row>
    <row r="98" spans="2:29" ht="15.75" x14ac:dyDescent="0.25">
      <c r="B98" s="282" t="str">
        <f t="shared" si="31"/>
        <v/>
      </c>
      <c r="C98" s="283" t="str">
        <f>IF('מודל תמיכה חלוקת 20,294,511 שח'!G71="","",'מודל תמיכה חלוקת 20,294,511 שח'!G71)</f>
        <v/>
      </c>
      <c r="D98" s="284" t="str">
        <f>IF(C98="","",'מודל תמיכה חלוקת 20,294,511 שח'!J71)</f>
        <v/>
      </c>
      <c r="E98" s="284" t="str">
        <f>הגנה!AX98</f>
        <v/>
      </c>
      <c r="F98" s="285" t="str">
        <f t="shared" si="32"/>
        <v/>
      </c>
      <c r="G98" s="284" t="str">
        <f t="shared" si="33"/>
        <v/>
      </c>
      <c r="H98" s="284" t="str">
        <f t="shared" si="25"/>
        <v/>
      </c>
      <c r="I98" s="286">
        <f t="shared" si="34"/>
        <v>0</v>
      </c>
      <c r="J98" s="287" t="str">
        <f t="shared" si="35"/>
        <v/>
      </c>
      <c r="K98" s="287" t="str">
        <f t="shared" si="26"/>
        <v/>
      </c>
      <c r="L98" s="286">
        <f t="shared" si="36"/>
        <v>0</v>
      </c>
      <c r="M98" s="287" t="str">
        <f t="shared" si="37"/>
        <v/>
      </c>
      <c r="N98" s="287" t="str">
        <f t="shared" si="27"/>
        <v/>
      </c>
      <c r="O98" s="286">
        <f t="shared" si="38"/>
        <v>0</v>
      </c>
      <c r="P98" s="287" t="str">
        <f t="shared" si="39"/>
        <v/>
      </c>
      <c r="Q98" s="287" t="str">
        <f t="shared" si="28"/>
        <v/>
      </c>
      <c r="R98" s="286">
        <f t="shared" si="40"/>
        <v>0</v>
      </c>
      <c r="S98" s="287" t="str">
        <f t="shared" si="41"/>
        <v/>
      </c>
      <c r="T98" s="287" t="str">
        <f t="shared" si="29"/>
        <v/>
      </c>
      <c r="U98" s="288" t="str">
        <f t="shared" si="42"/>
        <v/>
      </c>
      <c r="V98" s="288"/>
      <c r="W98" s="288"/>
      <c r="X98" s="288"/>
      <c r="Y98" s="288"/>
      <c r="Z98" s="289" t="str">
        <f t="shared" si="30"/>
        <v/>
      </c>
      <c r="AA98" s="274"/>
      <c r="AB98" s="274"/>
      <c r="AC98" s="290">
        <f t="shared" si="43"/>
        <v>0</v>
      </c>
    </row>
    <row r="99" spans="2:29" ht="15.75" x14ac:dyDescent="0.25">
      <c r="B99" s="282" t="str">
        <f t="shared" si="31"/>
        <v/>
      </c>
      <c r="C99" s="283" t="str">
        <f>IF('מודל תמיכה חלוקת 20,294,511 שח'!G72="","",'מודל תמיכה חלוקת 20,294,511 שח'!G72)</f>
        <v/>
      </c>
      <c r="D99" s="284" t="str">
        <f>IF(C99="","",'מודל תמיכה חלוקת 20,294,511 שח'!J72)</f>
        <v/>
      </c>
      <c r="E99" s="284" t="str">
        <f>הגנה!AX99</f>
        <v/>
      </c>
      <c r="F99" s="285" t="str">
        <f t="shared" si="32"/>
        <v/>
      </c>
      <c r="G99" s="284" t="str">
        <f t="shared" si="33"/>
        <v/>
      </c>
      <c r="H99" s="284" t="str">
        <f t="shared" si="25"/>
        <v/>
      </c>
      <c r="I99" s="286">
        <f t="shared" si="34"/>
        <v>0</v>
      </c>
      <c r="J99" s="287" t="str">
        <f t="shared" si="35"/>
        <v/>
      </c>
      <c r="K99" s="287" t="str">
        <f t="shared" si="26"/>
        <v/>
      </c>
      <c r="L99" s="286">
        <f t="shared" si="36"/>
        <v>0</v>
      </c>
      <c r="M99" s="287" t="str">
        <f t="shared" si="37"/>
        <v/>
      </c>
      <c r="N99" s="287" t="str">
        <f t="shared" si="27"/>
        <v/>
      </c>
      <c r="O99" s="286">
        <f t="shared" si="38"/>
        <v>0</v>
      </c>
      <c r="P99" s="287" t="str">
        <f t="shared" si="39"/>
        <v/>
      </c>
      <c r="Q99" s="287" t="str">
        <f t="shared" si="28"/>
        <v/>
      </c>
      <c r="R99" s="286">
        <f t="shared" si="40"/>
        <v>0</v>
      </c>
      <c r="S99" s="287" t="str">
        <f t="shared" si="41"/>
        <v/>
      </c>
      <c r="T99" s="287" t="str">
        <f t="shared" si="29"/>
        <v/>
      </c>
      <c r="U99" s="288" t="str">
        <f t="shared" si="42"/>
        <v/>
      </c>
      <c r="V99" s="288"/>
      <c r="W99" s="288"/>
      <c r="X99" s="288"/>
      <c r="Y99" s="288"/>
      <c r="Z99" s="289" t="str">
        <f t="shared" si="30"/>
        <v/>
      </c>
      <c r="AA99" s="274"/>
      <c r="AB99" s="274"/>
      <c r="AC99" s="290">
        <f t="shared" si="43"/>
        <v>0</v>
      </c>
    </row>
    <row r="100" spans="2:29" ht="15.75" x14ac:dyDescent="0.25">
      <c r="B100" s="282" t="str">
        <f t="shared" si="31"/>
        <v/>
      </c>
      <c r="C100" s="283" t="str">
        <f>IF('מודל תמיכה חלוקת 20,294,511 שח'!G73="","",'מודל תמיכה חלוקת 20,294,511 שח'!G73)</f>
        <v/>
      </c>
      <c r="D100" s="284" t="str">
        <f>IF(C100="","",'מודל תמיכה חלוקת 20,294,511 שח'!J73)</f>
        <v/>
      </c>
      <c r="E100" s="284" t="str">
        <f>הגנה!AX100</f>
        <v/>
      </c>
      <c r="F100" s="285" t="str">
        <f t="shared" si="32"/>
        <v/>
      </c>
      <c r="G100" s="284" t="str">
        <f t="shared" si="33"/>
        <v/>
      </c>
      <c r="H100" s="284" t="str">
        <f t="shared" si="25"/>
        <v/>
      </c>
      <c r="I100" s="286">
        <f t="shared" si="34"/>
        <v>0</v>
      </c>
      <c r="J100" s="287" t="str">
        <f t="shared" si="35"/>
        <v/>
      </c>
      <c r="K100" s="287" t="str">
        <f t="shared" si="26"/>
        <v/>
      </c>
      <c r="L100" s="286">
        <f t="shared" si="36"/>
        <v>0</v>
      </c>
      <c r="M100" s="287" t="str">
        <f t="shared" si="37"/>
        <v/>
      </c>
      <c r="N100" s="287" t="str">
        <f t="shared" si="27"/>
        <v/>
      </c>
      <c r="O100" s="286">
        <f t="shared" si="38"/>
        <v>0</v>
      </c>
      <c r="P100" s="287" t="str">
        <f t="shared" si="39"/>
        <v/>
      </c>
      <c r="Q100" s="287" t="str">
        <f t="shared" si="28"/>
        <v/>
      </c>
      <c r="R100" s="286">
        <f t="shared" si="40"/>
        <v>0</v>
      </c>
      <c r="S100" s="287" t="str">
        <f t="shared" si="41"/>
        <v/>
      </c>
      <c r="T100" s="287" t="str">
        <f t="shared" si="29"/>
        <v/>
      </c>
      <c r="U100" s="288" t="str">
        <f t="shared" si="42"/>
        <v/>
      </c>
      <c r="V100" s="288"/>
      <c r="W100" s="288"/>
      <c r="X100" s="288"/>
      <c r="Y100" s="288"/>
      <c r="Z100" s="289" t="str">
        <f t="shared" si="30"/>
        <v/>
      </c>
      <c r="AA100" s="274"/>
      <c r="AB100" s="274"/>
      <c r="AC100" s="290">
        <f t="shared" si="43"/>
        <v>0</v>
      </c>
    </row>
    <row r="101" spans="2:29" ht="15.75" x14ac:dyDescent="0.25">
      <c r="B101" s="282" t="str">
        <f t="shared" si="31"/>
        <v/>
      </c>
      <c r="C101" s="283" t="str">
        <f>IF('מודל תמיכה חלוקת 20,294,511 שח'!G74="","",'מודל תמיכה חלוקת 20,294,511 שח'!G74)</f>
        <v/>
      </c>
      <c r="D101" s="284" t="str">
        <f>IF(C101="","",'מודל תמיכה חלוקת 20,294,511 שח'!J74)</f>
        <v/>
      </c>
      <c r="E101" s="284" t="str">
        <f>הגנה!AX101</f>
        <v/>
      </c>
      <c r="F101" s="285" t="str">
        <f t="shared" si="32"/>
        <v/>
      </c>
      <c r="G101" s="284" t="str">
        <f t="shared" si="33"/>
        <v/>
      </c>
      <c r="H101" s="284" t="str">
        <f t="shared" si="25"/>
        <v/>
      </c>
      <c r="I101" s="286">
        <f t="shared" si="34"/>
        <v>0</v>
      </c>
      <c r="J101" s="287" t="str">
        <f t="shared" si="35"/>
        <v/>
      </c>
      <c r="K101" s="287" t="str">
        <f t="shared" si="26"/>
        <v/>
      </c>
      <c r="L101" s="286">
        <f t="shared" si="36"/>
        <v>0</v>
      </c>
      <c r="M101" s="287" t="str">
        <f t="shared" si="37"/>
        <v/>
      </c>
      <c r="N101" s="287" t="str">
        <f t="shared" si="27"/>
        <v/>
      </c>
      <c r="O101" s="286">
        <f t="shared" si="38"/>
        <v>0</v>
      </c>
      <c r="P101" s="287" t="str">
        <f t="shared" si="39"/>
        <v/>
      </c>
      <c r="Q101" s="287" t="str">
        <f t="shared" si="28"/>
        <v/>
      </c>
      <c r="R101" s="286">
        <f t="shared" si="40"/>
        <v>0</v>
      </c>
      <c r="S101" s="287" t="str">
        <f t="shared" si="41"/>
        <v/>
      </c>
      <c r="T101" s="287" t="str">
        <f t="shared" si="29"/>
        <v/>
      </c>
      <c r="U101" s="288" t="str">
        <f t="shared" si="42"/>
        <v/>
      </c>
      <c r="V101" s="288"/>
      <c r="W101" s="288"/>
      <c r="X101" s="288"/>
      <c r="Y101" s="288"/>
      <c r="Z101" s="289" t="str">
        <f t="shared" si="30"/>
        <v/>
      </c>
      <c r="AA101" s="274"/>
      <c r="AB101" s="274"/>
      <c r="AC101" s="290">
        <f t="shared" si="43"/>
        <v>0</v>
      </c>
    </row>
    <row r="102" spans="2:29" ht="15.75" x14ac:dyDescent="0.25">
      <c r="B102" s="282" t="str">
        <f t="shared" si="31"/>
        <v/>
      </c>
      <c r="C102" s="283" t="str">
        <f>IF('מודל תמיכה חלוקת 20,294,511 שח'!G75="","",'מודל תמיכה חלוקת 20,294,511 שח'!G75)</f>
        <v/>
      </c>
      <c r="D102" s="284" t="str">
        <f>IF(C102="","",'מודל תמיכה חלוקת 20,294,511 שח'!J75)</f>
        <v/>
      </c>
      <c r="E102" s="284" t="str">
        <f>הגנה!AX102</f>
        <v/>
      </c>
      <c r="F102" s="285" t="str">
        <f t="shared" si="32"/>
        <v/>
      </c>
      <c r="G102" s="284" t="str">
        <f t="shared" si="33"/>
        <v/>
      </c>
      <c r="H102" s="284" t="str">
        <f t="shared" si="25"/>
        <v/>
      </c>
      <c r="I102" s="286">
        <f t="shared" si="34"/>
        <v>0</v>
      </c>
      <c r="J102" s="287" t="str">
        <f t="shared" si="35"/>
        <v/>
      </c>
      <c r="K102" s="287" t="str">
        <f t="shared" si="26"/>
        <v/>
      </c>
      <c r="L102" s="286">
        <f t="shared" si="36"/>
        <v>0</v>
      </c>
      <c r="M102" s="287" t="str">
        <f t="shared" si="37"/>
        <v/>
      </c>
      <c r="N102" s="287" t="str">
        <f t="shared" si="27"/>
        <v/>
      </c>
      <c r="O102" s="286">
        <f t="shared" si="38"/>
        <v>0</v>
      </c>
      <c r="P102" s="287" t="str">
        <f t="shared" si="39"/>
        <v/>
      </c>
      <c r="Q102" s="287" t="str">
        <f t="shared" si="28"/>
        <v/>
      </c>
      <c r="R102" s="286">
        <f t="shared" si="40"/>
        <v>0</v>
      </c>
      <c r="S102" s="287" t="str">
        <f t="shared" si="41"/>
        <v/>
      </c>
      <c r="T102" s="287" t="str">
        <f t="shared" si="29"/>
        <v/>
      </c>
      <c r="U102" s="288" t="str">
        <f t="shared" si="42"/>
        <v/>
      </c>
      <c r="V102" s="288"/>
      <c r="W102" s="288"/>
      <c r="X102" s="288"/>
      <c r="Y102" s="288"/>
      <c r="Z102" s="289" t="str">
        <f t="shared" si="30"/>
        <v/>
      </c>
      <c r="AA102" s="274"/>
      <c r="AB102" s="274"/>
      <c r="AC102" s="290">
        <f t="shared" si="43"/>
        <v>0</v>
      </c>
    </row>
    <row r="103" spans="2:29" ht="15.75" x14ac:dyDescent="0.25">
      <c r="B103" s="282" t="str">
        <f t="shared" si="31"/>
        <v/>
      </c>
      <c r="C103" s="283" t="str">
        <f>IF('מודל תמיכה חלוקת 20,294,511 שח'!G76="","",'מודל תמיכה חלוקת 20,294,511 שח'!G76)</f>
        <v/>
      </c>
      <c r="D103" s="284" t="str">
        <f>IF(C103="","",'מודל תמיכה חלוקת 20,294,511 שח'!J76)</f>
        <v/>
      </c>
      <c r="E103" s="284" t="str">
        <f>הגנה!AX103</f>
        <v/>
      </c>
      <c r="F103" s="285" t="str">
        <f t="shared" si="32"/>
        <v/>
      </c>
      <c r="G103" s="284" t="str">
        <f t="shared" si="33"/>
        <v/>
      </c>
      <c r="H103" s="284" t="str">
        <f t="shared" si="25"/>
        <v/>
      </c>
      <c r="I103" s="286">
        <f t="shared" si="34"/>
        <v>0</v>
      </c>
      <c r="J103" s="287" t="str">
        <f t="shared" si="35"/>
        <v/>
      </c>
      <c r="K103" s="287" t="str">
        <f t="shared" si="26"/>
        <v/>
      </c>
      <c r="L103" s="286">
        <f t="shared" si="36"/>
        <v>0</v>
      </c>
      <c r="M103" s="287" t="str">
        <f t="shared" si="37"/>
        <v/>
      </c>
      <c r="N103" s="287" t="str">
        <f t="shared" si="27"/>
        <v/>
      </c>
      <c r="O103" s="286">
        <f t="shared" si="38"/>
        <v>0</v>
      </c>
      <c r="P103" s="287" t="str">
        <f t="shared" si="39"/>
        <v/>
      </c>
      <c r="Q103" s="287" t="str">
        <f t="shared" si="28"/>
        <v/>
      </c>
      <c r="R103" s="286">
        <f t="shared" si="40"/>
        <v>0</v>
      </c>
      <c r="S103" s="287" t="str">
        <f t="shared" si="41"/>
        <v/>
      </c>
      <c r="T103" s="287" t="str">
        <f t="shared" si="29"/>
        <v/>
      </c>
      <c r="U103" s="288" t="str">
        <f t="shared" si="42"/>
        <v/>
      </c>
      <c r="V103" s="288"/>
      <c r="W103" s="288"/>
      <c r="X103" s="288"/>
      <c r="Y103" s="288"/>
      <c r="Z103" s="289" t="str">
        <f t="shared" si="30"/>
        <v/>
      </c>
      <c r="AA103" s="274"/>
      <c r="AB103" s="274"/>
      <c r="AC103" s="290">
        <f t="shared" si="43"/>
        <v>0</v>
      </c>
    </row>
    <row r="104" spans="2:29" ht="15.75" x14ac:dyDescent="0.25">
      <c r="B104" s="282" t="str">
        <f t="shared" si="31"/>
        <v/>
      </c>
      <c r="C104" s="283" t="str">
        <f>IF('מודל תמיכה חלוקת 20,294,511 שח'!G77="","",'מודל תמיכה חלוקת 20,294,511 שח'!G77)</f>
        <v/>
      </c>
      <c r="D104" s="284" t="str">
        <f>IF(C104="","",'מודל תמיכה חלוקת 20,294,511 שח'!J77)</f>
        <v/>
      </c>
      <c r="E104" s="284" t="str">
        <f>הגנה!AX104</f>
        <v/>
      </c>
      <c r="F104" s="285" t="str">
        <f t="shared" si="32"/>
        <v/>
      </c>
      <c r="G104" s="284" t="str">
        <f t="shared" si="33"/>
        <v/>
      </c>
      <c r="H104" s="284" t="str">
        <f t="shared" si="25"/>
        <v/>
      </c>
      <c r="I104" s="286">
        <f t="shared" si="34"/>
        <v>0</v>
      </c>
      <c r="J104" s="287" t="str">
        <f t="shared" si="35"/>
        <v/>
      </c>
      <c r="K104" s="287" t="str">
        <f t="shared" si="26"/>
        <v/>
      </c>
      <c r="L104" s="286">
        <f t="shared" si="36"/>
        <v>0</v>
      </c>
      <c r="M104" s="287" t="str">
        <f t="shared" si="37"/>
        <v/>
      </c>
      <c r="N104" s="287" t="str">
        <f t="shared" si="27"/>
        <v/>
      </c>
      <c r="O104" s="286">
        <f t="shared" si="38"/>
        <v>0</v>
      </c>
      <c r="P104" s="287" t="str">
        <f t="shared" si="39"/>
        <v/>
      </c>
      <c r="Q104" s="287" t="str">
        <f t="shared" si="28"/>
        <v/>
      </c>
      <c r="R104" s="286">
        <f t="shared" si="40"/>
        <v>0</v>
      </c>
      <c r="S104" s="287" t="str">
        <f t="shared" si="41"/>
        <v/>
      </c>
      <c r="T104" s="287" t="str">
        <f t="shared" si="29"/>
        <v/>
      </c>
      <c r="U104" s="288" t="str">
        <f t="shared" si="42"/>
        <v/>
      </c>
      <c r="V104" s="288"/>
      <c r="W104" s="288"/>
      <c r="X104" s="288"/>
      <c r="Y104" s="288"/>
      <c r="Z104" s="289" t="str">
        <f t="shared" si="30"/>
        <v/>
      </c>
      <c r="AA104" s="274"/>
      <c r="AB104" s="274"/>
      <c r="AC104" s="290">
        <f t="shared" si="43"/>
        <v>0</v>
      </c>
    </row>
    <row r="105" spans="2:29" ht="15.75" x14ac:dyDescent="0.25">
      <c r="B105" s="282" t="str">
        <f t="shared" si="31"/>
        <v/>
      </c>
      <c r="C105" s="283" t="str">
        <f>IF('מודל תמיכה חלוקת 20,294,511 שח'!G78="","",'מודל תמיכה חלוקת 20,294,511 שח'!G78)</f>
        <v/>
      </c>
      <c r="D105" s="284" t="str">
        <f>IF(C105="","",'מודל תמיכה חלוקת 20,294,511 שח'!J78)</f>
        <v/>
      </c>
      <c r="E105" s="284" t="str">
        <f>הגנה!AX105</f>
        <v/>
      </c>
      <c r="F105" s="285" t="str">
        <f t="shared" si="32"/>
        <v/>
      </c>
      <c r="G105" s="284" t="str">
        <f t="shared" si="33"/>
        <v/>
      </c>
      <c r="H105" s="284" t="str">
        <f t="shared" si="25"/>
        <v/>
      </c>
      <c r="I105" s="286">
        <f t="shared" si="34"/>
        <v>0</v>
      </c>
      <c r="J105" s="287" t="str">
        <f t="shared" si="35"/>
        <v/>
      </c>
      <c r="K105" s="287" t="str">
        <f t="shared" si="26"/>
        <v/>
      </c>
      <c r="L105" s="286">
        <f t="shared" si="36"/>
        <v>0</v>
      </c>
      <c r="M105" s="287" t="str">
        <f t="shared" si="37"/>
        <v/>
      </c>
      <c r="N105" s="287" t="str">
        <f t="shared" si="27"/>
        <v/>
      </c>
      <c r="O105" s="286">
        <f t="shared" si="38"/>
        <v>0</v>
      </c>
      <c r="P105" s="287" t="str">
        <f t="shared" si="39"/>
        <v/>
      </c>
      <c r="Q105" s="287" t="str">
        <f t="shared" si="28"/>
        <v/>
      </c>
      <c r="R105" s="286">
        <f t="shared" si="40"/>
        <v>0</v>
      </c>
      <c r="S105" s="287" t="str">
        <f t="shared" si="41"/>
        <v/>
      </c>
      <c r="T105" s="287" t="str">
        <f t="shared" si="29"/>
        <v/>
      </c>
      <c r="U105" s="288" t="str">
        <f t="shared" si="42"/>
        <v/>
      </c>
      <c r="V105" s="288"/>
      <c r="W105" s="288"/>
      <c r="X105" s="288"/>
      <c r="Y105" s="288"/>
      <c r="Z105" s="289" t="str">
        <f t="shared" si="30"/>
        <v/>
      </c>
      <c r="AA105" s="274"/>
      <c r="AB105" s="274"/>
      <c r="AC105" s="290">
        <f t="shared" si="43"/>
        <v>0</v>
      </c>
    </row>
    <row r="106" spans="2:29" ht="15.75" x14ac:dyDescent="0.25">
      <c r="B106" s="282" t="str">
        <f t="shared" si="31"/>
        <v/>
      </c>
      <c r="C106" s="283" t="str">
        <f>IF('מודל תמיכה חלוקת 20,294,511 שח'!G79="","",'מודל תמיכה חלוקת 20,294,511 שח'!G79)</f>
        <v/>
      </c>
      <c r="D106" s="284" t="str">
        <f>IF(C106="","",'מודל תמיכה חלוקת 20,294,511 שח'!J79)</f>
        <v/>
      </c>
      <c r="E106" s="284" t="str">
        <f>הגנה!AX106</f>
        <v/>
      </c>
      <c r="F106" s="285" t="str">
        <f t="shared" si="32"/>
        <v/>
      </c>
      <c r="G106" s="284" t="str">
        <f t="shared" si="33"/>
        <v/>
      </c>
      <c r="H106" s="284" t="str">
        <f t="shared" si="25"/>
        <v/>
      </c>
      <c r="I106" s="286">
        <f t="shared" si="34"/>
        <v>0</v>
      </c>
      <c r="J106" s="287" t="str">
        <f t="shared" si="35"/>
        <v/>
      </c>
      <c r="K106" s="287" t="str">
        <f t="shared" si="26"/>
        <v/>
      </c>
      <c r="L106" s="286">
        <f t="shared" si="36"/>
        <v>0</v>
      </c>
      <c r="M106" s="287" t="str">
        <f t="shared" si="37"/>
        <v/>
      </c>
      <c r="N106" s="287" t="str">
        <f t="shared" si="27"/>
        <v/>
      </c>
      <c r="O106" s="286">
        <f t="shared" si="38"/>
        <v>0</v>
      </c>
      <c r="P106" s="287" t="str">
        <f t="shared" si="39"/>
        <v/>
      </c>
      <c r="Q106" s="287" t="str">
        <f t="shared" si="28"/>
        <v/>
      </c>
      <c r="R106" s="286">
        <f t="shared" si="40"/>
        <v>0</v>
      </c>
      <c r="S106" s="287" t="str">
        <f t="shared" si="41"/>
        <v/>
      </c>
      <c r="T106" s="287" t="str">
        <f t="shared" si="29"/>
        <v/>
      </c>
      <c r="U106" s="288" t="str">
        <f t="shared" si="42"/>
        <v/>
      </c>
      <c r="V106" s="288"/>
      <c r="W106" s="288"/>
      <c r="X106" s="288"/>
      <c r="Y106" s="288"/>
      <c r="Z106" s="289" t="str">
        <f t="shared" si="30"/>
        <v/>
      </c>
      <c r="AA106" s="274"/>
      <c r="AB106" s="274"/>
      <c r="AC106" s="290">
        <f t="shared" si="43"/>
        <v>0</v>
      </c>
    </row>
    <row r="107" spans="2:29" ht="15.75" x14ac:dyDescent="0.25">
      <c r="B107" s="282" t="str">
        <f t="shared" si="31"/>
        <v/>
      </c>
      <c r="C107" s="283" t="str">
        <f>IF('מודל תמיכה חלוקת 20,294,511 שח'!G80="","",'מודל תמיכה חלוקת 20,294,511 שח'!G80)</f>
        <v/>
      </c>
      <c r="D107" s="284" t="str">
        <f>IF(C107="","",'מודל תמיכה חלוקת 20,294,511 שח'!J80)</f>
        <v/>
      </c>
      <c r="E107" s="284" t="str">
        <f>הגנה!AX107</f>
        <v/>
      </c>
      <c r="F107" s="285" t="str">
        <f t="shared" si="32"/>
        <v/>
      </c>
      <c r="G107" s="284" t="str">
        <f t="shared" si="33"/>
        <v/>
      </c>
      <c r="H107" s="284" t="str">
        <f t="shared" si="25"/>
        <v/>
      </c>
      <c r="I107" s="286">
        <f t="shared" si="34"/>
        <v>0</v>
      </c>
      <c r="J107" s="287" t="str">
        <f t="shared" si="35"/>
        <v/>
      </c>
      <c r="K107" s="287" t="str">
        <f t="shared" si="26"/>
        <v/>
      </c>
      <c r="L107" s="286">
        <f t="shared" si="36"/>
        <v>0</v>
      </c>
      <c r="M107" s="287" t="str">
        <f t="shared" si="37"/>
        <v/>
      </c>
      <c r="N107" s="287" t="str">
        <f t="shared" si="27"/>
        <v/>
      </c>
      <c r="O107" s="286">
        <f t="shared" si="38"/>
        <v>0</v>
      </c>
      <c r="P107" s="287" t="str">
        <f t="shared" si="39"/>
        <v/>
      </c>
      <c r="Q107" s="287" t="str">
        <f t="shared" si="28"/>
        <v/>
      </c>
      <c r="R107" s="286">
        <f t="shared" si="40"/>
        <v>0</v>
      </c>
      <c r="S107" s="287" t="str">
        <f t="shared" si="41"/>
        <v/>
      </c>
      <c r="T107" s="287" t="str">
        <f t="shared" si="29"/>
        <v/>
      </c>
      <c r="U107" s="288" t="str">
        <f t="shared" si="42"/>
        <v/>
      </c>
      <c r="V107" s="288"/>
      <c r="W107" s="288"/>
      <c r="X107" s="288"/>
      <c r="Y107" s="288"/>
      <c r="Z107" s="289" t="str">
        <f t="shared" si="30"/>
        <v/>
      </c>
      <c r="AA107" s="274"/>
      <c r="AB107" s="274"/>
      <c r="AC107" s="290">
        <f t="shared" si="43"/>
        <v>0</v>
      </c>
    </row>
    <row r="108" spans="2:29" ht="15.75" x14ac:dyDescent="0.25">
      <c r="B108" s="282" t="str">
        <f t="shared" si="31"/>
        <v/>
      </c>
      <c r="C108" s="283" t="str">
        <f>IF('מודל תמיכה חלוקת 20,294,511 שח'!G81="","",'מודל תמיכה חלוקת 20,294,511 שח'!G81)</f>
        <v/>
      </c>
      <c r="D108" s="284" t="str">
        <f>IF(C108="","",'מודל תמיכה חלוקת 20,294,511 שח'!J81)</f>
        <v/>
      </c>
      <c r="E108" s="284" t="str">
        <f>הגנה!AX108</f>
        <v/>
      </c>
      <c r="F108" s="285" t="str">
        <f t="shared" si="32"/>
        <v/>
      </c>
      <c r="G108" s="284" t="str">
        <f t="shared" si="33"/>
        <v/>
      </c>
      <c r="H108" s="284" t="str">
        <f t="shared" si="25"/>
        <v/>
      </c>
      <c r="I108" s="286">
        <f t="shared" si="34"/>
        <v>0</v>
      </c>
      <c r="J108" s="287" t="str">
        <f t="shared" si="35"/>
        <v/>
      </c>
      <c r="K108" s="287" t="str">
        <f t="shared" si="26"/>
        <v/>
      </c>
      <c r="L108" s="286">
        <f t="shared" si="36"/>
        <v>0</v>
      </c>
      <c r="M108" s="287" t="str">
        <f t="shared" si="37"/>
        <v/>
      </c>
      <c r="N108" s="287" t="str">
        <f t="shared" si="27"/>
        <v/>
      </c>
      <c r="O108" s="286">
        <f t="shared" si="38"/>
        <v>0</v>
      </c>
      <c r="P108" s="287" t="str">
        <f t="shared" si="39"/>
        <v/>
      </c>
      <c r="Q108" s="287" t="str">
        <f t="shared" si="28"/>
        <v/>
      </c>
      <c r="R108" s="286">
        <f t="shared" si="40"/>
        <v>0</v>
      </c>
      <c r="S108" s="287" t="str">
        <f t="shared" si="41"/>
        <v/>
      </c>
      <c r="T108" s="287" t="str">
        <f t="shared" si="29"/>
        <v/>
      </c>
      <c r="U108" s="288" t="str">
        <f t="shared" si="42"/>
        <v/>
      </c>
      <c r="V108" s="288"/>
      <c r="W108" s="288"/>
      <c r="X108" s="288"/>
      <c r="Y108" s="288"/>
      <c r="Z108" s="289" t="str">
        <f t="shared" si="30"/>
        <v/>
      </c>
      <c r="AA108" s="274"/>
      <c r="AB108" s="274"/>
      <c r="AC108" s="290">
        <f t="shared" si="43"/>
        <v>0</v>
      </c>
    </row>
    <row r="109" spans="2:29" ht="15.75" x14ac:dyDescent="0.25">
      <c r="B109" s="282" t="str">
        <f t="shared" si="31"/>
        <v/>
      </c>
      <c r="C109" s="283" t="str">
        <f>IF('מודל תמיכה חלוקת 20,294,511 שח'!G82="","",'מודל תמיכה חלוקת 20,294,511 שח'!G82)</f>
        <v/>
      </c>
      <c r="D109" s="284" t="str">
        <f>IF(C109="","",'מודל תמיכה חלוקת 20,294,511 שח'!J82)</f>
        <v/>
      </c>
      <c r="E109" s="284" t="str">
        <f>הגנה!AX109</f>
        <v/>
      </c>
      <c r="F109" s="285" t="str">
        <f t="shared" si="32"/>
        <v/>
      </c>
      <c r="G109" s="284" t="str">
        <f t="shared" si="33"/>
        <v/>
      </c>
      <c r="H109" s="284" t="str">
        <f t="shared" si="25"/>
        <v/>
      </c>
      <c r="I109" s="286">
        <f t="shared" si="34"/>
        <v>0</v>
      </c>
      <c r="J109" s="287" t="str">
        <f t="shared" si="35"/>
        <v/>
      </c>
      <c r="K109" s="287" t="str">
        <f t="shared" si="26"/>
        <v/>
      </c>
      <c r="L109" s="286">
        <f t="shared" si="36"/>
        <v>0</v>
      </c>
      <c r="M109" s="287" t="str">
        <f t="shared" si="37"/>
        <v/>
      </c>
      <c r="N109" s="287" t="str">
        <f t="shared" si="27"/>
        <v/>
      </c>
      <c r="O109" s="286">
        <f t="shared" si="38"/>
        <v>0</v>
      </c>
      <c r="P109" s="287" t="str">
        <f t="shared" si="39"/>
        <v/>
      </c>
      <c r="Q109" s="287" t="str">
        <f t="shared" si="28"/>
        <v/>
      </c>
      <c r="R109" s="286">
        <f t="shared" si="40"/>
        <v>0</v>
      </c>
      <c r="S109" s="287" t="str">
        <f t="shared" si="41"/>
        <v/>
      </c>
      <c r="T109" s="287" t="str">
        <f t="shared" si="29"/>
        <v/>
      </c>
      <c r="U109" s="288" t="str">
        <f t="shared" si="42"/>
        <v/>
      </c>
      <c r="V109" s="288"/>
      <c r="W109" s="288"/>
      <c r="X109" s="288"/>
      <c r="Y109" s="288"/>
      <c r="Z109" s="289" t="str">
        <f t="shared" si="30"/>
        <v/>
      </c>
      <c r="AA109" s="274"/>
      <c r="AB109" s="274"/>
      <c r="AC109" s="290">
        <f t="shared" si="43"/>
        <v>0</v>
      </c>
    </row>
    <row r="110" spans="2:29" ht="15.75" x14ac:dyDescent="0.25">
      <c r="B110" s="282" t="str">
        <f t="shared" si="31"/>
        <v/>
      </c>
      <c r="C110" s="283" t="str">
        <f>IF('מודל תמיכה חלוקת 20,294,511 שח'!G83="","",'מודל תמיכה חלוקת 20,294,511 שח'!G83)</f>
        <v/>
      </c>
      <c r="D110" s="284" t="str">
        <f>IF(C110="","",'מודל תמיכה חלוקת 20,294,511 שח'!J83)</f>
        <v/>
      </c>
      <c r="E110" s="284" t="str">
        <f>הגנה!AX110</f>
        <v/>
      </c>
      <c r="F110" s="285" t="str">
        <f t="shared" si="32"/>
        <v/>
      </c>
      <c r="G110" s="284" t="str">
        <f t="shared" si="33"/>
        <v/>
      </c>
      <c r="H110" s="284" t="str">
        <f t="shared" si="25"/>
        <v/>
      </c>
      <c r="I110" s="286">
        <f t="shared" si="34"/>
        <v>0</v>
      </c>
      <c r="J110" s="287" t="str">
        <f t="shared" si="35"/>
        <v/>
      </c>
      <c r="K110" s="287" t="str">
        <f t="shared" si="26"/>
        <v/>
      </c>
      <c r="L110" s="286">
        <f t="shared" si="36"/>
        <v>0</v>
      </c>
      <c r="M110" s="287" t="str">
        <f t="shared" si="37"/>
        <v/>
      </c>
      <c r="N110" s="287" t="str">
        <f t="shared" si="27"/>
        <v/>
      </c>
      <c r="O110" s="286">
        <f t="shared" si="38"/>
        <v>0</v>
      </c>
      <c r="P110" s="287" t="str">
        <f t="shared" si="39"/>
        <v/>
      </c>
      <c r="Q110" s="287" t="str">
        <f t="shared" si="28"/>
        <v/>
      </c>
      <c r="R110" s="286">
        <f t="shared" si="40"/>
        <v>0</v>
      </c>
      <c r="S110" s="287" t="str">
        <f t="shared" si="41"/>
        <v/>
      </c>
      <c r="T110" s="287" t="str">
        <f t="shared" si="29"/>
        <v/>
      </c>
      <c r="U110" s="288" t="str">
        <f t="shared" si="42"/>
        <v/>
      </c>
      <c r="V110" s="288"/>
      <c r="W110" s="288"/>
      <c r="X110" s="288"/>
      <c r="Y110" s="288"/>
      <c r="Z110" s="289" t="str">
        <f t="shared" si="30"/>
        <v/>
      </c>
      <c r="AA110" s="274"/>
      <c r="AB110" s="274"/>
      <c r="AC110" s="290">
        <f t="shared" si="43"/>
        <v>0</v>
      </c>
    </row>
    <row r="111" spans="2:29" ht="15.75" x14ac:dyDescent="0.25">
      <c r="B111" s="282" t="str">
        <f t="shared" si="31"/>
        <v/>
      </c>
      <c r="C111" s="283" t="str">
        <f>IF('מודל תמיכה חלוקת 20,294,511 שח'!G84="","",'מודל תמיכה חלוקת 20,294,511 שח'!G84)</f>
        <v/>
      </c>
      <c r="D111" s="284" t="str">
        <f>IF(C111="","",'מודל תמיכה חלוקת 20,294,511 שח'!J84)</f>
        <v/>
      </c>
      <c r="E111" s="284" t="str">
        <f>הגנה!AX111</f>
        <v/>
      </c>
      <c r="F111" s="285" t="str">
        <f t="shared" si="32"/>
        <v/>
      </c>
      <c r="G111" s="284" t="str">
        <f t="shared" si="33"/>
        <v/>
      </c>
      <c r="H111" s="284" t="str">
        <f t="shared" si="25"/>
        <v/>
      </c>
      <c r="I111" s="286">
        <f t="shared" si="34"/>
        <v>0</v>
      </c>
      <c r="J111" s="287" t="str">
        <f t="shared" si="35"/>
        <v/>
      </c>
      <c r="K111" s="287" t="str">
        <f t="shared" si="26"/>
        <v/>
      </c>
      <c r="L111" s="286">
        <f t="shared" si="36"/>
        <v>0</v>
      </c>
      <c r="M111" s="287" t="str">
        <f t="shared" si="37"/>
        <v/>
      </c>
      <c r="N111" s="287" t="str">
        <f t="shared" si="27"/>
        <v/>
      </c>
      <c r="O111" s="286">
        <f t="shared" si="38"/>
        <v>0</v>
      </c>
      <c r="P111" s="287" t="str">
        <f t="shared" si="39"/>
        <v/>
      </c>
      <c r="Q111" s="287" t="str">
        <f t="shared" si="28"/>
        <v/>
      </c>
      <c r="R111" s="286">
        <f t="shared" si="40"/>
        <v>0</v>
      </c>
      <c r="S111" s="287" t="str">
        <f t="shared" si="41"/>
        <v/>
      </c>
      <c r="T111" s="287" t="str">
        <f t="shared" si="29"/>
        <v/>
      </c>
      <c r="U111" s="288" t="str">
        <f t="shared" si="42"/>
        <v/>
      </c>
      <c r="V111" s="288"/>
      <c r="W111" s="288"/>
      <c r="X111" s="288"/>
      <c r="Y111" s="288"/>
      <c r="Z111" s="289" t="str">
        <f t="shared" si="30"/>
        <v/>
      </c>
      <c r="AA111" s="274"/>
      <c r="AB111" s="274"/>
      <c r="AC111" s="290">
        <f t="shared" si="43"/>
        <v>0</v>
      </c>
    </row>
    <row r="112" spans="2:29" ht="15.75" x14ac:dyDescent="0.25">
      <c r="B112" s="282" t="str">
        <f t="shared" si="31"/>
        <v/>
      </c>
      <c r="C112" s="283" t="str">
        <f>IF('מודל תמיכה חלוקת 20,294,511 שח'!G85="","",'מודל תמיכה חלוקת 20,294,511 שח'!G85)</f>
        <v/>
      </c>
      <c r="D112" s="284" t="str">
        <f>IF(C112="","",'מודל תמיכה חלוקת 20,294,511 שח'!J85)</f>
        <v/>
      </c>
      <c r="E112" s="284" t="str">
        <f>הגנה!AX112</f>
        <v/>
      </c>
      <c r="F112" s="285" t="str">
        <f t="shared" si="32"/>
        <v/>
      </c>
      <c r="G112" s="284" t="str">
        <f t="shared" si="33"/>
        <v/>
      </c>
      <c r="H112" s="284" t="str">
        <f t="shared" si="25"/>
        <v/>
      </c>
      <c r="I112" s="286">
        <f t="shared" si="34"/>
        <v>0</v>
      </c>
      <c r="J112" s="287" t="str">
        <f t="shared" si="35"/>
        <v/>
      </c>
      <c r="K112" s="287" t="str">
        <f t="shared" si="26"/>
        <v/>
      </c>
      <c r="L112" s="286">
        <f t="shared" si="36"/>
        <v>0</v>
      </c>
      <c r="M112" s="287" t="str">
        <f t="shared" si="37"/>
        <v/>
      </c>
      <c r="N112" s="287" t="str">
        <f t="shared" si="27"/>
        <v/>
      </c>
      <c r="O112" s="286">
        <f t="shared" si="38"/>
        <v>0</v>
      </c>
      <c r="P112" s="287" t="str">
        <f t="shared" si="39"/>
        <v/>
      </c>
      <c r="Q112" s="287" t="str">
        <f t="shared" si="28"/>
        <v/>
      </c>
      <c r="R112" s="286">
        <f t="shared" si="40"/>
        <v>0</v>
      </c>
      <c r="S112" s="287" t="str">
        <f t="shared" si="41"/>
        <v/>
      </c>
      <c r="T112" s="287" t="str">
        <f t="shared" si="29"/>
        <v/>
      </c>
      <c r="U112" s="288" t="str">
        <f t="shared" si="42"/>
        <v/>
      </c>
      <c r="V112" s="288"/>
      <c r="W112" s="288"/>
      <c r="X112" s="288"/>
      <c r="Y112" s="288"/>
      <c r="Z112" s="289" t="str">
        <f t="shared" si="30"/>
        <v/>
      </c>
      <c r="AA112" s="274"/>
      <c r="AB112" s="274"/>
      <c r="AC112" s="290">
        <f t="shared" si="43"/>
        <v>0</v>
      </c>
    </row>
    <row r="113" spans="2:29" ht="15.75" x14ac:dyDescent="0.25">
      <c r="B113" s="282" t="str">
        <f t="shared" si="31"/>
        <v/>
      </c>
      <c r="C113" s="283" t="str">
        <f>IF('מודל תמיכה חלוקת 20,294,511 שח'!G86="","",'מודל תמיכה חלוקת 20,294,511 שח'!G86)</f>
        <v/>
      </c>
      <c r="D113" s="284" t="str">
        <f>IF(C113="","",'מודל תמיכה חלוקת 20,294,511 שח'!J86)</f>
        <v/>
      </c>
      <c r="E113" s="284" t="str">
        <f>הגנה!AX113</f>
        <v/>
      </c>
      <c r="F113" s="285" t="str">
        <f t="shared" si="32"/>
        <v/>
      </c>
      <c r="G113" s="284" t="str">
        <f t="shared" si="33"/>
        <v/>
      </c>
      <c r="H113" s="284" t="str">
        <f t="shared" si="25"/>
        <v/>
      </c>
      <c r="I113" s="286">
        <f t="shared" si="34"/>
        <v>0</v>
      </c>
      <c r="J113" s="287" t="str">
        <f t="shared" si="35"/>
        <v/>
      </c>
      <c r="K113" s="287" t="str">
        <f t="shared" si="26"/>
        <v/>
      </c>
      <c r="L113" s="286">
        <f t="shared" si="36"/>
        <v>0</v>
      </c>
      <c r="M113" s="287" t="str">
        <f t="shared" si="37"/>
        <v/>
      </c>
      <c r="N113" s="287" t="str">
        <f t="shared" si="27"/>
        <v/>
      </c>
      <c r="O113" s="286">
        <f t="shared" si="38"/>
        <v>0</v>
      </c>
      <c r="P113" s="287" t="str">
        <f t="shared" si="39"/>
        <v/>
      </c>
      <c r="Q113" s="287" t="str">
        <f t="shared" si="28"/>
        <v/>
      </c>
      <c r="R113" s="286">
        <f t="shared" si="40"/>
        <v>0</v>
      </c>
      <c r="S113" s="287" t="str">
        <f t="shared" si="41"/>
        <v/>
      </c>
      <c r="T113" s="287" t="str">
        <f t="shared" si="29"/>
        <v/>
      </c>
      <c r="U113" s="288" t="str">
        <f t="shared" si="42"/>
        <v/>
      </c>
      <c r="V113" s="288"/>
      <c r="W113" s="288"/>
      <c r="X113" s="288"/>
      <c r="Y113" s="288"/>
      <c r="Z113" s="289" t="str">
        <f t="shared" si="30"/>
        <v/>
      </c>
      <c r="AA113" s="274"/>
      <c r="AB113" s="274"/>
      <c r="AC113" s="290">
        <f t="shared" si="43"/>
        <v>0</v>
      </c>
    </row>
    <row r="114" spans="2:29" ht="15.75" x14ac:dyDescent="0.25">
      <c r="B114" s="282" t="str">
        <f t="shared" si="31"/>
        <v/>
      </c>
      <c r="C114" s="283" t="str">
        <f>IF('מודל תמיכה חלוקת 20,294,511 שח'!G87="","",'מודל תמיכה חלוקת 20,294,511 שח'!G87)</f>
        <v/>
      </c>
      <c r="D114" s="284" t="str">
        <f>IF(C114="","",'מודל תמיכה חלוקת 20,294,511 שח'!J87)</f>
        <v/>
      </c>
      <c r="E114" s="284" t="str">
        <f>הגנה!AX114</f>
        <v/>
      </c>
      <c r="F114" s="285" t="str">
        <f t="shared" si="32"/>
        <v/>
      </c>
      <c r="G114" s="284" t="str">
        <f t="shared" si="33"/>
        <v/>
      </c>
      <c r="H114" s="284" t="str">
        <f t="shared" si="25"/>
        <v/>
      </c>
      <c r="I114" s="286">
        <f t="shared" si="34"/>
        <v>0</v>
      </c>
      <c r="J114" s="287" t="str">
        <f t="shared" si="35"/>
        <v/>
      </c>
      <c r="K114" s="287" t="str">
        <f t="shared" si="26"/>
        <v/>
      </c>
      <c r="L114" s="286">
        <f t="shared" si="36"/>
        <v>0</v>
      </c>
      <c r="M114" s="287" t="str">
        <f t="shared" si="37"/>
        <v/>
      </c>
      <c r="N114" s="287" t="str">
        <f t="shared" si="27"/>
        <v/>
      </c>
      <c r="O114" s="286">
        <f t="shared" si="38"/>
        <v>0</v>
      </c>
      <c r="P114" s="287" t="str">
        <f t="shared" si="39"/>
        <v/>
      </c>
      <c r="Q114" s="287" t="str">
        <f t="shared" si="28"/>
        <v/>
      </c>
      <c r="R114" s="286">
        <f t="shared" si="40"/>
        <v>0</v>
      </c>
      <c r="S114" s="287" t="str">
        <f t="shared" si="41"/>
        <v/>
      </c>
      <c r="T114" s="287" t="str">
        <f t="shared" si="29"/>
        <v/>
      </c>
      <c r="U114" s="288" t="str">
        <f t="shared" si="42"/>
        <v/>
      </c>
      <c r="V114" s="288"/>
      <c r="W114" s="288"/>
      <c r="X114" s="288"/>
      <c r="Y114" s="288"/>
      <c r="Z114" s="289" t="str">
        <f t="shared" si="30"/>
        <v/>
      </c>
      <c r="AA114" s="274"/>
      <c r="AB114" s="274"/>
      <c r="AC114" s="290">
        <f t="shared" si="43"/>
        <v>0</v>
      </c>
    </row>
    <row r="115" spans="2:29" ht="15.75" x14ac:dyDescent="0.25">
      <c r="B115" s="282" t="str">
        <f t="shared" si="31"/>
        <v/>
      </c>
      <c r="C115" s="283" t="str">
        <f>IF('מודל תמיכה חלוקת 20,294,511 שח'!G88="","",'מודל תמיכה חלוקת 20,294,511 שח'!G88)</f>
        <v/>
      </c>
      <c r="D115" s="284" t="str">
        <f>IF(C115="","",'מודל תמיכה חלוקת 20,294,511 שח'!J88)</f>
        <v/>
      </c>
      <c r="E115" s="284" t="str">
        <f>הגנה!AX115</f>
        <v/>
      </c>
      <c r="F115" s="285" t="str">
        <f t="shared" si="32"/>
        <v/>
      </c>
      <c r="G115" s="284" t="str">
        <f t="shared" si="33"/>
        <v/>
      </c>
      <c r="H115" s="284" t="str">
        <f t="shared" si="25"/>
        <v/>
      </c>
      <c r="I115" s="286">
        <f t="shared" si="34"/>
        <v>0</v>
      </c>
      <c r="J115" s="287" t="str">
        <f t="shared" si="35"/>
        <v/>
      </c>
      <c r="K115" s="287" t="str">
        <f t="shared" si="26"/>
        <v/>
      </c>
      <c r="L115" s="286">
        <f t="shared" si="36"/>
        <v>0</v>
      </c>
      <c r="M115" s="287" t="str">
        <f t="shared" si="37"/>
        <v/>
      </c>
      <c r="N115" s="287" t="str">
        <f t="shared" si="27"/>
        <v/>
      </c>
      <c r="O115" s="286">
        <f t="shared" si="38"/>
        <v>0</v>
      </c>
      <c r="P115" s="287" t="str">
        <f t="shared" si="39"/>
        <v/>
      </c>
      <c r="Q115" s="287" t="str">
        <f t="shared" si="28"/>
        <v/>
      </c>
      <c r="R115" s="286">
        <f t="shared" si="40"/>
        <v>0</v>
      </c>
      <c r="S115" s="287" t="str">
        <f t="shared" si="41"/>
        <v/>
      </c>
      <c r="T115" s="287" t="str">
        <f t="shared" si="29"/>
        <v/>
      </c>
      <c r="U115" s="288" t="str">
        <f t="shared" si="42"/>
        <v/>
      </c>
      <c r="V115" s="288"/>
      <c r="W115" s="288"/>
      <c r="X115" s="288"/>
      <c r="Y115" s="288"/>
      <c r="Z115" s="289" t="str">
        <f t="shared" si="30"/>
        <v/>
      </c>
      <c r="AA115" s="274"/>
      <c r="AB115" s="274"/>
      <c r="AC115" s="290">
        <f t="shared" si="43"/>
        <v>0</v>
      </c>
    </row>
    <row r="116" spans="2:29" ht="15.75" x14ac:dyDescent="0.25">
      <c r="B116" s="282" t="str">
        <f t="shared" si="31"/>
        <v/>
      </c>
      <c r="C116" s="283" t="str">
        <f>IF('מודל תמיכה חלוקת 20,294,511 שח'!G89="","",'מודל תמיכה חלוקת 20,294,511 שח'!G89)</f>
        <v/>
      </c>
      <c r="D116" s="284" t="str">
        <f>IF(C116="","",'מודל תמיכה חלוקת 20,294,511 שח'!J89)</f>
        <v/>
      </c>
      <c r="E116" s="284" t="str">
        <f>הגנה!AX116</f>
        <v/>
      </c>
      <c r="F116" s="285" t="str">
        <f t="shared" si="32"/>
        <v/>
      </c>
      <c r="G116" s="284" t="str">
        <f t="shared" si="33"/>
        <v/>
      </c>
      <c r="H116" s="284" t="str">
        <f t="shared" si="25"/>
        <v/>
      </c>
      <c r="I116" s="286">
        <f t="shared" si="34"/>
        <v>0</v>
      </c>
      <c r="J116" s="287" t="str">
        <f t="shared" si="35"/>
        <v/>
      </c>
      <c r="K116" s="287" t="str">
        <f t="shared" si="26"/>
        <v/>
      </c>
      <c r="L116" s="286">
        <f t="shared" si="36"/>
        <v>0</v>
      </c>
      <c r="M116" s="287" t="str">
        <f t="shared" si="37"/>
        <v/>
      </c>
      <c r="N116" s="287" t="str">
        <f t="shared" si="27"/>
        <v/>
      </c>
      <c r="O116" s="286">
        <f t="shared" si="38"/>
        <v>0</v>
      </c>
      <c r="P116" s="287" t="str">
        <f t="shared" si="39"/>
        <v/>
      </c>
      <c r="Q116" s="287" t="str">
        <f t="shared" si="28"/>
        <v/>
      </c>
      <c r="R116" s="286">
        <f t="shared" si="40"/>
        <v>0</v>
      </c>
      <c r="S116" s="287" t="str">
        <f t="shared" si="41"/>
        <v/>
      </c>
      <c r="T116" s="287" t="str">
        <f t="shared" si="29"/>
        <v/>
      </c>
      <c r="U116" s="288" t="str">
        <f t="shared" si="42"/>
        <v/>
      </c>
      <c r="V116" s="288"/>
      <c r="W116" s="288"/>
      <c r="X116" s="288"/>
      <c r="Y116" s="288"/>
      <c r="Z116" s="289" t="str">
        <f t="shared" si="30"/>
        <v/>
      </c>
      <c r="AA116" s="274"/>
      <c r="AB116" s="274"/>
      <c r="AC116" s="290">
        <f t="shared" si="43"/>
        <v>0</v>
      </c>
    </row>
    <row r="117" spans="2:29" ht="15.75" x14ac:dyDescent="0.25">
      <c r="B117" s="282" t="str">
        <f t="shared" si="31"/>
        <v/>
      </c>
      <c r="C117" s="283" t="str">
        <f>IF('מודל תמיכה חלוקת 20,294,511 שח'!G90="","",'מודל תמיכה חלוקת 20,294,511 שח'!G90)</f>
        <v/>
      </c>
      <c r="D117" s="284" t="str">
        <f>IF(C117="","",'מודל תמיכה חלוקת 20,294,511 שח'!J90)</f>
        <v/>
      </c>
      <c r="E117" s="284" t="str">
        <f>הגנה!AX117</f>
        <v/>
      </c>
      <c r="F117" s="285" t="str">
        <f t="shared" si="32"/>
        <v/>
      </c>
      <c r="G117" s="284" t="str">
        <f t="shared" si="33"/>
        <v/>
      </c>
      <c r="H117" s="284" t="str">
        <f t="shared" si="25"/>
        <v/>
      </c>
      <c r="I117" s="286">
        <f t="shared" si="34"/>
        <v>0</v>
      </c>
      <c r="J117" s="287" t="str">
        <f t="shared" si="35"/>
        <v/>
      </c>
      <c r="K117" s="287" t="str">
        <f t="shared" si="26"/>
        <v/>
      </c>
      <c r="L117" s="286">
        <f t="shared" si="36"/>
        <v>0</v>
      </c>
      <c r="M117" s="287" t="str">
        <f t="shared" si="37"/>
        <v/>
      </c>
      <c r="N117" s="287" t="str">
        <f t="shared" si="27"/>
        <v/>
      </c>
      <c r="O117" s="286">
        <f t="shared" si="38"/>
        <v>0</v>
      </c>
      <c r="P117" s="287" t="str">
        <f t="shared" si="39"/>
        <v/>
      </c>
      <c r="Q117" s="287" t="str">
        <f t="shared" si="28"/>
        <v/>
      </c>
      <c r="R117" s="286">
        <f t="shared" si="40"/>
        <v>0</v>
      </c>
      <c r="S117" s="287" t="str">
        <f t="shared" si="41"/>
        <v/>
      </c>
      <c r="T117" s="287" t="str">
        <f t="shared" si="29"/>
        <v/>
      </c>
      <c r="U117" s="288" t="str">
        <f t="shared" si="42"/>
        <v/>
      </c>
      <c r="V117" s="288"/>
      <c r="W117" s="288"/>
      <c r="X117" s="288"/>
      <c r="Y117" s="288"/>
      <c r="Z117" s="289" t="str">
        <f t="shared" si="30"/>
        <v/>
      </c>
      <c r="AA117" s="274"/>
      <c r="AB117" s="274"/>
      <c r="AC117" s="290">
        <f t="shared" si="43"/>
        <v>0</v>
      </c>
    </row>
    <row r="118" spans="2:29" ht="15.75" x14ac:dyDescent="0.25">
      <c r="B118" s="282" t="str">
        <f t="shared" si="31"/>
        <v/>
      </c>
      <c r="C118" s="283" t="str">
        <f>IF('מודל תמיכה חלוקת 20,294,511 שח'!G91="","",'מודל תמיכה חלוקת 20,294,511 שח'!G91)</f>
        <v/>
      </c>
      <c r="D118" s="284" t="str">
        <f>IF(C118="","",'מודל תמיכה חלוקת 20,294,511 שח'!J91)</f>
        <v/>
      </c>
      <c r="E118" s="284" t="str">
        <f>הגנה!AX118</f>
        <v/>
      </c>
      <c r="F118" s="285" t="str">
        <f t="shared" si="32"/>
        <v/>
      </c>
      <c r="G118" s="284" t="str">
        <f t="shared" si="33"/>
        <v/>
      </c>
      <c r="H118" s="284" t="str">
        <f t="shared" si="25"/>
        <v/>
      </c>
      <c r="I118" s="286">
        <f t="shared" si="34"/>
        <v>0</v>
      </c>
      <c r="J118" s="287" t="str">
        <f t="shared" si="35"/>
        <v/>
      </c>
      <c r="K118" s="287" t="str">
        <f t="shared" si="26"/>
        <v/>
      </c>
      <c r="L118" s="286">
        <f t="shared" si="36"/>
        <v>0</v>
      </c>
      <c r="M118" s="287" t="str">
        <f t="shared" si="37"/>
        <v/>
      </c>
      <c r="N118" s="287" t="str">
        <f t="shared" si="27"/>
        <v/>
      </c>
      <c r="O118" s="286">
        <f t="shared" si="38"/>
        <v>0</v>
      </c>
      <c r="P118" s="287" t="str">
        <f t="shared" si="39"/>
        <v/>
      </c>
      <c r="Q118" s="287" t="str">
        <f t="shared" si="28"/>
        <v/>
      </c>
      <c r="R118" s="286">
        <f t="shared" si="40"/>
        <v>0</v>
      </c>
      <c r="S118" s="287" t="str">
        <f t="shared" si="41"/>
        <v/>
      </c>
      <c r="T118" s="287" t="str">
        <f t="shared" si="29"/>
        <v/>
      </c>
      <c r="U118" s="288" t="str">
        <f t="shared" si="42"/>
        <v/>
      </c>
      <c r="V118" s="288"/>
      <c r="W118" s="288"/>
      <c r="X118" s="288"/>
      <c r="Y118" s="288"/>
      <c r="Z118" s="289" t="str">
        <f t="shared" si="30"/>
        <v/>
      </c>
      <c r="AA118" s="274"/>
      <c r="AB118" s="274"/>
      <c r="AC118" s="290">
        <f t="shared" si="43"/>
        <v>0</v>
      </c>
    </row>
    <row r="119" spans="2:29" ht="15.75" x14ac:dyDescent="0.25">
      <c r="B119" s="282" t="str">
        <f t="shared" si="31"/>
        <v/>
      </c>
      <c r="C119" s="283" t="str">
        <f>IF('מודל תמיכה חלוקת 20,294,511 שח'!G92="","",'מודל תמיכה חלוקת 20,294,511 שח'!G92)</f>
        <v/>
      </c>
      <c r="D119" s="284" t="str">
        <f>IF(C119="","",'מודל תמיכה חלוקת 20,294,511 שח'!J92)</f>
        <v/>
      </c>
      <c r="E119" s="284" t="str">
        <f>הגנה!AX119</f>
        <v/>
      </c>
      <c r="F119" s="285" t="str">
        <f t="shared" si="32"/>
        <v/>
      </c>
      <c r="G119" s="284" t="str">
        <f t="shared" si="33"/>
        <v/>
      </c>
      <c r="H119" s="284" t="str">
        <f t="shared" si="25"/>
        <v/>
      </c>
      <c r="I119" s="286">
        <f t="shared" si="34"/>
        <v>0</v>
      </c>
      <c r="J119" s="287" t="str">
        <f t="shared" si="35"/>
        <v/>
      </c>
      <c r="K119" s="287" t="str">
        <f t="shared" si="26"/>
        <v/>
      </c>
      <c r="L119" s="286">
        <f t="shared" si="36"/>
        <v>0</v>
      </c>
      <c r="M119" s="287" t="str">
        <f t="shared" si="37"/>
        <v/>
      </c>
      <c r="N119" s="287" t="str">
        <f t="shared" si="27"/>
        <v/>
      </c>
      <c r="O119" s="286">
        <f t="shared" si="38"/>
        <v>0</v>
      </c>
      <c r="P119" s="287" t="str">
        <f t="shared" si="39"/>
        <v/>
      </c>
      <c r="Q119" s="287" t="str">
        <f t="shared" si="28"/>
        <v/>
      </c>
      <c r="R119" s="286">
        <f t="shared" si="40"/>
        <v>0</v>
      </c>
      <c r="S119" s="287" t="str">
        <f t="shared" si="41"/>
        <v/>
      </c>
      <c r="T119" s="287" t="str">
        <f t="shared" si="29"/>
        <v/>
      </c>
      <c r="U119" s="288" t="str">
        <f t="shared" si="42"/>
        <v/>
      </c>
      <c r="V119" s="288"/>
      <c r="W119" s="288"/>
      <c r="X119" s="288"/>
      <c r="Y119" s="288"/>
      <c r="Z119" s="289" t="str">
        <f t="shared" si="30"/>
        <v/>
      </c>
      <c r="AA119" s="274"/>
      <c r="AB119" s="274"/>
      <c r="AC119" s="290">
        <f t="shared" si="43"/>
        <v>0</v>
      </c>
    </row>
    <row r="120" spans="2:29" ht="15.75" x14ac:dyDescent="0.25">
      <c r="B120" s="282" t="str">
        <f t="shared" si="31"/>
        <v/>
      </c>
      <c r="C120" s="283" t="str">
        <f>IF('מודל תמיכה חלוקת 20,294,511 שח'!G93="","",'מודל תמיכה חלוקת 20,294,511 שח'!G93)</f>
        <v/>
      </c>
      <c r="D120" s="284" t="str">
        <f>IF(C120="","",'מודל תמיכה חלוקת 20,294,511 שח'!J93)</f>
        <v/>
      </c>
      <c r="E120" s="284" t="str">
        <f>הגנה!AX120</f>
        <v/>
      </c>
      <c r="F120" s="285" t="str">
        <f t="shared" si="32"/>
        <v/>
      </c>
      <c r="G120" s="284" t="str">
        <f t="shared" si="33"/>
        <v/>
      </c>
      <c r="H120" s="284" t="str">
        <f t="shared" si="25"/>
        <v/>
      </c>
      <c r="I120" s="286">
        <f t="shared" si="34"/>
        <v>0</v>
      </c>
      <c r="J120" s="287" t="str">
        <f t="shared" si="35"/>
        <v/>
      </c>
      <c r="K120" s="287" t="str">
        <f t="shared" si="26"/>
        <v/>
      </c>
      <c r="L120" s="286">
        <f t="shared" si="36"/>
        <v>0</v>
      </c>
      <c r="M120" s="287" t="str">
        <f t="shared" si="37"/>
        <v/>
      </c>
      <c r="N120" s="287" t="str">
        <f t="shared" si="27"/>
        <v/>
      </c>
      <c r="O120" s="286">
        <f t="shared" si="38"/>
        <v>0</v>
      </c>
      <c r="P120" s="287" t="str">
        <f t="shared" si="39"/>
        <v/>
      </c>
      <c r="Q120" s="287" t="str">
        <f t="shared" si="28"/>
        <v/>
      </c>
      <c r="R120" s="286">
        <f t="shared" si="40"/>
        <v>0</v>
      </c>
      <c r="S120" s="287" t="str">
        <f t="shared" si="41"/>
        <v/>
      </c>
      <c r="T120" s="287" t="str">
        <f t="shared" si="29"/>
        <v/>
      </c>
      <c r="U120" s="288" t="str">
        <f t="shared" si="42"/>
        <v/>
      </c>
      <c r="V120" s="288"/>
      <c r="W120" s="288"/>
      <c r="X120" s="288"/>
      <c r="Y120" s="288"/>
      <c r="Z120" s="289" t="str">
        <f t="shared" si="30"/>
        <v/>
      </c>
      <c r="AA120" s="274"/>
      <c r="AB120" s="274"/>
      <c r="AC120" s="290">
        <f t="shared" si="43"/>
        <v>0</v>
      </c>
    </row>
    <row r="121" spans="2:29" ht="15.75" x14ac:dyDescent="0.25">
      <c r="B121" s="282" t="str">
        <f t="shared" si="31"/>
        <v/>
      </c>
      <c r="C121" s="283" t="str">
        <f>IF('מודל תמיכה חלוקת 20,294,511 שח'!G94="","",'מודל תמיכה חלוקת 20,294,511 שח'!G94)</f>
        <v/>
      </c>
      <c r="D121" s="284" t="str">
        <f>IF(C121="","",'מודל תמיכה חלוקת 20,294,511 שח'!J94)</f>
        <v/>
      </c>
      <c r="E121" s="284" t="str">
        <f>הגנה!AX121</f>
        <v/>
      </c>
      <c r="F121" s="285" t="str">
        <f t="shared" si="32"/>
        <v/>
      </c>
      <c r="G121" s="284" t="str">
        <f t="shared" si="33"/>
        <v/>
      </c>
      <c r="H121" s="284" t="str">
        <f t="shared" si="25"/>
        <v/>
      </c>
      <c r="I121" s="286">
        <f t="shared" si="34"/>
        <v>0</v>
      </c>
      <c r="J121" s="287" t="str">
        <f t="shared" si="35"/>
        <v/>
      </c>
      <c r="K121" s="287" t="str">
        <f t="shared" si="26"/>
        <v/>
      </c>
      <c r="L121" s="286">
        <f t="shared" si="36"/>
        <v>0</v>
      </c>
      <c r="M121" s="287" t="str">
        <f t="shared" si="37"/>
        <v/>
      </c>
      <c r="N121" s="287" t="str">
        <f t="shared" si="27"/>
        <v/>
      </c>
      <c r="O121" s="286">
        <f t="shared" si="38"/>
        <v>0</v>
      </c>
      <c r="P121" s="287" t="str">
        <f t="shared" si="39"/>
        <v/>
      </c>
      <c r="Q121" s="287" t="str">
        <f t="shared" si="28"/>
        <v/>
      </c>
      <c r="R121" s="286">
        <f t="shared" si="40"/>
        <v>0</v>
      </c>
      <c r="S121" s="287" t="str">
        <f t="shared" si="41"/>
        <v/>
      </c>
      <c r="T121" s="287" t="str">
        <f t="shared" si="29"/>
        <v/>
      </c>
      <c r="U121" s="288" t="str">
        <f t="shared" si="42"/>
        <v/>
      </c>
      <c r="V121" s="288"/>
      <c r="W121" s="288"/>
      <c r="X121" s="288"/>
      <c r="Y121" s="288"/>
      <c r="Z121" s="289" t="str">
        <f t="shared" si="30"/>
        <v/>
      </c>
      <c r="AA121" s="274"/>
      <c r="AB121" s="274"/>
      <c r="AC121" s="290">
        <f t="shared" si="43"/>
        <v>0</v>
      </c>
    </row>
    <row r="122" spans="2:29" ht="15.75" x14ac:dyDescent="0.25">
      <c r="B122" s="282" t="str">
        <f t="shared" si="31"/>
        <v/>
      </c>
      <c r="C122" s="283" t="str">
        <f>IF('מודל תמיכה חלוקת 20,294,511 שח'!G95="","",'מודל תמיכה חלוקת 20,294,511 שח'!G95)</f>
        <v/>
      </c>
      <c r="D122" s="284" t="str">
        <f>IF(C122="","",'מודל תמיכה חלוקת 20,294,511 שח'!J95)</f>
        <v/>
      </c>
      <c r="E122" s="284" t="str">
        <f>הגנה!AX122</f>
        <v/>
      </c>
      <c r="F122" s="285" t="str">
        <f t="shared" si="32"/>
        <v/>
      </c>
      <c r="G122" s="284" t="str">
        <f t="shared" si="33"/>
        <v/>
      </c>
      <c r="H122" s="284" t="str">
        <f t="shared" si="25"/>
        <v/>
      </c>
      <c r="I122" s="286">
        <f t="shared" si="34"/>
        <v>0</v>
      </c>
      <c r="J122" s="287" t="str">
        <f t="shared" si="35"/>
        <v/>
      </c>
      <c r="K122" s="287" t="str">
        <f t="shared" si="26"/>
        <v/>
      </c>
      <c r="L122" s="286">
        <f t="shared" si="36"/>
        <v>0</v>
      </c>
      <c r="M122" s="287" t="str">
        <f t="shared" si="37"/>
        <v/>
      </c>
      <c r="N122" s="287" t="str">
        <f t="shared" si="27"/>
        <v/>
      </c>
      <c r="O122" s="286">
        <f t="shared" si="38"/>
        <v>0</v>
      </c>
      <c r="P122" s="287" t="str">
        <f t="shared" si="39"/>
        <v/>
      </c>
      <c r="Q122" s="287" t="str">
        <f t="shared" si="28"/>
        <v/>
      </c>
      <c r="R122" s="286">
        <f t="shared" si="40"/>
        <v>0</v>
      </c>
      <c r="S122" s="287" t="str">
        <f t="shared" si="41"/>
        <v/>
      </c>
      <c r="T122" s="287" t="str">
        <f t="shared" si="29"/>
        <v/>
      </c>
      <c r="U122" s="288" t="str">
        <f t="shared" si="42"/>
        <v/>
      </c>
      <c r="V122" s="288"/>
      <c r="W122" s="288"/>
      <c r="X122" s="288"/>
      <c r="Y122" s="288"/>
      <c r="Z122" s="289" t="str">
        <f t="shared" si="30"/>
        <v/>
      </c>
      <c r="AA122" s="274"/>
      <c r="AB122" s="274"/>
      <c r="AC122" s="290">
        <f t="shared" si="43"/>
        <v>0</v>
      </c>
    </row>
    <row r="123" spans="2:29" ht="15.75" x14ac:dyDescent="0.25">
      <c r="B123" s="282" t="str">
        <f t="shared" si="31"/>
        <v/>
      </c>
      <c r="C123" s="283" t="str">
        <f>IF('מודל תמיכה חלוקת 20,294,511 שח'!G96="","",'מודל תמיכה חלוקת 20,294,511 שח'!G96)</f>
        <v/>
      </c>
      <c r="D123" s="284" t="str">
        <f>IF(C123="","",'מודל תמיכה חלוקת 20,294,511 שח'!J96)</f>
        <v/>
      </c>
      <c r="E123" s="284" t="str">
        <f>הגנה!AX123</f>
        <v/>
      </c>
      <c r="F123" s="285" t="str">
        <f t="shared" si="32"/>
        <v/>
      </c>
      <c r="G123" s="284" t="str">
        <f t="shared" si="33"/>
        <v/>
      </c>
      <c r="H123" s="284" t="str">
        <f t="shared" si="25"/>
        <v/>
      </c>
      <c r="I123" s="286">
        <f t="shared" si="34"/>
        <v>0</v>
      </c>
      <c r="J123" s="287" t="str">
        <f t="shared" si="35"/>
        <v/>
      </c>
      <c r="K123" s="287" t="str">
        <f t="shared" si="26"/>
        <v/>
      </c>
      <c r="L123" s="286">
        <f t="shared" si="36"/>
        <v>0</v>
      </c>
      <c r="M123" s="287" t="str">
        <f t="shared" si="37"/>
        <v/>
      </c>
      <c r="N123" s="287" t="str">
        <f t="shared" si="27"/>
        <v/>
      </c>
      <c r="O123" s="286">
        <f t="shared" si="38"/>
        <v>0</v>
      </c>
      <c r="P123" s="287" t="str">
        <f t="shared" si="39"/>
        <v/>
      </c>
      <c r="Q123" s="287" t="str">
        <f t="shared" si="28"/>
        <v/>
      </c>
      <c r="R123" s="286">
        <f t="shared" si="40"/>
        <v>0</v>
      </c>
      <c r="S123" s="287" t="str">
        <f t="shared" si="41"/>
        <v/>
      </c>
      <c r="T123" s="287" t="str">
        <f t="shared" si="29"/>
        <v/>
      </c>
      <c r="U123" s="288" t="str">
        <f t="shared" si="42"/>
        <v/>
      </c>
      <c r="V123" s="288"/>
      <c r="W123" s="288"/>
      <c r="X123" s="288"/>
      <c r="Y123" s="288"/>
      <c r="Z123" s="289" t="str">
        <f t="shared" si="30"/>
        <v/>
      </c>
      <c r="AA123" s="274"/>
      <c r="AB123" s="274"/>
      <c r="AC123" s="290">
        <f t="shared" si="43"/>
        <v>0</v>
      </c>
    </row>
    <row r="124" spans="2:29" ht="15.75" x14ac:dyDescent="0.25">
      <c r="B124" s="282" t="str">
        <f t="shared" si="31"/>
        <v/>
      </c>
      <c r="C124" s="283" t="str">
        <f>IF('מודל תמיכה חלוקת 20,294,511 שח'!G97="","",'מודל תמיכה חלוקת 20,294,511 שח'!G97)</f>
        <v/>
      </c>
      <c r="D124" s="284" t="str">
        <f>IF(C124="","",'מודל תמיכה חלוקת 20,294,511 שח'!J97)</f>
        <v/>
      </c>
      <c r="E124" s="284" t="str">
        <f>הגנה!AX124</f>
        <v/>
      </c>
      <c r="F124" s="285" t="str">
        <f t="shared" si="32"/>
        <v/>
      </c>
      <c r="G124" s="284" t="str">
        <f t="shared" si="33"/>
        <v/>
      </c>
      <c r="H124" s="284" t="str">
        <f t="shared" si="25"/>
        <v/>
      </c>
      <c r="I124" s="286">
        <f t="shared" si="34"/>
        <v>0</v>
      </c>
      <c r="J124" s="287" t="str">
        <f t="shared" si="35"/>
        <v/>
      </c>
      <c r="K124" s="287" t="str">
        <f t="shared" si="26"/>
        <v/>
      </c>
      <c r="L124" s="286">
        <f t="shared" si="36"/>
        <v>0</v>
      </c>
      <c r="M124" s="287" t="str">
        <f t="shared" si="37"/>
        <v/>
      </c>
      <c r="N124" s="287" t="str">
        <f t="shared" si="27"/>
        <v/>
      </c>
      <c r="O124" s="286">
        <f t="shared" si="38"/>
        <v>0</v>
      </c>
      <c r="P124" s="287" t="str">
        <f t="shared" si="39"/>
        <v/>
      </c>
      <c r="Q124" s="287" t="str">
        <f t="shared" si="28"/>
        <v/>
      </c>
      <c r="R124" s="286">
        <f t="shared" si="40"/>
        <v>0</v>
      </c>
      <c r="S124" s="287" t="str">
        <f t="shared" si="41"/>
        <v/>
      </c>
      <c r="T124" s="287" t="str">
        <f t="shared" si="29"/>
        <v/>
      </c>
      <c r="U124" s="288" t="str">
        <f t="shared" si="42"/>
        <v/>
      </c>
      <c r="V124" s="288"/>
      <c r="W124" s="288"/>
      <c r="X124" s="288"/>
      <c r="Y124" s="288"/>
      <c r="Z124" s="289" t="str">
        <f t="shared" si="30"/>
        <v/>
      </c>
      <c r="AA124" s="274"/>
      <c r="AB124" s="274"/>
      <c r="AC124" s="290">
        <f t="shared" si="43"/>
        <v>0</v>
      </c>
    </row>
    <row r="125" spans="2:29" ht="15.75" x14ac:dyDescent="0.25">
      <c r="B125" s="282" t="str">
        <f t="shared" si="31"/>
        <v/>
      </c>
      <c r="C125" s="283" t="str">
        <f>IF('מודל תמיכה חלוקת 20,294,511 שח'!G98="","",'מודל תמיכה חלוקת 20,294,511 שח'!G98)</f>
        <v/>
      </c>
      <c r="D125" s="284" t="str">
        <f>IF(C125="","",'מודל תמיכה חלוקת 20,294,511 שח'!J98)</f>
        <v/>
      </c>
      <c r="E125" s="284" t="str">
        <f>הגנה!AX125</f>
        <v/>
      </c>
      <c r="F125" s="285" t="str">
        <f t="shared" si="32"/>
        <v/>
      </c>
      <c r="G125" s="284" t="str">
        <f t="shared" si="33"/>
        <v/>
      </c>
      <c r="H125" s="284" t="str">
        <f t="shared" si="25"/>
        <v/>
      </c>
      <c r="I125" s="286">
        <f t="shared" si="34"/>
        <v>0</v>
      </c>
      <c r="J125" s="287" t="str">
        <f t="shared" si="35"/>
        <v/>
      </c>
      <c r="K125" s="287" t="str">
        <f t="shared" si="26"/>
        <v/>
      </c>
      <c r="L125" s="286">
        <f t="shared" si="36"/>
        <v>0</v>
      </c>
      <c r="M125" s="287" t="str">
        <f t="shared" si="37"/>
        <v/>
      </c>
      <c r="N125" s="287" t="str">
        <f t="shared" si="27"/>
        <v/>
      </c>
      <c r="O125" s="286">
        <f t="shared" si="38"/>
        <v>0</v>
      </c>
      <c r="P125" s="287" t="str">
        <f t="shared" si="39"/>
        <v/>
      </c>
      <c r="Q125" s="287" t="str">
        <f t="shared" si="28"/>
        <v/>
      </c>
      <c r="R125" s="286">
        <f t="shared" si="40"/>
        <v>0</v>
      </c>
      <c r="S125" s="287" t="str">
        <f t="shared" si="41"/>
        <v/>
      </c>
      <c r="T125" s="287" t="str">
        <f t="shared" si="29"/>
        <v/>
      </c>
      <c r="U125" s="288" t="str">
        <f t="shared" si="42"/>
        <v/>
      </c>
      <c r="V125" s="288"/>
      <c r="W125" s="288"/>
      <c r="X125" s="288"/>
      <c r="Y125" s="288"/>
      <c r="Z125" s="289" t="str">
        <f t="shared" si="30"/>
        <v/>
      </c>
      <c r="AA125" s="274"/>
      <c r="AB125" s="274"/>
      <c r="AC125" s="290">
        <f t="shared" si="43"/>
        <v>0</v>
      </c>
    </row>
    <row r="126" spans="2:29" ht="15.75" x14ac:dyDescent="0.25">
      <c r="B126" s="282" t="str">
        <f t="shared" si="31"/>
        <v/>
      </c>
      <c r="C126" s="283" t="str">
        <f>IF('מודל תמיכה חלוקת 20,294,511 שח'!G99="","",'מודל תמיכה חלוקת 20,294,511 שח'!G99)</f>
        <v/>
      </c>
      <c r="D126" s="284" t="str">
        <f>IF(C126="","",'מודל תמיכה חלוקת 20,294,511 שח'!J99)</f>
        <v/>
      </c>
      <c r="E126" s="284" t="str">
        <f>הגנה!AX126</f>
        <v/>
      </c>
      <c r="F126" s="285" t="str">
        <f t="shared" si="32"/>
        <v/>
      </c>
      <c r="G126" s="284" t="str">
        <f t="shared" si="33"/>
        <v/>
      </c>
      <c r="H126" s="284" t="str">
        <f t="shared" si="25"/>
        <v/>
      </c>
      <c r="I126" s="286">
        <f t="shared" si="34"/>
        <v>0</v>
      </c>
      <c r="J126" s="287" t="str">
        <f t="shared" si="35"/>
        <v/>
      </c>
      <c r="K126" s="287" t="str">
        <f t="shared" si="26"/>
        <v/>
      </c>
      <c r="L126" s="286">
        <f t="shared" si="36"/>
        <v>0</v>
      </c>
      <c r="M126" s="287" t="str">
        <f t="shared" si="37"/>
        <v/>
      </c>
      <c r="N126" s="287" t="str">
        <f t="shared" si="27"/>
        <v/>
      </c>
      <c r="O126" s="286">
        <f t="shared" si="38"/>
        <v>0</v>
      </c>
      <c r="P126" s="287" t="str">
        <f t="shared" si="39"/>
        <v/>
      </c>
      <c r="Q126" s="287" t="str">
        <f t="shared" si="28"/>
        <v/>
      </c>
      <c r="R126" s="286">
        <f t="shared" si="40"/>
        <v>0</v>
      </c>
      <c r="S126" s="287" t="str">
        <f t="shared" si="41"/>
        <v/>
      </c>
      <c r="T126" s="287" t="str">
        <f t="shared" si="29"/>
        <v/>
      </c>
      <c r="U126" s="288" t="str">
        <f t="shared" si="42"/>
        <v/>
      </c>
      <c r="V126" s="288"/>
      <c r="W126" s="288"/>
      <c r="X126" s="288"/>
      <c r="Y126" s="288"/>
      <c r="Z126" s="289" t="str">
        <f t="shared" si="30"/>
        <v/>
      </c>
      <c r="AA126" s="274"/>
      <c r="AB126" s="274"/>
      <c r="AC126" s="290">
        <f t="shared" si="43"/>
        <v>0</v>
      </c>
    </row>
    <row r="127" spans="2:29" ht="15.75" x14ac:dyDescent="0.25">
      <c r="B127" s="282" t="str">
        <f t="shared" si="31"/>
        <v/>
      </c>
      <c r="C127" s="283" t="str">
        <f>IF('מודל תמיכה חלוקת 20,294,511 שח'!G100="","",'מודל תמיכה חלוקת 20,294,511 שח'!G100)</f>
        <v/>
      </c>
      <c r="D127" s="284" t="str">
        <f>IF(C127="","",'מודל תמיכה חלוקת 20,294,511 שח'!J100)</f>
        <v/>
      </c>
      <c r="E127" s="284" t="str">
        <f>הגנה!AX127</f>
        <v/>
      </c>
      <c r="F127" s="285" t="str">
        <f t="shared" si="32"/>
        <v/>
      </c>
      <c r="G127" s="284" t="str">
        <f t="shared" si="33"/>
        <v/>
      </c>
      <c r="H127" s="284" t="str">
        <f t="shared" ref="H127:H129" si="44">IF($C127="","",IF(F127=1,G127,G127/SUMIF(F$31:F$129,0,G$31:G$129)*($C$2-SUMIF(F$31:F$129,1,G$31:G$129))))</f>
        <v/>
      </c>
      <c r="I127" s="286">
        <f t="shared" si="34"/>
        <v>0</v>
      </c>
      <c r="J127" s="287" t="str">
        <f t="shared" si="35"/>
        <v/>
      </c>
      <c r="K127" s="287" t="str">
        <f t="shared" ref="K127:K129" si="45">IFERROR(IF($C127="","",IF(I127=1,J127,J127/SUMIF(I$31:I$129,0,J$31:J$129)*($C$2-SUMIF(I$31:I$129,1,J$31:J$129)))),0)</f>
        <v/>
      </c>
      <c r="L127" s="286">
        <f t="shared" si="36"/>
        <v>0</v>
      </c>
      <c r="M127" s="287" t="str">
        <f t="shared" si="37"/>
        <v/>
      </c>
      <c r="N127" s="287" t="str">
        <f t="shared" ref="N127:N129" si="46">IFERROR(IF($C127="","",IF(L127=1,M127,M127/SUMIF(L$31:L$129,0,M$31:M$129)*($C$2-SUMIF(L$31:L$129,1,M$31:M$129)))),0)</f>
        <v/>
      </c>
      <c r="O127" s="286">
        <f t="shared" si="38"/>
        <v>0</v>
      </c>
      <c r="P127" s="287" t="str">
        <f t="shared" si="39"/>
        <v/>
      </c>
      <c r="Q127" s="287" t="str">
        <f t="shared" ref="Q127:Q129" si="47">IFERROR(IF($C127="","",IF(O127=2,P127,IF(O127=1,P127,P127/SUMIF(O$31:O$129,0,P$31:P$129)*($C$2-SUMIF(O$31:O$129,1,P$31:P$129)-SUMIF(O$31:O$129,2,P$31:P$129))))),0)</f>
        <v/>
      </c>
      <c r="R127" s="286">
        <f t="shared" si="40"/>
        <v>0</v>
      </c>
      <c r="S127" s="287" t="str">
        <f t="shared" si="41"/>
        <v/>
      </c>
      <c r="T127" s="287" t="str">
        <f t="shared" ref="T127:T129" si="48">IFERROR(IF($C127="","",IF(R127=2,S127,IF(R127=1,S127,S127/SUMIF(R$31:R$129,0,S$31:S$129)*($C$2-SUMIF(R$31:R$129,1,S$31:S$129)-SUMIF(R$31:R$129,2,S$31:S$129))))),0)</f>
        <v/>
      </c>
      <c r="U127" s="288" t="str">
        <f t="shared" si="42"/>
        <v/>
      </c>
      <c r="V127" s="288"/>
      <c r="W127" s="288"/>
      <c r="X127" s="288"/>
      <c r="Y127" s="288"/>
      <c r="Z127" s="289" t="str">
        <f t="shared" si="30"/>
        <v/>
      </c>
      <c r="AA127" s="274"/>
      <c r="AB127" s="274"/>
      <c r="AC127" s="290">
        <f t="shared" si="43"/>
        <v>0</v>
      </c>
    </row>
    <row r="128" spans="2:29" ht="15.75" x14ac:dyDescent="0.25">
      <c r="B128" s="282" t="str">
        <f t="shared" si="31"/>
        <v/>
      </c>
      <c r="C128" s="283" t="str">
        <f>IF('מודל תמיכה חלוקת 20,294,511 שח'!G101="","",'מודל תמיכה חלוקת 20,294,511 שח'!G101)</f>
        <v/>
      </c>
      <c r="D128" s="284" t="str">
        <f>IF(C128="","",'מודל תמיכה חלוקת 20,294,511 שח'!J101)</f>
        <v/>
      </c>
      <c r="E128" s="284" t="str">
        <f>הגנה!AX128</f>
        <v/>
      </c>
      <c r="F128" s="285" t="str">
        <f t="shared" si="32"/>
        <v/>
      </c>
      <c r="G128" s="284" t="str">
        <f t="shared" si="33"/>
        <v/>
      </c>
      <c r="H128" s="284" t="str">
        <f t="shared" si="44"/>
        <v/>
      </c>
      <c r="I128" s="286">
        <f t="shared" si="34"/>
        <v>0</v>
      </c>
      <c r="J128" s="287" t="str">
        <f t="shared" si="35"/>
        <v/>
      </c>
      <c r="K128" s="287" t="str">
        <f t="shared" si="45"/>
        <v/>
      </c>
      <c r="L128" s="286">
        <f t="shared" si="36"/>
        <v>0</v>
      </c>
      <c r="M128" s="287" t="str">
        <f t="shared" si="37"/>
        <v/>
      </c>
      <c r="N128" s="287" t="str">
        <f t="shared" si="46"/>
        <v/>
      </c>
      <c r="O128" s="286">
        <f t="shared" si="38"/>
        <v>0</v>
      </c>
      <c r="P128" s="287" t="str">
        <f t="shared" si="39"/>
        <v/>
      </c>
      <c r="Q128" s="287" t="str">
        <f t="shared" si="47"/>
        <v/>
      </c>
      <c r="R128" s="286">
        <f t="shared" si="40"/>
        <v>0</v>
      </c>
      <c r="S128" s="287" t="str">
        <f t="shared" si="41"/>
        <v/>
      </c>
      <c r="T128" s="287" t="str">
        <f t="shared" si="48"/>
        <v/>
      </c>
      <c r="U128" s="288" t="str">
        <f t="shared" si="42"/>
        <v/>
      </c>
      <c r="V128" s="288"/>
      <c r="W128" s="288"/>
      <c r="X128" s="288"/>
      <c r="Y128" s="288"/>
      <c r="Z128" s="289" t="str">
        <f t="shared" si="30"/>
        <v/>
      </c>
      <c r="AA128" s="274"/>
      <c r="AB128" s="274"/>
      <c r="AC128" s="290">
        <f t="shared" si="43"/>
        <v>0</v>
      </c>
    </row>
    <row r="129" spans="2:29" ht="16.5" thickBot="1" x14ac:dyDescent="0.3">
      <c r="B129" s="282" t="str">
        <f t="shared" si="31"/>
        <v/>
      </c>
      <c r="C129" s="283" t="str">
        <f>IF('מודל תמיכה חלוקת 20,294,511 שח'!G102="","",'מודל תמיכה חלוקת 20,294,511 שח'!G102)</f>
        <v/>
      </c>
      <c r="D129" s="284" t="str">
        <f>IF(C129="","",'מודל תמיכה חלוקת 20,294,511 שח'!J102)</f>
        <v/>
      </c>
      <c r="E129" s="284" t="str">
        <f>הגנה!AX129</f>
        <v/>
      </c>
      <c r="F129" s="285" t="str">
        <f t="shared" si="32"/>
        <v/>
      </c>
      <c r="G129" s="284" t="str">
        <f t="shared" si="33"/>
        <v/>
      </c>
      <c r="H129" s="284" t="str">
        <f t="shared" si="44"/>
        <v/>
      </c>
      <c r="I129" s="286">
        <f t="shared" si="34"/>
        <v>0</v>
      </c>
      <c r="J129" s="287" t="str">
        <f t="shared" si="35"/>
        <v/>
      </c>
      <c r="K129" s="287" t="str">
        <f t="shared" si="45"/>
        <v/>
      </c>
      <c r="L129" s="286">
        <f t="shared" si="36"/>
        <v>0</v>
      </c>
      <c r="M129" s="287" t="str">
        <f t="shared" si="37"/>
        <v/>
      </c>
      <c r="N129" s="287" t="str">
        <f t="shared" si="46"/>
        <v/>
      </c>
      <c r="O129" s="286">
        <f t="shared" si="38"/>
        <v>0</v>
      </c>
      <c r="P129" s="287" t="str">
        <f t="shared" si="39"/>
        <v/>
      </c>
      <c r="Q129" s="287" t="str">
        <f t="shared" si="47"/>
        <v/>
      </c>
      <c r="R129" s="286">
        <f t="shared" si="40"/>
        <v>0</v>
      </c>
      <c r="S129" s="287" t="str">
        <f t="shared" si="41"/>
        <v/>
      </c>
      <c r="T129" s="287" t="str">
        <f t="shared" si="48"/>
        <v/>
      </c>
      <c r="U129" s="288" t="str">
        <f t="shared" si="42"/>
        <v/>
      </c>
      <c r="V129" s="288"/>
      <c r="W129" s="288"/>
      <c r="X129" s="288"/>
      <c r="Y129" s="288"/>
      <c r="Z129" s="289" t="str">
        <f t="shared" si="30"/>
        <v/>
      </c>
      <c r="AA129" s="274"/>
      <c r="AB129" s="274"/>
      <c r="AC129" s="290">
        <f t="shared" si="43"/>
        <v>0</v>
      </c>
    </row>
    <row r="130" spans="2:29" ht="18.75" thickBot="1" x14ac:dyDescent="0.3">
      <c r="B130" s="346"/>
      <c r="C130" s="347"/>
      <c r="D130" s="291">
        <f>SUM(D31:D129)</f>
        <v>38247800</v>
      </c>
      <c r="E130" s="291">
        <f>SUM(E31:E129)</f>
        <v>20294510.999999993</v>
      </c>
      <c r="F130" s="291"/>
      <c r="G130" s="291">
        <f t="shared" ref="G130:U130" si="49">SUM(G31:G129)</f>
        <v>20191628.020095084</v>
      </c>
      <c r="H130" s="291">
        <f t="shared" si="49"/>
        <v>20294511.000000007</v>
      </c>
      <c r="I130" s="291">
        <f t="shared" si="49"/>
        <v>3</v>
      </c>
      <c r="J130" s="291">
        <f t="shared" si="49"/>
        <v>20294511.000000007</v>
      </c>
      <c r="K130" s="291">
        <f t="shared" si="49"/>
        <v>20294510.999999996</v>
      </c>
      <c r="L130" s="291">
        <f t="shared" si="49"/>
        <v>3</v>
      </c>
      <c r="M130" s="291">
        <f t="shared" si="49"/>
        <v>20294510.999999996</v>
      </c>
      <c r="N130" s="291">
        <f t="shared" si="49"/>
        <v>20294511.000000004</v>
      </c>
      <c r="O130" s="291">
        <f t="shared" si="49"/>
        <v>3</v>
      </c>
      <c r="P130" s="291">
        <f t="shared" si="49"/>
        <v>20294511.000000004</v>
      </c>
      <c r="Q130" s="291">
        <f t="shared" si="49"/>
        <v>20294510.999999996</v>
      </c>
      <c r="R130" s="291">
        <f t="shared" si="49"/>
        <v>3</v>
      </c>
      <c r="S130" s="291">
        <f t="shared" si="49"/>
        <v>20294510.999999996</v>
      </c>
      <c r="T130" s="291">
        <f t="shared" si="49"/>
        <v>20294511.000000007</v>
      </c>
      <c r="U130" s="291">
        <f t="shared" si="49"/>
        <v>20294511.000000007</v>
      </c>
      <c r="V130" s="291"/>
      <c r="W130" s="291"/>
      <c r="X130" s="291"/>
      <c r="Y130" s="291"/>
      <c r="Z130" s="292">
        <f>SUM(Z31:Z129)</f>
        <v>1.0000000000000002</v>
      </c>
      <c r="AA130" s="274"/>
      <c r="AB130" s="274"/>
      <c r="AC130" s="274"/>
    </row>
    <row r="131" spans="2:29" ht="15" x14ac:dyDescent="0.2">
      <c r="B131" s="274"/>
      <c r="C131" s="274"/>
      <c r="D131" s="274"/>
      <c r="E131" s="274"/>
      <c r="F131" s="274"/>
      <c r="G131" s="274"/>
      <c r="H131" s="274"/>
      <c r="I131" s="274"/>
      <c r="J131" s="274"/>
      <c r="K131" s="274"/>
      <c r="L131" s="274"/>
      <c r="M131" s="274"/>
      <c r="N131" s="274"/>
      <c r="O131" s="274"/>
      <c r="P131" s="274"/>
      <c r="Q131" s="274"/>
      <c r="R131" s="274"/>
      <c r="S131" s="274"/>
      <c r="T131" s="274"/>
      <c r="U131" s="274"/>
      <c r="V131" s="274"/>
      <c r="W131" s="274"/>
      <c r="X131" s="274"/>
      <c r="Y131" s="274"/>
      <c r="Z131" s="274"/>
      <c r="AA131" s="274"/>
      <c r="AB131" s="274"/>
      <c r="AC131" s="274"/>
    </row>
  </sheetData>
  <sheetProtection algorithmName="SHA-512" hashValue="vSuWacRuW6U3wOeHiTlLkyzEetoOdShlLlVop4kWF+5KIApb1QFZTgWuoSH8yLt/I+rmVGuDTFqugdn6gyTUzw==" saltValue="MUNiJ3zsNudPbcsJpmCUig==" spinCount="100000" sheet="1" scenarios="1" formatColumns="0" formatRows="0"/>
  <mergeCells count="13">
    <mergeCell ref="Z29:Z30"/>
    <mergeCell ref="AC29:AC30"/>
    <mergeCell ref="B130:C130"/>
    <mergeCell ref="F2:U2"/>
    <mergeCell ref="B28:Z28"/>
    <mergeCell ref="B29:B30"/>
    <mergeCell ref="C29:C30"/>
    <mergeCell ref="D29:D30"/>
    <mergeCell ref="E29:E30"/>
    <mergeCell ref="F29:F30"/>
    <mergeCell ref="G29:G30"/>
    <mergeCell ref="H29:H30"/>
    <mergeCell ref="U29:U30"/>
  </mergeCells>
  <conditionalFormatting sqref="C1:C2 B31:H129 U32:Z129 U31:U129">
    <cfRule type="containsBlanks" dxfId="8" priority="2">
      <formula>LEN(TRIM(B1))=0</formula>
    </cfRule>
  </conditionalFormatting>
  <conditionalFormatting sqref="V31:Z31">
    <cfRule type="containsBlanks" dxfId="7" priority="5">
      <formula>LEN(TRIM(V31))=0</formula>
    </cfRule>
  </conditionalFormatting>
  <conditionalFormatting sqref="I31:T129">
    <cfRule type="containsText" dxfId="6" priority="6" operator="containsText" text="הזנה שגויה">
      <formula>NOT(ISERROR(SEARCH("הזנה שגויה",I31)))</formula>
    </cfRule>
  </conditionalFormatting>
  <dataValidations count="1">
    <dataValidation type="decimal" operator="greaterThanOrEqual" allowBlank="1" showInputMessage="1" showErrorMessage="1" error="יש להזין מספר שאינו שלילי" sqref="D31:D129" xr:uid="{78155939-47BF-4EDB-ACDF-8D52F1B9391D}">
      <formula1>0</formula1>
    </dataValidation>
  </dataValidations>
  <printOptions horizontalCentered="1"/>
  <pageMargins left="0.51181102362204722" right="0.51181102362204722" top="0.74803149606299213" bottom="0.74803149606299213" header="0.31496062992125984" footer="0.31496062992125984"/>
  <pageSetup paperSize="9" scale="67"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755614FD-0492-4DB0-9EEC-A61365EC33A0}">
            <xm:f>NOT(ISERROR(SEARCH($AF$1,E31)))</xm:f>
            <xm:f>$AF$1</xm:f>
            <x14:dxf>
              <fill>
                <patternFill>
                  <bgColor rgb="FFFF0000"/>
                </patternFill>
              </fill>
            </x14:dxf>
          </x14:cfRule>
          <xm:sqref>E31:E129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A0EC-24ED-46B8-97B8-0482165D2B02}">
  <sheetPr>
    <tabColor theme="4" tint="-0.249977111117893"/>
  </sheetPr>
  <dimension ref="A1:GU130"/>
  <sheetViews>
    <sheetView rightToLeft="1" view="pageBreakPreview" topLeftCell="B1" zoomScale="80" zoomScaleNormal="100" zoomScaleSheetLayoutView="80" workbookViewId="0">
      <selection activeCell="G39" sqref="G39"/>
    </sheetView>
  </sheetViews>
  <sheetFormatPr defaultColWidth="7.875" defaultRowHeight="15.75" x14ac:dyDescent="0.25"/>
  <cols>
    <col min="1" max="1" width="1.75" style="230" hidden="1" customWidth="1"/>
    <col min="2" max="2" width="7.75" style="227" customWidth="1"/>
    <col min="3" max="3" width="38.375" style="227" customWidth="1"/>
    <col min="4" max="4" width="23.125" style="227" customWidth="1"/>
    <col min="5" max="5" width="22.75" style="227" customWidth="1"/>
    <col min="6" max="6" width="21.75" style="227" customWidth="1"/>
    <col min="7" max="7" width="19.875" style="227" customWidth="1"/>
    <col min="8" max="8" width="20.625" style="227" hidden="1" customWidth="1"/>
    <col min="9" max="9" width="12.875" style="227" customWidth="1"/>
    <col min="10" max="48" width="12.5" style="227" hidden="1" customWidth="1"/>
    <col min="49" max="49" width="14.875" style="227" customWidth="1"/>
    <col min="50" max="50" width="13.75" style="227" bestFit="1" customWidth="1"/>
    <col min="51" max="52" width="7.875" style="230" hidden="1" customWidth="1"/>
    <col min="53" max="54" width="0" style="230" hidden="1" customWidth="1"/>
    <col min="55" max="59" width="7.875" style="230" hidden="1" customWidth="1"/>
    <col min="60" max="201" width="0" style="230" hidden="1" customWidth="1"/>
    <col min="202" max="202" width="7.875" style="230"/>
    <col min="203" max="203" width="8.375" style="230" bestFit="1" customWidth="1"/>
    <col min="204" max="16384" width="7.875" style="230"/>
  </cols>
  <sheetData>
    <row r="1" spans="2:54" ht="15.75" customHeight="1" x14ac:dyDescent="0.25">
      <c r="C1" s="228" t="str">
        <f>'מודל תמיכה חלוקת 20,294,511 שח'!AB1</f>
        <v>שנת התקציב</v>
      </c>
      <c r="D1" s="229">
        <f>'מודל תמיכה חלוקת 20,294,511 שח'!AC1</f>
        <v>2024</v>
      </c>
      <c r="BB1" s="230" t="s">
        <v>469</v>
      </c>
    </row>
    <row r="2" spans="2:54" ht="18.75" thickBot="1" x14ac:dyDescent="0.3">
      <c r="C2" s="231" t="str">
        <f>'מודל תמיכה חלוקת 20,294,511 שח'!AB2</f>
        <v xml:space="preserve">תקציב שנתי </v>
      </c>
      <c r="D2" s="232">
        <f>'מודל תמיכה חלוקת 20,294,511 שח'!AC2</f>
        <v>20294511</v>
      </c>
    </row>
    <row r="3" spans="2:54" ht="24.75" hidden="1" customHeight="1" x14ac:dyDescent="0.25"/>
    <row r="4" spans="2:54" ht="16.5" thickBot="1" x14ac:dyDescent="0.3">
      <c r="F4" s="233"/>
    </row>
    <row r="5" spans="2:54" s="236" customFormat="1" ht="15.75" customHeight="1" x14ac:dyDescent="0.25">
      <c r="B5" s="233"/>
      <c r="C5" s="234" t="s">
        <v>470</v>
      </c>
      <c r="D5" s="235">
        <v>0.2</v>
      </c>
      <c r="E5" s="233"/>
      <c r="J5" s="233"/>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c r="AM5" s="233"/>
      <c r="AN5" s="233"/>
      <c r="AO5" s="233"/>
      <c r="AP5" s="233"/>
      <c r="AQ5" s="233"/>
      <c r="AR5" s="233"/>
      <c r="AS5" s="233"/>
      <c r="AT5" s="233"/>
      <c r="AU5" s="233"/>
      <c r="AV5" s="233"/>
      <c r="AW5" s="233"/>
      <c r="AX5" s="233"/>
    </row>
    <row r="6" spans="2:54" s="236" customFormat="1" ht="18.75" customHeight="1" thickBot="1" x14ac:dyDescent="0.3">
      <c r="B6" s="233"/>
      <c r="C6" s="237" t="s">
        <v>471</v>
      </c>
      <c r="D6" s="238">
        <f>1-D5</f>
        <v>0.8</v>
      </c>
      <c r="E6" s="233"/>
      <c r="J6" s="233"/>
      <c r="K6" s="233"/>
      <c r="L6" s="233"/>
      <c r="M6" s="233"/>
      <c r="N6" s="233"/>
      <c r="O6" s="233"/>
      <c r="P6" s="233"/>
      <c r="Q6" s="233"/>
      <c r="R6" s="233"/>
      <c r="S6" s="233"/>
      <c r="T6" s="233"/>
      <c r="U6" s="233"/>
      <c r="V6" s="233"/>
      <c r="W6" s="233"/>
      <c r="X6" s="233"/>
      <c r="Y6" s="233"/>
      <c r="Z6" s="233"/>
      <c r="AA6" s="233"/>
      <c r="AB6" s="233"/>
      <c r="AC6" s="233"/>
      <c r="AD6" s="233"/>
      <c r="AE6" s="233"/>
      <c r="AF6" s="233"/>
      <c r="AG6" s="233"/>
      <c r="AH6" s="233"/>
      <c r="AI6" s="233"/>
      <c r="AJ6" s="233"/>
      <c r="AK6" s="233"/>
      <c r="AL6" s="233"/>
      <c r="AM6" s="233"/>
      <c r="AN6" s="233"/>
      <c r="AO6" s="233"/>
      <c r="AP6" s="233"/>
      <c r="AQ6" s="233"/>
      <c r="AR6" s="233"/>
      <c r="AS6" s="233"/>
      <c r="AT6" s="233"/>
      <c r="AU6" s="233"/>
      <c r="AV6" s="233"/>
      <c r="AW6" s="233"/>
      <c r="AX6" s="233"/>
    </row>
    <row r="7" spans="2:54" s="236" customFormat="1" ht="6" customHeight="1" thickBot="1" x14ac:dyDescent="0.3">
      <c r="B7" s="233"/>
      <c r="C7" s="233"/>
      <c r="D7" s="233"/>
      <c r="E7" s="233"/>
      <c r="H7" s="233"/>
      <c r="I7" s="233"/>
      <c r="J7" s="233"/>
      <c r="K7" s="233"/>
      <c r="L7" s="233"/>
      <c r="M7" s="233"/>
      <c r="N7" s="233"/>
      <c r="O7" s="233"/>
      <c r="P7" s="233"/>
      <c r="Q7" s="233"/>
      <c r="R7" s="233"/>
      <c r="S7" s="233"/>
      <c r="T7" s="233"/>
      <c r="U7" s="233"/>
      <c r="V7" s="233"/>
      <c r="W7" s="233"/>
      <c r="X7" s="233"/>
      <c r="Y7" s="233"/>
      <c r="Z7" s="233"/>
      <c r="AA7" s="233"/>
      <c r="AB7" s="233"/>
      <c r="AC7" s="233"/>
      <c r="AD7" s="233"/>
      <c r="AE7" s="233"/>
      <c r="AF7" s="233"/>
      <c r="AG7" s="233"/>
      <c r="AH7" s="233"/>
      <c r="AI7" s="233"/>
      <c r="AJ7" s="233"/>
      <c r="AK7" s="233"/>
      <c r="AL7" s="233"/>
      <c r="AM7" s="233"/>
      <c r="AN7" s="233"/>
      <c r="AO7" s="233"/>
      <c r="AP7" s="233"/>
      <c r="AQ7" s="233"/>
      <c r="AR7" s="233"/>
      <c r="AS7" s="233"/>
      <c r="AT7" s="233"/>
      <c r="AU7" s="233"/>
      <c r="AV7" s="233"/>
      <c r="AW7" s="233"/>
      <c r="AX7" s="233"/>
    </row>
    <row r="8" spans="2:54" s="236" customFormat="1" ht="16.5" hidden="1" thickBot="1" x14ac:dyDescent="0.3">
      <c r="B8" s="233"/>
      <c r="C8" s="233"/>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3"/>
      <c r="AI8" s="233"/>
      <c r="AJ8" s="233"/>
      <c r="AK8" s="233"/>
      <c r="AL8" s="233"/>
      <c r="AM8" s="233"/>
      <c r="AN8" s="233"/>
      <c r="AO8" s="233"/>
      <c r="AP8" s="233"/>
      <c r="AQ8" s="233"/>
      <c r="AR8" s="233"/>
      <c r="AS8" s="233"/>
      <c r="AT8" s="233"/>
      <c r="AU8" s="233"/>
      <c r="AV8" s="233"/>
      <c r="AW8" s="233"/>
      <c r="AX8" s="233"/>
    </row>
    <row r="9" spans="2:54" s="236" customFormat="1" ht="16.5" hidden="1" thickBot="1" x14ac:dyDescent="0.3">
      <c r="B9" s="233"/>
      <c r="C9" s="233"/>
      <c r="D9" s="233"/>
      <c r="E9" s="233"/>
      <c r="F9" s="233"/>
      <c r="G9" s="233"/>
      <c r="H9" s="233"/>
      <c r="I9" s="233"/>
      <c r="J9" s="233"/>
      <c r="K9" s="233"/>
      <c r="L9" s="233"/>
      <c r="M9" s="233"/>
      <c r="N9" s="233"/>
      <c r="O9" s="233"/>
      <c r="P9" s="233"/>
      <c r="Q9" s="233"/>
      <c r="R9" s="233"/>
      <c r="S9" s="233"/>
      <c r="T9" s="233"/>
      <c r="U9" s="233"/>
      <c r="V9" s="233"/>
      <c r="W9" s="233"/>
      <c r="X9" s="233"/>
      <c r="Y9" s="233"/>
      <c r="Z9" s="233"/>
      <c r="AA9" s="233"/>
      <c r="AB9" s="233"/>
      <c r="AC9" s="233"/>
      <c r="AD9" s="233"/>
      <c r="AE9" s="233"/>
      <c r="AF9" s="233"/>
      <c r="AG9" s="233"/>
      <c r="AH9" s="233"/>
      <c r="AI9" s="233"/>
      <c r="AJ9" s="233"/>
      <c r="AK9" s="233"/>
      <c r="AL9" s="233"/>
      <c r="AM9" s="233"/>
      <c r="AN9" s="233"/>
      <c r="AO9" s="233"/>
      <c r="AP9" s="233"/>
      <c r="AQ9" s="233"/>
      <c r="AR9" s="233"/>
      <c r="AS9" s="233"/>
      <c r="AT9" s="233"/>
      <c r="AU9" s="233"/>
      <c r="AV9" s="233"/>
      <c r="AW9" s="233"/>
      <c r="AX9" s="233"/>
    </row>
    <row r="10" spans="2:54" s="236" customFormat="1" ht="16.5" hidden="1" thickBot="1" x14ac:dyDescent="0.3">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c r="AL10" s="233"/>
      <c r="AM10" s="233"/>
      <c r="AN10" s="233"/>
      <c r="AO10" s="233"/>
      <c r="AP10" s="233"/>
      <c r="AQ10" s="233"/>
      <c r="AR10" s="233"/>
      <c r="AS10" s="233"/>
      <c r="AT10" s="233"/>
      <c r="AU10" s="233"/>
      <c r="AV10" s="233"/>
      <c r="AW10" s="233"/>
      <c r="AX10" s="233"/>
    </row>
    <row r="11" spans="2:54" s="236" customFormat="1" ht="16.5" hidden="1" thickBot="1" x14ac:dyDescent="0.3">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row>
    <row r="12" spans="2:54" s="236" customFormat="1" ht="16.5" hidden="1" thickBot="1" x14ac:dyDescent="0.3">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row>
    <row r="13" spans="2:54" s="236" customFormat="1" ht="16.5" hidden="1" thickBot="1" x14ac:dyDescent="0.3">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row>
    <row r="14" spans="2:54" s="236" customFormat="1" ht="16.5" hidden="1" thickBot="1" x14ac:dyDescent="0.3">
      <c r="B14" s="233"/>
      <c r="C14" s="233"/>
      <c r="D14" s="233"/>
      <c r="E14" s="233"/>
      <c r="F14" s="233"/>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row>
    <row r="15" spans="2:54" s="236" customFormat="1" ht="16.5" hidden="1" thickBot="1" x14ac:dyDescent="0.3">
      <c r="B15" s="233"/>
      <c r="C15" s="233"/>
      <c r="D15" s="233"/>
      <c r="E15" s="233"/>
      <c r="F15" s="233"/>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row>
    <row r="16" spans="2:54" s="236" customFormat="1" ht="16.5" hidden="1" thickBot="1" x14ac:dyDescent="0.3">
      <c r="B16" s="233"/>
      <c r="C16" s="233"/>
      <c r="D16" s="233"/>
      <c r="E16" s="233"/>
      <c r="F16" s="233"/>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row>
    <row r="17" spans="2:203" s="236" customFormat="1" ht="16.5" hidden="1" thickBot="1" x14ac:dyDescent="0.3">
      <c r="B17" s="233"/>
      <c r="C17" s="233"/>
      <c r="D17" s="233"/>
      <c r="E17" s="233"/>
      <c r="F17" s="233"/>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row>
    <row r="18" spans="2:203" s="236" customFormat="1" ht="16.5" hidden="1" thickBot="1" x14ac:dyDescent="0.3">
      <c r="B18" s="233"/>
      <c r="C18" s="233"/>
      <c r="D18" s="233"/>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row>
    <row r="19" spans="2:203" s="236" customFormat="1" ht="16.5" hidden="1" thickBot="1" x14ac:dyDescent="0.3">
      <c r="B19" s="233"/>
      <c r="C19" s="233"/>
      <c r="D19" s="233"/>
      <c r="E19" s="233"/>
      <c r="F19" s="233"/>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row>
    <row r="20" spans="2:203" s="236" customFormat="1" ht="16.5" hidden="1" thickBot="1" x14ac:dyDescent="0.3">
      <c r="B20" s="233"/>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row>
    <row r="21" spans="2:203" s="236" customFormat="1" ht="16.5" hidden="1" thickBot="1" x14ac:dyDescent="0.3">
      <c r="B21" s="233"/>
      <c r="C21" s="233"/>
      <c r="D21" s="233"/>
      <c r="E21" s="233"/>
      <c r="F21" s="233"/>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row>
    <row r="22" spans="2:203" s="236" customFormat="1" ht="16.5" hidden="1" thickBot="1" x14ac:dyDescent="0.3">
      <c r="B22" s="233"/>
      <c r="C22" s="233"/>
      <c r="D22" s="233"/>
      <c r="E22" s="233"/>
      <c r="F22" s="233"/>
      <c r="G22" s="233"/>
      <c r="H22" s="233"/>
      <c r="I22" s="233"/>
      <c r="J22" s="233"/>
      <c r="K22" s="233"/>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row>
    <row r="23" spans="2:203" s="236" customFormat="1" ht="16.5" hidden="1" thickBot="1" x14ac:dyDescent="0.3">
      <c r="B23" s="233"/>
      <c r="C23" s="233"/>
      <c r="D23" s="233"/>
      <c r="E23" s="233"/>
      <c r="F23" s="233"/>
      <c r="G23" s="233"/>
      <c r="H23" s="233"/>
      <c r="I23" s="233"/>
      <c r="J23" s="233"/>
      <c r="K23" s="233"/>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row>
    <row r="24" spans="2:203" s="236" customFormat="1" ht="16.5" hidden="1" thickBot="1" x14ac:dyDescent="0.3">
      <c r="B24" s="233"/>
      <c r="C24" s="233"/>
      <c r="D24" s="233"/>
      <c r="E24" s="233"/>
      <c r="F24" s="233"/>
      <c r="G24" s="233"/>
      <c r="H24" s="233"/>
      <c r="I24" s="233"/>
      <c r="J24" s="233"/>
      <c r="K24" s="233"/>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row>
    <row r="25" spans="2:203" s="236" customFormat="1" ht="16.5" hidden="1" thickBot="1" x14ac:dyDescent="0.3">
      <c r="B25" s="233"/>
      <c r="C25" s="233"/>
      <c r="D25" s="233"/>
      <c r="E25" s="233"/>
      <c r="F25" s="233"/>
      <c r="G25" s="233"/>
      <c r="H25" s="233"/>
      <c r="I25" s="233"/>
      <c r="J25" s="233"/>
      <c r="K25" s="233"/>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row>
    <row r="26" spans="2:203" s="236" customFormat="1" ht="16.5" hidden="1" thickBot="1" x14ac:dyDescent="0.3">
      <c r="B26" s="233"/>
      <c r="C26" s="233"/>
      <c r="D26" s="233"/>
      <c r="E26" s="233"/>
      <c r="F26" s="233"/>
      <c r="G26" s="233"/>
      <c r="H26" s="233"/>
      <c r="I26" s="233"/>
      <c r="J26" s="233"/>
      <c r="K26" s="233"/>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row>
    <row r="27" spans="2:203" s="236" customFormat="1" ht="16.5" hidden="1" thickBot="1" x14ac:dyDescent="0.3">
      <c r="B27" s="233"/>
      <c r="C27" s="233"/>
      <c r="D27" s="233"/>
      <c r="E27" s="233"/>
      <c r="F27" s="233"/>
      <c r="G27" s="233"/>
      <c r="H27" s="233"/>
      <c r="I27" s="233"/>
      <c r="J27" s="233"/>
      <c r="K27" s="233"/>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row>
    <row r="28" spans="2:203" s="236" customFormat="1" ht="19.5" thickBot="1" x14ac:dyDescent="0.3">
      <c r="B28" s="239" t="str">
        <f ca="1">MID(CELL("filename",B27),FIND("]",CELL("filename",C27),1)+1,99)</f>
        <v>הגנה</v>
      </c>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1"/>
    </row>
    <row r="29" spans="2:203" s="236" customFormat="1" ht="31.5" customHeight="1" x14ac:dyDescent="0.25">
      <c r="B29" s="360" t="s">
        <v>472</v>
      </c>
      <c r="C29" s="362" t="s">
        <v>473</v>
      </c>
      <c r="D29" s="362" t="s">
        <v>464</v>
      </c>
      <c r="E29" s="358" t="s">
        <v>474</v>
      </c>
      <c r="F29" s="358" t="str">
        <f>[1]ייצוב!F29</f>
        <v>סכום התמיכה במוסד בשנת 2023</v>
      </c>
      <c r="G29" s="358" t="s">
        <v>475</v>
      </c>
      <c r="H29" s="242" t="s">
        <v>476</v>
      </c>
      <c r="I29" s="358" t="s">
        <v>477</v>
      </c>
      <c r="J29" s="358" t="s">
        <v>478</v>
      </c>
      <c r="K29" s="358" t="s">
        <v>479</v>
      </c>
      <c r="L29" s="358" t="s">
        <v>480</v>
      </c>
      <c r="M29" s="366" t="s">
        <v>481</v>
      </c>
      <c r="N29" s="366" t="s">
        <v>482</v>
      </c>
      <c r="O29" s="366" t="s">
        <v>483</v>
      </c>
      <c r="P29" s="366" t="s">
        <v>484</v>
      </c>
      <c r="Q29" s="366" t="s">
        <v>485</v>
      </c>
      <c r="R29" s="366" t="s">
        <v>486</v>
      </c>
      <c r="S29" s="366" t="s">
        <v>487</v>
      </c>
      <c r="T29" s="366" t="s">
        <v>488</v>
      </c>
      <c r="U29" s="366" t="s">
        <v>489</v>
      </c>
      <c r="V29" s="366" t="s">
        <v>490</v>
      </c>
      <c r="W29" s="366" t="s">
        <v>491</v>
      </c>
      <c r="X29" s="366" t="s">
        <v>492</v>
      </c>
      <c r="Y29" s="366" t="s">
        <v>493</v>
      </c>
      <c r="Z29" s="366" t="s">
        <v>494</v>
      </c>
      <c r="AA29" s="366" t="s">
        <v>495</v>
      </c>
      <c r="AB29" s="366" t="s">
        <v>496</v>
      </c>
      <c r="AC29" s="366" t="s">
        <v>497</v>
      </c>
      <c r="AD29" s="366" t="s">
        <v>498</v>
      </c>
      <c r="AE29" s="366" t="s">
        <v>499</v>
      </c>
      <c r="AF29" s="366" t="s">
        <v>500</v>
      </c>
      <c r="AG29" s="366" t="s">
        <v>501</v>
      </c>
      <c r="AH29" s="366" t="s">
        <v>502</v>
      </c>
      <c r="AI29" s="366" t="s">
        <v>503</v>
      </c>
      <c r="AJ29" s="366" t="s">
        <v>504</v>
      </c>
      <c r="AK29" s="366" t="s">
        <v>505</v>
      </c>
      <c r="AL29" s="366" t="s">
        <v>506</v>
      </c>
      <c r="AM29" s="366" t="s">
        <v>507</v>
      </c>
      <c r="AN29" s="366" t="s">
        <v>508</v>
      </c>
      <c r="AO29" s="366" t="s">
        <v>509</v>
      </c>
      <c r="AP29" s="366" t="s">
        <v>510</v>
      </c>
      <c r="AQ29" s="366" t="s">
        <v>511</v>
      </c>
      <c r="AR29" s="366" t="s">
        <v>512</v>
      </c>
      <c r="AS29" s="366" t="s">
        <v>513</v>
      </c>
      <c r="AT29" s="366" t="s">
        <v>514</v>
      </c>
      <c r="AU29" s="366" t="s">
        <v>515</v>
      </c>
      <c r="AV29" s="366" t="s">
        <v>516</v>
      </c>
      <c r="AW29" s="358" t="s">
        <v>517</v>
      </c>
      <c r="AX29" s="368" t="s">
        <v>518</v>
      </c>
    </row>
    <row r="30" spans="2:203" s="236" customFormat="1" ht="16.5" thickBot="1" x14ac:dyDescent="0.3">
      <c r="B30" s="361"/>
      <c r="C30" s="363"/>
      <c r="D30" s="364"/>
      <c r="E30" s="359"/>
      <c r="F30" s="365"/>
      <c r="G30" s="359"/>
      <c r="H30" s="243" t="s">
        <v>519</v>
      </c>
      <c r="I30" s="359"/>
      <c r="J30" s="359"/>
      <c r="K30" s="359"/>
      <c r="L30" s="359"/>
      <c r="M30" s="367"/>
      <c r="N30" s="367"/>
      <c r="O30" s="367"/>
      <c r="P30" s="367"/>
      <c r="Q30" s="367"/>
      <c r="R30" s="367"/>
      <c r="S30" s="367"/>
      <c r="T30" s="367"/>
      <c r="U30" s="367"/>
      <c r="V30" s="367"/>
      <c r="W30" s="367"/>
      <c r="X30" s="367"/>
      <c r="Y30" s="367"/>
      <c r="Z30" s="367"/>
      <c r="AA30" s="367"/>
      <c r="AB30" s="367"/>
      <c r="AC30" s="367"/>
      <c r="AD30" s="367"/>
      <c r="AE30" s="367"/>
      <c r="AF30" s="367"/>
      <c r="AG30" s="367"/>
      <c r="AH30" s="367"/>
      <c r="AI30" s="367"/>
      <c r="AJ30" s="367"/>
      <c r="AK30" s="367"/>
      <c r="AL30" s="367"/>
      <c r="AM30" s="367"/>
      <c r="AN30" s="367"/>
      <c r="AO30" s="367"/>
      <c r="AP30" s="367"/>
      <c r="AQ30" s="367"/>
      <c r="AR30" s="367"/>
      <c r="AS30" s="367"/>
      <c r="AT30" s="367"/>
      <c r="AU30" s="367"/>
      <c r="AV30" s="367"/>
      <c r="AW30" s="359"/>
      <c r="AX30" s="369"/>
      <c r="BC30" s="244">
        <v>0</v>
      </c>
      <c r="BD30" s="244">
        <v>1</v>
      </c>
      <c r="BF30" s="236" t="s">
        <v>520</v>
      </c>
    </row>
    <row r="31" spans="2:203" s="236" customFormat="1" x14ac:dyDescent="0.25">
      <c r="B31" s="245">
        <f t="shared" ref="B31:B94" si="0">IF(C31="","",ROW()-30)</f>
        <v>1</v>
      </c>
      <c r="C31" s="246" t="str">
        <f>IF('מודל תמיכה חלוקת 20,294,511 שח'!G3="","",'מודל תמיכה חלוקת 20,294,511 שח'!G3)</f>
        <v>"המכון ללימוד מחקר ובנין המקדש"</v>
      </c>
      <c r="D31" s="247">
        <f>IF(C31="","",'מודל תמיכה חלוקת 20,294,511 שח'!V3)</f>
        <v>267960.88186240447</v>
      </c>
      <c r="E31" s="248">
        <f t="shared" ref="E31:E62" si="1">IFERROR(D31/$D$130,"")</f>
        <v>1.3203613620569843E-2</v>
      </c>
      <c r="F31" s="249">
        <f>IF(C31="","",'מודל תמיכה חלוקת 20,294,511 שח'!W3)</f>
        <v>136571</v>
      </c>
      <c r="G31" s="248">
        <f t="shared" ref="G31:G62" si="2">IF($C31="","",IFERROR(F31/$F$130,$BB$1))</f>
        <v>6.7979601987994322E-3</v>
      </c>
      <c r="H31" s="250">
        <v>1</v>
      </c>
      <c r="I31" s="251">
        <f t="shared" ref="I31:I94" si="3">IF($C31="","",IF(OR(E31="",G31="",BF31&lt;&gt;1),$BB$1,IF($E31&lt;$G31*$D$6,1,0)))</f>
        <v>0</v>
      </c>
      <c r="J31" s="252">
        <f t="shared" ref="J31:J94" si="4">IF($C31="","",IF(I31+$H31=2,1,0))</f>
        <v>0</v>
      </c>
      <c r="K31" s="253">
        <f t="shared" ref="K31:K94" si="5">IF($C31="","",IF(J31=1,$G31*$D$6,$E31))</f>
        <v>1.3203613620569843E-2</v>
      </c>
      <c r="L31" s="253">
        <f t="shared" ref="L31:L62" si="6">IF(I31="","",IF(J31=1,K31,K31/SUMIF(J$31:J$129,"&lt;&gt;1",K$31:K$129)*(1-SUMIF(J$31:J$129,"=1",K$31:K$129))))</f>
        <v>1.2969740753433944E-2</v>
      </c>
      <c r="M31" s="254">
        <f t="shared" ref="M31:M94" si="7">IF($C31="","",IF(L31&lt;$G31*$D$6,1,0))</f>
        <v>0</v>
      </c>
      <c r="N31" s="254">
        <f>IF($C31="","",IF(M31+$H31=2,1,0))</f>
        <v>0</v>
      </c>
      <c r="O31" s="255">
        <f t="shared" ref="O31:O94" si="8">IF($C31="","",IF(N31=1,$G31*$D$6,$K31))</f>
        <v>1.3203613620569843E-2</v>
      </c>
      <c r="P31" s="255">
        <f t="shared" ref="P31:P62" si="9">IF(M31="","",IF(N31=1,O31,O31/SUMIF(N$31:N$129,"&lt;&gt;1",O$31:O$129)*(1-SUMIF(N$31:N$129,"=1",O$31:O$129))))</f>
        <v>1.29903037904954E-2</v>
      </c>
      <c r="Q31" s="254">
        <f t="shared" ref="Q31:Q94" si="10">IF($C31="","",IF(P31&lt;$G31*$D$6,1,0))</f>
        <v>0</v>
      </c>
      <c r="R31" s="254">
        <f>IF($C31="","",IF(Q31+$H31=2,1,0))</f>
        <v>0</v>
      </c>
      <c r="S31" s="255">
        <f t="shared" ref="S31:S94" si="11">IF($C31="","",IF(R31=1,$G31*$D$6,$O31))</f>
        <v>1.3203613620569843E-2</v>
      </c>
      <c r="T31" s="255">
        <f t="shared" ref="T31:T62" si="12">IF(Q31="","",IF(R31=1,S31,S31/SUMIF(R$31:R$129,"&lt;&gt;1",S$31:S$129)*(1-SUMIF(R$31:R$129,"=1",S$31:S$129))))</f>
        <v>1.2975600056765759E-2</v>
      </c>
      <c r="U31" s="254">
        <f t="shared" ref="U31:U94" si="13">IF($C31="","",IF(T31&lt;$G31*$D$6,1,0))</f>
        <v>0</v>
      </c>
      <c r="V31" s="254">
        <f>IF($C31="","",IF(U31+$H31=2,1,0))</f>
        <v>0</v>
      </c>
      <c r="W31" s="255">
        <f t="shared" ref="W31:W94" si="14">IF($C31="","",IF(V31=1,$G31*$D$6,T31))</f>
        <v>1.2975600056765759E-2</v>
      </c>
      <c r="X31" s="255">
        <f t="shared" ref="X31:X62" si="15">IF(U31="","",IF(V31=1,W31,W31/SUMIF(V$31:V$129,"&lt;&gt;1",W$31:W$129)*(1-SUMIF(V$31:V$129,"=1",W$31:W$129))))</f>
        <v>1.2962088336025751E-2</v>
      </c>
      <c r="Y31" s="254">
        <f t="shared" ref="Y31:Y94" si="16">IF($C31="","",IF(X31&lt;$G31*$D$6,1,0))</f>
        <v>0</v>
      </c>
      <c r="Z31" s="254">
        <f>IF($C31="","",IF(Y31+$H31=2,1,0))</f>
        <v>0</v>
      </c>
      <c r="AA31" s="255">
        <f t="shared" ref="AA31:AA94" si="17">IF($C31="","",IF(Z31=1,$G31*$D$6,X31))</f>
        <v>1.2962088336025751E-2</v>
      </c>
      <c r="AB31" s="255">
        <f t="shared" ref="AB31:AB62" si="18">IF(Y31="","",IF(Z31=1,AA31,AA31/SUMIF(Z$31:Z$129,"&lt;&gt;1",AA$31:AA$129)*(1-SUMIF(Z$31:Z$129,"=1",AA$31:AA$129))))</f>
        <v>1.296026992830405E-2</v>
      </c>
      <c r="AC31" s="254">
        <f t="shared" ref="AC31:AC94" si="19">IF($C31="","",IF(AB31&lt;$G31*$D$6,1,0))</f>
        <v>0</v>
      </c>
      <c r="AD31" s="254">
        <f>IF($C31="","",IF(AC31+$H31=2,1,0))</f>
        <v>0</v>
      </c>
      <c r="AE31" s="255">
        <f t="shared" ref="AE31:AE94" si="20">IF($C31="","",IF(AD31=1,$G31*$D$6,AB31))</f>
        <v>1.296026992830405E-2</v>
      </c>
      <c r="AF31" s="255">
        <f t="shared" ref="AF31:AF62" si="21">IF(AC31="","",IF(AD31=1,AE31,AE31/SUMIF(AD$31:AD$129,"&lt;&gt;1",AE$31:AE$129)*(1-SUMIF(AD$31:AD$129,"=1",AE$31:AE$129))))</f>
        <v>1.2960160180846603E-2</v>
      </c>
      <c r="AG31" s="254">
        <f t="shared" ref="AG31:AG94" si="22">IF($C31="","",IF(AF31&lt;$G31*$D$6,1,0))</f>
        <v>0</v>
      </c>
      <c r="AH31" s="254">
        <f>IF($C31="","",IF(AG31+$H31=2,1,0))</f>
        <v>0</v>
      </c>
      <c r="AI31" s="255">
        <f t="shared" ref="AI31:AI94" si="23">IF($C31="","",IF(AH31=1,$G31*$D$6,AF31))</f>
        <v>1.2960160180846603E-2</v>
      </c>
      <c r="AJ31" s="255">
        <f t="shared" ref="AJ31:AJ62" si="24">IF(AG31="","",IF(AH31=1,AI31,AI31/SUMIF(AH$31:AH$129,"&lt;&gt;1",AI$31:AI$129)*(1-SUMIF(AH$31:AH$129,"=1",AI$31:AI$129))))</f>
        <v>1.2960145393702511E-2</v>
      </c>
      <c r="AK31" s="254">
        <f t="shared" ref="AK31:AK94" si="25">IF($C31="","",IF(AJ31&lt;$G31*$D$6,1,0))</f>
        <v>0</v>
      </c>
      <c r="AL31" s="254">
        <f>IF($C31="","",IF(AK31+$H31=2,1,0))</f>
        <v>0</v>
      </c>
      <c r="AM31" s="255">
        <f t="shared" ref="AM31:AM94" si="26">IF($C31="","",IF(AL31=1,$G31*$D$6,AJ31))</f>
        <v>1.2960145393702511E-2</v>
      </c>
      <c r="AN31" s="255">
        <f t="shared" ref="AN31:AN62" si="27">IF(AK31="","",IF(AL31=1,AM31,AM31/SUMIF(AL$31:AL$129,"&lt;&gt;1",AM$31:AM$129)*(1-SUMIF(AL$31:AL$129,"=1",AM$31:AM$129))))</f>
        <v>1.2960144501113394E-2</v>
      </c>
      <c r="AO31" s="254">
        <f t="shared" ref="AO31:AO94" si="28">IF($C31="","",IF(AN31&lt;$G31*$D$6,1,0))</f>
        <v>0</v>
      </c>
      <c r="AP31" s="254">
        <f>IF($C31="","",IF(AO31+$H31=2,1,0))</f>
        <v>0</v>
      </c>
      <c r="AQ31" s="255">
        <f t="shared" ref="AQ31:AQ94" si="29">IF($C31="","",IF(AP31=1,$G31*$D$6,AN31))</f>
        <v>1.2960144501113394E-2</v>
      </c>
      <c r="AR31" s="255">
        <f t="shared" ref="AR31:AR62" si="30">IF(AO31="","",IF(AP31=1,AQ31,AQ31/SUMIF(AP$31:AP$129,"&lt;&gt;1",AQ$31:AQ$129)*(1-SUMIF(AP$31:AP$129,"=1",AQ$31:AQ$129))))</f>
        <v>1.2960144380846644E-2</v>
      </c>
      <c r="AS31" s="254">
        <f t="shared" ref="AS31:AS94" si="31">IF($C31="","",IF(OR(AR31&lt;$G31*$D$6,AP31=1,AL31=1,AH31=1,AD31=1,Z31=1,V31=1,R31=1,N31=1,J31=1),1,0))</f>
        <v>0</v>
      </c>
      <c r="AT31" s="254">
        <f>IF($C31="","",IF(AS31+$H31=2,1,0))</f>
        <v>0</v>
      </c>
      <c r="AU31" s="255">
        <f t="shared" ref="AU31:AU94" si="32">IF($C31="","",IF(AT31=1,$G31*$D$6,AR31))</f>
        <v>1.2960144380846644E-2</v>
      </c>
      <c r="AV31" s="255">
        <f t="shared" ref="AV31:AV62" si="33">IF(AS31="","",IFERROR(IF(AT31=1,AU31,AU31/SUMIF(AT$31:AT$129,"&lt;&gt;1",AU$31:AU$129)*(1-SUMIF(AT$31:AT$129,"=1",AU$31:AU$129))),0))</f>
        <v>1.2960144372541336E-2</v>
      </c>
      <c r="AW31" s="256">
        <f t="shared" ref="AW31:AW62" si="34">IF(C31="","",IFERROR(AV31/SUM($AV$31:$AV$129),$BB$1))</f>
        <v>1.2960144372541333E-2</v>
      </c>
      <c r="AX31" s="257">
        <f t="shared" ref="AX31:AX94" si="35">IF(C31="","",IFERROR(AW31*$D$2,$BB$1))</f>
        <v>263019.79253012815</v>
      </c>
      <c r="BC31" s="244">
        <f>IF($C31="","",BC$30)</f>
        <v>0</v>
      </c>
      <c r="BD31" s="244">
        <f>IF($C31="","",BD$30)</f>
        <v>1</v>
      </c>
      <c r="BF31" s="236">
        <f>IF(H31="",0,IF(ISERROR(MATCH(H31,$BC$30:$BD$30,0)),0,1))</f>
        <v>1</v>
      </c>
    </row>
    <row r="32" spans="2:203" s="236" customFormat="1" x14ac:dyDescent="0.25">
      <c r="B32" s="245">
        <f t="shared" si="0"/>
        <v>2</v>
      </c>
      <c r="C32" s="246" t="str">
        <f>IF('מודל תמיכה חלוקת 20,294,511 שח'!G4="","",'מודל תמיכה חלוקת 20,294,511 שח'!G4)</f>
        <v>אוצר ערכי החסידות (ע"ר)</v>
      </c>
      <c r="D32" s="247">
        <f>IF(C32="","",'מודל תמיכה חלוקת 20,294,511 שח'!V4)</f>
        <v>606437.78526754689</v>
      </c>
      <c r="E32" s="248">
        <f t="shared" si="1"/>
        <v>2.9881862404447537E-2</v>
      </c>
      <c r="F32" s="249">
        <f>IF(C32="","",'מודל תמיכה חלוקת 20,294,511 שח'!W4)</f>
        <v>700341</v>
      </c>
      <c r="G32" s="248">
        <f t="shared" si="2"/>
        <v>3.4860184399231123E-2</v>
      </c>
      <c r="H32" s="250">
        <v>1</v>
      </c>
      <c r="I32" s="251">
        <f t="shared" si="3"/>
        <v>0</v>
      </c>
      <c r="J32" s="252">
        <f t="shared" si="4"/>
        <v>0</v>
      </c>
      <c r="K32" s="253">
        <f t="shared" si="5"/>
        <v>2.9881862404447537E-2</v>
      </c>
      <c r="L32" s="253">
        <f t="shared" si="6"/>
        <v>2.9352571178824192E-2</v>
      </c>
      <c r="M32" s="254">
        <f t="shared" si="7"/>
        <v>0</v>
      </c>
      <c r="N32" s="254">
        <f>IF($C32="","",IF(M32+$H32=2,1,0))</f>
        <v>0</v>
      </c>
      <c r="O32" s="255">
        <f t="shared" si="8"/>
        <v>2.9881862404447537E-2</v>
      </c>
      <c r="P32" s="255">
        <f t="shared" si="9"/>
        <v>2.9399108578489583E-2</v>
      </c>
      <c r="Q32" s="254">
        <f t="shared" si="10"/>
        <v>0</v>
      </c>
      <c r="R32" s="254">
        <f>IF($C32="","",IF(Q32+$H32=2,1,0))</f>
        <v>0</v>
      </c>
      <c r="S32" s="255">
        <f t="shared" si="11"/>
        <v>2.9881862404447537E-2</v>
      </c>
      <c r="T32" s="255">
        <f t="shared" si="12"/>
        <v>2.9365831707417241E-2</v>
      </c>
      <c r="U32" s="254">
        <f t="shared" si="13"/>
        <v>0</v>
      </c>
      <c r="V32" s="254">
        <f>IF($C32="","",IF(U32+$H32=2,1,0))</f>
        <v>0</v>
      </c>
      <c r="W32" s="255">
        <f t="shared" si="14"/>
        <v>2.9365831707417241E-2</v>
      </c>
      <c r="X32" s="255">
        <f t="shared" si="15"/>
        <v>2.9335252549953013E-2</v>
      </c>
      <c r="Y32" s="254">
        <f t="shared" si="16"/>
        <v>0</v>
      </c>
      <c r="Z32" s="254">
        <f>IF($C32="","",IF(Y32+$H32=2,1,0))</f>
        <v>0</v>
      </c>
      <c r="AA32" s="255">
        <f t="shared" si="17"/>
        <v>2.9335252549953013E-2</v>
      </c>
      <c r="AB32" s="255">
        <f t="shared" si="18"/>
        <v>2.9331137206161796E-2</v>
      </c>
      <c r="AC32" s="254">
        <f t="shared" si="19"/>
        <v>0</v>
      </c>
      <c r="AD32" s="254">
        <f>IF($C32="","",IF(AC32+$H32=2,1,0))</f>
        <v>0</v>
      </c>
      <c r="AE32" s="255">
        <f t="shared" si="20"/>
        <v>2.9331137206161796E-2</v>
      </c>
      <c r="AF32" s="255">
        <f t="shared" si="21"/>
        <v>2.9330888830337049E-2</v>
      </c>
      <c r="AG32" s="254">
        <f t="shared" si="22"/>
        <v>0</v>
      </c>
      <c r="AH32" s="254">
        <f>IF($C32="","",IF(AG32+$H32=2,1,0))</f>
        <v>0</v>
      </c>
      <c r="AI32" s="255">
        <f t="shared" si="23"/>
        <v>2.9330888830337049E-2</v>
      </c>
      <c r="AJ32" s="255">
        <f t="shared" si="24"/>
        <v>2.9330855364695152E-2</v>
      </c>
      <c r="AK32" s="254">
        <f t="shared" si="25"/>
        <v>0</v>
      </c>
      <c r="AL32" s="254">
        <f>IF($C32="","",IF(AK32+$H32=2,1,0))</f>
        <v>0</v>
      </c>
      <c r="AM32" s="255">
        <f t="shared" si="26"/>
        <v>2.9330855364695152E-2</v>
      </c>
      <c r="AN32" s="255">
        <f t="shared" si="27"/>
        <v>2.9330853344625044E-2</v>
      </c>
      <c r="AO32" s="254">
        <f t="shared" si="28"/>
        <v>0</v>
      </c>
      <c r="AP32" s="254">
        <f>IF($C32="","",IF(AO32+$H32=2,1,0))</f>
        <v>0</v>
      </c>
      <c r="AQ32" s="255">
        <f t="shared" si="29"/>
        <v>2.9330853344625044E-2</v>
      </c>
      <c r="AR32" s="255">
        <f t="shared" si="30"/>
        <v>2.9330853072442403E-2</v>
      </c>
      <c r="AS32" s="254">
        <f t="shared" si="31"/>
        <v>0</v>
      </c>
      <c r="AT32" s="254">
        <f>IF($C32="","",IF(AS32+$H32=2,1,0))</f>
        <v>0</v>
      </c>
      <c r="AU32" s="255">
        <f t="shared" si="32"/>
        <v>2.9330853072442403E-2</v>
      </c>
      <c r="AV32" s="255">
        <f t="shared" si="33"/>
        <v>2.9330853053646178E-2</v>
      </c>
      <c r="AW32" s="256">
        <f t="shared" si="34"/>
        <v>2.9330853053646171E-2</v>
      </c>
      <c r="AX32" s="257">
        <f t="shared" si="35"/>
        <v>595255.31993660587</v>
      </c>
      <c r="BC32" s="244">
        <f t="shared" ref="BC32:BD63" si="36">IF($C32="","",BC$30)</f>
        <v>0</v>
      </c>
      <c r="BD32" s="244">
        <f t="shared" si="36"/>
        <v>1</v>
      </c>
      <c r="BF32" s="236">
        <f t="shared" ref="BF32:BF95" si="37">IF(H32="",0,IF(ISERROR(MATCH(H32,$BC$30:$BD$30,0)),0,1))</f>
        <v>1</v>
      </c>
      <c r="GU32" s="258"/>
    </row>
    <row r="33" spans="2:58" s="236" customFormat="1" x14ac:dyDescent="0.25">
      <c r="B33" s="245">
        <f t="shared" si="0"/>
        <v>3</v>
      </c>
      <c r="C33" s="246" t="str">
        <f>IF('מודל תמיכה חלוקת 20,294,511 שח'!G5="","",'מודל תמיכה חלוקת 20,294,511 שח'!G5)</f>
        <v>אוצרות שלמה להוצאת וההדרת כתבי מרן</v>
      </c>
      <c r="D33" s="247">
        <f>IF(C33="","",'מודל תמיכה חלוקת 20,294,511 שח'!V5)</f>
        <v>451302.53787352325</v>
      </c>
      <c r="E33" s="248">
        <f t="shared" si="1"/>
        <v>2.223766504517026E-2</v>
      </c>
      <c r="F33" s="249">
        <f>IF(C33="","",'מודל תמיכה חלוקת 20,294,511 שח'!W5)</f>
        <v>440421</v>
      </c>
      <c r="G33" s="248">
        <f t="shared" si="2"/>
        <v>2.1922402477212912E-2</v>
      </c>
      <c r="H33" s="250">
        <v>1</v>
      </c>
      <c r="I33" s="251">
        <f t="shared" si="3"/>
        <v>0</v>
      </c>
      <c r="J33" s="252">
        <f t="shared" si="4"/>
        <v>0</v>
      </c>
      <c r="K33" s="253">
        <f t="shared" si="5"/>
        <v>2.223766504517026E-2</v>
      </c>
      <c r="L33" s="253">
        <f t="shared" si="6"/>
        <v>2.1843773900520325E-2</v>
      </c>
      <c r="M33" s="254">
        <f t="shared" si="7"/>
        <v>0</v>
      </c>
      <c r="N33" s="254">
        <f>IF($C33="","",IF(M33+$H33=2,1,0))</f>
        <v>0</v>
      </c>
      <c r="O33" s="255">
        <f t="shared" si="8"/>
        <v>2.223766504517026E-2</v>
      </c>
      <c r="P33" s="255">
        <f t="shared" si="9"/>
        <v>2.1878406383992251E-2</v>
      </c>
      <c r="Q33" s="254">
        <f t="shared" si="10"/>
        <v>0</v>
      </c>
      <c r="R33" s="254">
        <f>IF($C33="","",IF(Q33+$H33=2,1,0))</f>
        <v>0</v>
      </c>
      <c r="S33" s="255">
        <f t="shared" si="11"/>
        <v>2.223766504517026E-2</v>
      </c>
      <c r="T33" s="255">
        <f t="shared" si="12"/>
        <v>2.1853642200868644E-2</v>
      </c>
      <c r="U33" s="254">
        <f t="shared" si="13"/>
        <v>0</v>
      </c>
      <c r="V33" s="254">
        <f>IF($C33="","",IF(U33+$H33=2,1,0))</f>
        <v>0</v>
      </c>
      <c r="W33" s="255">
        <f t="shared" si="14"/>
        <v>2.1853642200868644E-2</v>
      </c>
      <c r="X33" s="255">
        <f t="shared" si="15"/>
        <v>2.1830885618569683E-2</v>
      </c>
      <c r="Y33" s="254">
        <f t="shared" si="16"/>
        <v>0</v>
      </c>
      <c r="Z33" s="254">
        <f>IF($C33="","",IF(Y33+$H33=2,1,0))</f>
        <v>0</v>
      </c>
      <c r="AA33" s="255">
        <f t="shared" si="17"/>
        <v>2.1830885618569683E-2</v>
      </c>
      <c r="AB33" s="255">
        <f t="shared" si="18"/>
        <v>2.1827823037143659E-2</v>
      </c>
      <c r="AC33" s="254">
        <f t="shared" si="19"/>
        <v>0</v>
      </c>
      <c r="AD33" s="254">
        <f>IF($C33="","",IF(AC33+$H33=2,1,0))</f>
        <v>0</v>
      </c>
      <c r="AE33" s="255">
        <f t="shared" si="20"/>
        <v>2.1827823037143659E-2</v>
      </c>
      <c r="AF33" s="255">
        <f t="shared" si="21"/>
        <v>2.1827638199320591E-2</v>
      </c>
      <c r="AG33" s="254">
        <f t="shared" si="22"/>
        <v>0</v>
      </c>
      <c r="AH33" s="254">
        <f>IF($C33="","",IF(AG33+$H33=2,1,0))</f>
        <v>0</v>
      </c>
      <c r="AI33" s="255">
        <f t="shared" si="23"/>
        <v>2.1827638199320591E-2</v>
      </c>
      <c r="AJ33" s="255">
        <f t="shared" si="24"/>
        <v>2.1827613294656854E-2</v>
      </c>
      <c r="AK33" s="254">
        <f t="shared" si="25"/>
        <v>0</v>
      </c>
      <c r="AL33" s="254">
        <f>IF($C33="","",IF(AK33+$H33=2,1,0))</f>
        <v>0</v>
      </c>
      <c r="AM33" s="255">
        <f t="shared" si="26"/>
        <v>2.1827613294656854E-2</v>
      </c>
      <c r="AN33" s="255">
        <f t="shared" si="27"/>
        <v>2.1827611791348865E-2</v>
      </c>
      <c r="AO33" s="254">
        <f t="shared" si="28"/>
        <v>0</v>
      </c>
      <c r="AP33" s="254">
        <f>IF($C33="","",IF(AO33+$H33=2,1,0))</f>
        <v>0</v>
      </c>
      <c r="AQ33" s="255">
        <f t="shared" si="29"/>
        <v>2.1827611791348865E-2</v>
      </c>
      <c r="AR33" s="255">
        <f t="shared" si="30"/>
        <v>2.182761158879434E-2</v>
      </c>
      <c r="AS33" s="254">
        <f t="shared" si="31"/>
        <v>0</v>
      </c>
      <c r="AT33" s="254">
        <f>IF($C33="","",IF(AS33+$H33=2,1,0))</f>
        <v>0</v>
      </c>
      <c r="AU33" s="255">
        <f t="shared" si="32"/>
        <v>2.182761158879434E-2</v>
      </c>
      <c r="AV33" s="255">
        <f t="shared" si="33"/>
        <v>2.1827611574806453E-2</v>
      </c>
      <c r="AW33" s="256">
        <f t="shared" si="34"/>
        <v>2.1827611574806449E-2</v>
      </c>
      <c r="AX33" s="257">
        <f t="shared" si="35"/>
        <v>442980.70320863678</v>
      </c>
      <c r="BC33" s="244">
        <f t="shared" si="36"/>
        <v>0</v>
      </c>
      <c r="BD33" s="244">
        <f t="shared" si="36"/>
        <v>1</v>
      </c>
      <c r="BF33" s="236">
        <f t="shared" si="37"/>
        <v>1</v>
      </c>
    </row>
    <row r="34" spans="2:58" s="236" customFormat="1" x14ac:dyDescent="0.25">
      <c r="B34" s="245">
        <f t="shared" si="0"/>
        <v>4</v>
      </c>
      <c r="C34" s="246" t="str">
        <f>IF('מודל תמיכה חלוקת 20,294,511 שח'!G6="","",'מודל תמיכה חלוקת 20,294,511 שח'!G6)</f>
        <v>אור תורה סטון (ע"ר)</v>
      </c>
      <c r="D34" s="247">
        <f>IF(C34="","",'מודל תמיכה חלוקת 20,294,511 שח'!V6)</f>
        <v>0</v>
      </c>
      <c r="E34" s="248">
        <f t="shared" si="1"/>
        <v>0</v>
      </c>
      <c r="F34" s="249">
        <f>IF(C34="","",'מודל תמיכה חלוקת 20,294,511 שח'!W6)</f>
        <v>0</v>
      </c>
      <c r="G34" s="248">
        <f t="shared" si="2"/>
        <v>0</v>
      </c>
      <c r="H34" s="250">
        <v>1</v>
      </c>
      <c r="I34" s="251">
        <f t="shared" si="3"/>
        <v>0</v>
      </c>
      <c r="J34" s="252">
        <f t="shared" si="4"/>
        <v>0</v>
      </c>
      <c r="K34" s="253">
        <f t="shared" si="5"/>
        <v>0</v>
      </c>
      <c r="L34" s="253">
        <f t="shared" si="6"/>
        <v>0</v>
      </c>
      <c r="M34" s="254">
        <f t="shared" si="7"/>
        <v>0</v>
      </c>
      <c r="N34" s="254">
        <f>IF($C34="","",IF(M34+$H34=2,1,0))</f>
        <v>0</v>
      </c>
      <c r="O34" s="255">
        <f t="shared" si="8"/>
        <v>0</v>
      </c>
      <c r="P34" s="255">
        <f t="shared" si="9"/>
        <v>0</v>
      </c>
      <c r="Q34" s="254">
        <f t="shared" si="10"/>
        <v>0</v>
      </c>
      <c r="R34" s="254">
        <f>IF($C34="","",IF(Q34+$H34=2,1,0))</f>
        <v>0</v>
      </c>
      <c r="S34" s="255">
        <f t="shared" si="11"/>
        <v>0</v>
      </c>
      <c r="T34" s="255">
        <f t="shared" si="12"/>
        <v>0</v>
      </c>
      <c r="U34" s="254">
        <f t="shared" si="13"/>
        <v>0</v>
      </c>
      <c r="V34" s="254">
        <f>IF($C34="","",IF(U34+$H34=2,1,0))</f>
        <v>0</v>
      </c>
      <c r="W34" s="255">
        <f t="shared" si="14"/>
        <v>0</v>
      </c>
      <c r="X34" s="255">
        <f t="shared" si="15"/>
        <v>0</v>
      </c>
      <c r="Y34" s="254">
        <f t="shared" si="16"/>
        <v>0</v>
      </c>
      <c r="Z34" s="254">
        <f>IF($C34="","",IF(Y34+$H34=2,1,0))</f>
        <v>0</v>
      </c>
      <c r="AA34" s="255">
        <f t="shared" si="17"/>
        <v>0</v>
      </c>
      <c r="AB34" s="255">
        <f t="shared" si="18"/>
        <v>0</v>
      </c>
      <c r="AC34" s="254">
        <f t="shared" si="19"/>
        <v>0</v>
      </c>
      <c r="AD34" s="254">
        <f>IF($C34="","",IF(AC34+$H34=2,1,0))</f>
        <v>0</v>
      </c>
      <c r="AE34" s="255">
        <f t="shared" si="20"/>
        <v>0</v>
      </c>
      <c r="AF34" s="255">
        <f t="shared" si="21"/>
        <v>0</v>
      </c>
      <c r="AG34" s="254">
        <f t="shared" si="22"/>
        <v>0</v>
      </c>
      <c r="AH34" s="254">
        <f>IF($C34="","",IF(AG34+$H34=2,1,0))</f>
        <v>0</v>
      </c>
      <c r="AI34" s="255">
        <f t="shared" si="23"/>
        <v>0</v>
      </c>
      <c r="AJ34" s="255">
        <f t="shared" si="24"/>
        <v>0</v>
      </c>
      <c r="AK34" s="254">
        <f t="shared" si="25"/>
        <v>0</v>
      </c>
      <c r="AL34" s="254">
        <f>IF($C34="","",IF(AK34+$H34=2,1,0))</f>
        <v>0</v>
      </c>
      <c r="AM34" s="255">
        <f t="shared" si="26"/>
        <v>0</v>
      </c>
      <c r="AN34" s="255">
        <f t="shared" si="27"/>
        <v>0</v>
      </c>
      <c r="AO34" s="254">
        <f t="shared" si="28"/>
        <v>0</v>
      </c>
      <c r="AP34" s="254">
        <f>IF($C34="","",IF(AO34+$H34=2,1,0))</f>
        <v>0</v>
      </c>
      <c r="AQ34" s="255">
        <f t="shared" si="29"/>
        <v>0</v>
      </c>
      <c r="AR34" s="255">
        <f t="shared" si="30"/>
        <v>0</v>
      </c>
      <c r="AS34" s="254">
        <f t="shared" si="31"/>
        <v>0</v>
      </c>
      <c r="AT34" s="254">
        <f>IF($C34="","",IF(AS34+$H34=2,1,0))</f>
        <v>0</v>
      </c>
      <c r="AU34" s="255">
        <f t="shared" si="32"/>
        <v>0</v>
      </c>
      <c r="AV34" s="255">
        <f t="shared" si="33"/>
        <v>0</v>
      </c>
      <c r="AW34" s="256">
        <f t="shared" si="34"/>
        <v>0</v>
      </c>
      <c r="AX34" s="257">
        <f t="shared" si="35"/>
        <v>0</v>
      </c>
      <c r="BC34" s="244">
        <f t="shared" si="36"/>
        <v>0</v>
      </c>
      <c r="BD34" s="244">
        <f t="shared" si="36"/>
        <v>1</v>
      </c>
      <c r="BF34" s="236">
        <f t="shared" si="37"/>
        <v>1</v>
      </c>
    </row>
    <row r="35" spans="2:58" s="236" customFormat="1" x14ac:dyDescent="0.25">
      <c r="B35" s="245">
        <f t="shared" si="0"/>
        <v>5</v>
      </c>
      <c r="C35" s="246" t="str">
        <f>IF('מודל תמיכה חלוקת 20,294,511 שח'!G7="","",'מודל תמיכה חלוקת 20,294,511 שח'!G7)</f>
        <v>אורות חמדה (ע"ר)</v>
      </c>
      <c r="D35" s="247">
        <f>IF(C35="","",'מודל תמיכה חלוקת 20,294,511 שח'!V7)</f>
        <v>155135.24739402361</v>
      </c>
      <c r="E35" s="248">
        <f t="shared" si="1"/>
        <v>7.6441973592772765E-3</v>
      </c>
      <c r="F35" s="249">
        <f>IF(C35="","",'מודל תמיכה חלוקת 20,294,511 שח'!W7)</f>
        <v>0</v>
      </c>
      <c r="G35" s="248">
        <f t="shared" si="2"/>
        <v>0</v>
      </c>
      <c r="H35" s="250">
        <v>1</v>
      </c>
      <c r="I35" s="251">
        <f t="shared" si="3"/>
        <v>0</v>
      </c>
      <c r="J35" s="252">
        <f t="shared" si="4"/>
        <v>0</v>
      </c>
      <c r="K35" s="253">
        <f t="shared" si="5"/>
        <v>7.6441973592772765E-3</v>
      </c>
      <c r="L35" s="253">
        <f t="shared" si="6"/>
        <v>7.5087972783038611E-3</v>
      </c>
      <c r="M35" s="254">
        <f t="shared" si="7"/>
        <v>0</v>
      </c>
      <c r="N35" s="254">
        <f t="shared" ref="N35:N97" si="38">IF($C35="","",IF(M35+$H35=2,1,0))</f>
        <v>0</v>
      </c>
      <c r="O35" s="255">
        <f t="shared" si="8"/>
        <v>7.6441973592772765E-3</v>
      </c>
      <c r="P35" s="255">
        <f t="shared" si="9"/>
        <v>7.5207021944973364E-3</v>
      </c>
      <c r="Q35" s="254">
        <f t="shared" si="10"/>
        <v>0</v>
      </c>
      <c r="R35" s="254">
        <f t="shared" ref="R35:R97" si="39">IF($C35="","",IF(Q35+$H35=2,1,0))</f>
        <v>0</v>
      </c>
      <c r="S35" s="255">
        <f t="shared" si="11"/>
        <v>7.6441973592772765E-3</v>
      </c>
      <c r="T35" s="255">
        <f t="shared" si="12"/>
        <v>7.5121895065485954E-3</v>
      </c>
      <c r="U35" s="254">
        <f t="shared" si="13"/>
        <v>0</v>
      </c>
      <c r="V35" s="254">
        <f t="shared" ref="V35:V97" si="40">IF($C35="","",IF(U35+$H35=2,1,0))</f>
        <v>0</v>
      </c>
      <c r="W35" s="255">
        <f t="shared" si="14"/>
        <v>7.5121895065485954E-3</v>
      </c>
      <c r="X35" s="255">
        <f t="shared" si="15"/>
        <v>7.5043669313833274E-3</v>
      </c>
      <c r="Y35" s="254">
        <f t="shared" si="16"/>
        <v>0</v>
      </c>
      <c r="Z35" s="254">
        <f t="shared" ref="Z35:Z97" si="41">IF($C35="","",IF(Y35+$H35=2,1,0))</f>
        <v>0</v>
      </c>
      <c r="AA35" s="255">
        <f t="shared" si="17"/>
        <v>7.5043669313833274E-3</v>
      </c>
      <c r="AB35" s="255">
        <f t="shared" si="18"/>
        <v>7.5033141690181325E-3</v>
      </c>
      <c r="AC35" s="254">
        <f t="shared" si="19"/>
        <v>0</v>
      </c>
      <c r="AD35" s="254">
        <f t="shared" ref="AD35:AD97" si="42">IF($C35="","",IF(AC35+$H35=2,1,0))</f>
        <v>0</v>
      </c>
      <c r="AE35" s="255">
        <f t="shared" si="20"/>
        <v>7.5033141690181325E-3</v>
      </c>
      <c r="AF35" s="255">
        <f t="shared" si="21"/>
        <v>7.5032506310164539E-3</v>
      </c>
      <c r="AG35" s="254">
        <f t="shared" si="22"/>
        <v>0</v>
      </c>
      <c r="AH35" s="254">
        <f t="shared" ref="AH35:AH97" si="43">IF($C35="","",IF(AG35+$H35=2,1,0))</f>
        <v>0</v>
      </c>
      <c r="AI35" s="255">
        <f t="shared" si="23"/>
        <v>7.5032506310164539E-3</v>
      </c>
      <c r="AJ35" s="255">
        <f t="shared" si="24"/>
        <v>7.5032420700382957E-3</v>
      </c>
      <c r="AK35" s="254">
        <f t="shared" si="25"/>
        <v>0</v>
      </c>
      <c r="AL35" s="254">
        <f t="shared" ref="AL35:AL97" si="44">IF($C35="","",IF(AK35+$H35=2,1,0))</f>
        <v>0</v>
      </c>
      <c r="AM35" s="255">
        <f t="shared" si="26"/>
        <v>7.5032420700382957E-3</v>
      </c>
      <c r="AN35" s="255">
        <f t="shared" si="27"/>
        <v>7.5032415532761748E-3</v>
      </c>
      <c r="AO35" s="254">
        <f t="shared" si="28"/>
        <v>0</v>
      </c>
      <c r="AP35" s="254">
        <f t="shared" ref="AP35:AP97" si="45">IF($C35="","",IF(AO35+$H35=2,1,0))</f>
        <v>0</v>
      </c>
      <c r="AQ35" s="255">
        <f t="shared" si="29"/>
        <v>7.5032415532761748E-3</v>
      </c>
      <c r="AR35" s="255">
        <f t="shared" si="30"/>
        <v>7.5032414836480564E-3</v>
      </c>
      <c r="AS35" s="254">
        <f t="shared" si="31"/>
        <v>0</v>
      </c>
      <c r="AT35" s="254">
        <f t="shared" ref="AT35:AT97" si="46">IF($C35="","",IF(AS35+$H35=2,1,0))</f>
        <v>0</v>
      </c>
      <c r="AU35" s="255">
        <f t="shared" si="32"/>
        <v>7.5032414836480564E-3</v>
      </c>
      <c r="AV35" s="255">
        <f t="shared" si="33"/>
        <v>7.5032414788397195E-3</v>
      </c>
      <c r="AW35" s="256">
        <f t="shared" si="34"/>
        <v>7.5032414788397178E-3</v>
      </c>
      <c r="AX35" s="257">
        <f t="shared" si="35"/>
        <v>152274.61672796891</v>
      </c>
      <c r="BC35" s="244">
        <f t="shared" si="36"/>
        <v>0</v>
      </c>
      <c r="BD35" s="244">
        <f t="shared" si="36"/>
        <v>1</v>
      </c>
      <c r="BF35" s="236">
        <f t="shared" si="37"/>
        <v>1</v>
      </c>
    </row>
    <row r="36" spans="2:58" x14ac:dyDescent="0.25">
      <c r="B36" s="245">
        <f t="shared" si="0"/>
        <v>6</v>
      </c>
      <c r="C36" s="246" t="str">
        <f>IF('מודל תמיכה חלוקת 20,294,511 שח'!G8="","",'מודל תמיכה חלוקת 20,294,511 שח'!G8)</f>
        <v>אריאל מפעלי תורה יהדות וחברה בישראל</v>
      </c>
      <c r="D36" s="247">
        <f>IF(C36="","",'מודל תמיכה חלוקת 20,294,511 שח'!V8)</f>
        <v>239754.47324530926</v>
      </c>
      <c r="E36" s="248">
        <f t="shared" si="1"/>
        <v>1.1813759555246703E-2</v>
      </c>
      <c r="F36" s="249">
        <f>IF(C36="","",'מודל תמיכה חלוקת 20,294,511 שח'!W8)</f>
        <v>281581</v>
      </c>
      <c r="G36" s="248">
        <f t="shared" si="2"/>
        <v>1.401598019153512E-2</v>
      </c>
      <c r="H36" s="250">
        <v>1</v>
      </c>
      <c r="I36" s="251">
        <f t="shared" si="3"/>
        <v>0</v>
      </c>
      <c r="J36" s="252">
        <f t="shared" si="4"/>
        <v>0</v>
      </c>
      <c r="K36" s="253">
        <f t="shared" si="5"/>
        <v>1.1813759555246703E-2</v>
      </c>
      <c r="L36" s="253">
        <f t="shared" si="6"/>
        <v>1.1604504884651425E-2</v>
      </c>
      <c r="M36" s="254">
        <f t="shared" si="7"/>
        <v>0</v>
      </c>
      <c r="N36" s="254">
        <f t="shared" si="38"/>
        <v>0</v>
      </c>
      <c r="O36" s="255">
        <f t="shared" si="8"/>
        <v>1.1813759555246703E-2</v>
      </c>
      <c r="P36" s="255">
        <f t="shared" si="9"/>
        <v>1.1622903391495885E-2</v>
      </c>
      <c r="Q36" s="254">
        <f t="shared" si="10"/>
        <v>0</v>
      </c>
      <c r="R36" s="254">
        <f t="shared" si="39"/>
        <v>0</v>
      </c>
      <c r="S36" s="255">
        <f t="shared" si="11"/>
        <v>1.1813759555246703E-2</v>
      </c>
      <c r="T36" s="255">
        <f t="shared" si="12"/>
        <v>1.1609747419211469E-2</v>
      </c>
      <c r="U36" s="254">
        <f t="shared" si="13"/>
        <v>0</v>
      </c>
      <c r="V36" s="254">
        <f t="shared" si="40"/>
        <v>0</v>
      </c>
      <c r="W36" s="255">
        <f t="shared" si="14"/>
        <v>1.1609747419211469E-2</v>
      </c>
      <c r="X36" s="255">
        <f t="shared" si="15"/>
        <v>1.1597657984865145E-2</v>
      </c>
      <c r="Y36" s="254">
        <f t="shared" si="16"/>
        <v>0</v>
      </c>
      <c r="Z36" s="254">
        <f t="shared" si="41"/>
        <v>0</v>
      </c>
      <c r="AA36" s="255">
        <f t="shared" si="17"/>
        <v>1.1597657984865145E-2</v>
      </c>
      <c r="AB36" s="255">
        <f t="shared" si="18"/>
        <v>1.159603098848257E-2</v>
      </c>
      <c r="AC36" s="254">
        <f t="shared" si="19"/>
        <v>0</v>
      </c>
      <c r="AD36" s="254">
        <f t="shared" si="42"/>
        <v>0</v>
      </c>
      <c r="AE36" s="255">
        <f t="shared" si="20"/>
        <v>1.159603098848257E-2</v>
      </c>
      <c r="AF36" s="255">
        <f t="shared" si="21"/>
        <v>1.1595932793389066E-2</v>
      </c>
      <c r="AG36" s="254">
        <f t="shared" si="22"/>
        <v>0</v>
      </c>
      <c r="AH36" s="254">
        <f t="shared" si="43"/>
        <v>0</v>
      </c>
      <c r="AI36" s="255">
        <f t="shared" si="23"/>
        <v>1.1595932793389066E-2</v>
      </c>
      <c r="AJ36" s="255">
        <f t="shared" si="24"/>
        <v>1.1595919562786456E-2</v>
      </c>
      <c r="AK36" s="254">
        <f t="shared" si="25"/>
        <v>0</v>
      </c>
      <c r="AL36" s="254">
        <f t="shared" si="44"/>
        <v>0</v>
      </c>
      <c r="AM36" s="255">
        <f t="shared" si="26"/>
        <v>1.1595919562786456E-2</v>
      </c>
      <c r="AN36" s="255">
        <f t="shared" si="27"/>
        <v>1.1595918764154087E-2</v>
      </c>
      <c r="AO36" s="254">
        <f t="shared" si="28"/>
        <v>0</v>
      </c>
      <c r="AP36" s="254">
        <f t="shared" si="45"/>
        <v>0</v>
      </c>
      <c r="AQ36" s="255">
        <f t="shared" si="29"/>
        <v>1.1595918764154087E-2</v>
      </c>
      <c r="AR36" s="255">
        <f t="shared" si="30"/>
        <v>1.1595918656546996E-2</v>
      </c>
      <c r="AS36" s="254">
        <f t="shared" si="31"/>
        <v>0</v>
      </c>
      <c r="AT36" s="254">
        <f t="shared" si="46"/>
        <v>0</v>
      </c>
      <c r="AU36" s="255">
        <f t="shared" si="32"/>
        <v>1.1595918656546996E-2</v>
      </c>
      <c r="AV36" s="255">
        <f t="shared" si="33"/>
        <v>1.1595918649115931E-2</v>
      </c>
      <c r="AW36" s="256">
        <f t="shared" si="34"/>
        <v>1.159591864911593E-2</v>
      </c>
      <c r="AX36" s="257">
        <f t="shared" si="35"/>
        <v>235333.49857958837</v>
      </c>
      <c r="BC36" s="244">
        <f t="shared" si="36"/>
        <v>0</v>
      </c>
      <c r="BD36" s="244">
        <f t="shared" si="36"/>
        <v>1</v>
      </c>
      <c r="BF36" s="236">
        <f t="shared" si="37"/>
        <v>1</v>
      </c>
    </row>
    <row r="37" spans="2:58" x14ac:dyDescent="0.25">
      <c r="B37" s="245">
        <f t="shared" si="0"/>
        <v>7</v>
      </c>
      <c r="C37" s="246" t="str">
        <f>IF('מודל תמיכה חלוקת 20,294,511 שח'!G9="","",'מודל תמיכה חלוקת 20,294,511 שח'!G9)</f>
        <v>בית המדרש להלכה בהתישבות - אמונת אי"ש</v>
      </c>
      <c r="D37" s="247">
        <f>IF(C37="","",'מודל תמיכה חלוקת 20,294,511 שח'!V9)</f>
        <v>500663.75295343989</v>
      </c>
      <c r="E37" s="248">
        <f t="shared" si="1"/>
        <v>2.4669909659485758E-2</v>
      </c>
      <c r="F37" s="249">
        <f>IF(C37="","",'מודל תמיכה חלוקת 20,294,511 שח'!W9)</f>
        <v>613701</v>
      </c>
      <c r="G37" s="248">
        <f t="shared" si="2"/>
        <v>3.0547590425225053E-2</v>
      </c>
      <c r="H37" s="250">
        <v>1</v>
      </c>
      <c r="I37" s="251">
        <f t="shared" si="3"/>
        <v>0</v>
      </c>
      <c r="J37" s="252">
        <f t="shared" si="4"/>
        <v>0</v>
      </c>
      <c r="K37" s="253">
        <f t="shared" si="5"/>
        <v>2.4669909659485758E-2</v>
      </c>
      <c r="L37" s="253">
        <f t="shared" si="6"/>
        <v>2.4232936670889736E-2</v>
      </c>
      <c r="M37" s="254">
        <f t="shared" si="7"/>
        <v>1</v>
      </c>
      <c r="N37" s="254">
        <f t="shared" si="38"/>
        <v>1</v>
      </c>
      <c r="O37" s="255">
        <f t="shared" si="8"/>
        <v>2.4438072340180042E-2</v>
      </c>
      <c r="P37" s="255">
        <f t="shared" si="9"/>
        <v>2.4438072340180042E-2</v>
      </c>
      <c r="Q37" s="254">
        <f t="shared" si="10"/>
        <v>0</v>
      </c>
      <c r="R37" s="254">
        <f t="shared" si="39"/>
        <v>0</v>
      </c>
      <c r="S37" s="255">
        <f t="shared" si="11"/>
        <v>2.4438072340180042E-2</v>
      </c>
      <c r="T37" s="255">
        <f t="shared" si="12"/>
        <v>2.4016050602274477E-2</v>
      </c>
      <c r="U37" s="254">
        <f t="shared" si="13"/>
        <v>1</v>
      </c>
      <c r="V37" s="254">
        <f t="shared" si="40"/>
        <v>1</v>
      </c>
      <c r="W37" s="255">
        <f t="shared" si="14"/>
        <v>2.4438072340180042E-2</v>
      </c>
      <c r="X37" s="255">
        <f t="shared" si="15"/>
        <v>2.4438072340180042E-2</v>
      </c>
      <c r="Y37" s="254">
        <f t="shared" si="16"/>
        <v>0</v>
      </c>
      <c r="Z37" s="254">
        <f t="shared" si="41"/>
        <v>0</v>
      </c>
      <c r="AA37" s="255">
        <f t="shared" si="17"/>
        <v>2.4438072340180042E-2</v>
      </c>
      <c r="AB37" s="255">
        <f t="shared" si="18"/>
        <v>2.4434644005308773E-2</v>
      </c>
      <c r="AC37" s="254">
        <f t="shared" si="19"/>
        <v>1</v>
      </c>
      <c r="AD37" s="254">
        <f t="shared" si="42"/>
        <v>1</v>
      </c>
      <c r="AE37" s="255">
        <f t="shared" si="20"/>
        <v>2.4438072340180042E-2</v>
      </c>
      <c r="AF37" s="255">
        <f t="shared" si="21"/>
        <v>2.4438072340180042E-2</v>
      </c>
      <c r="AG37" s="254">
        <f t="shared" si="22"/>
        <v>0</v>
      </c>
      <c r="AH37" s="254">
        <f t="shared" si="43"/>
        <v>0</v>
      </c>
      <c r="AI37" s="255">
        <f t="shared" si="23"/>
        <v>2.4438072340180042E-2</v>
      </c>
      <c r="AJ37" s="255">
        <f t="shared" si="24"/>
        <v>2.4438044457091253E-2</v>
      </c>
      <c r="AK37" s="254">
        <f t="shared" si="25"/>
        <v>1</v>
      </c>
      <c r="AL37" s="254">
        <f t="shared" si="44"/>
        <v>1</v>
      </c>
      <c r="AM37" s="255">
        <f t="shared" si="26"/>
        <v>2.4438072340180042E-2</v>
      </c>
      <c r="AN37" s="255">
        <f t="shared" si="27"/>
        <v>2.4438072340180042E-2</v>
      </c>
      <c r="AO37" s="254">
        <f t="shared" si="28"/>
        <v>0</v>
      </c>
      <c r="AP37" s="254">
        <f t="shared" si="45"/>
        <v>0</v>
      </c>
      <c r="AQ37" s="255">
        <f t="shared" si="29"/>
        <v>2.4438072340180042E-2</v>
      </c>
      <c r="AR37" s="255">
        <f t="shared" si="30"/>
        <v>2.4438072113401127E-2</v>
      </c>
      <c r="AS37" s="254">
        <f t="shared" si="31"/>
        <v>1</v>
      </c>
      <c r="AT37" s="254">
        <f t="shared" si="46"/>
        <v>1</v>
      </c>
      <c r="AU37" s="255">
        <f t="shared" si="32"/>
        <v>2.4438072340180042E-2</v>
      </c>
      <c r="AV37" s="255">
        <f t="shared" si="33"/>
        <v>2.4438072340180042E-2</v>
      </c>
      <c r="AW37" s="256">
        <f t="shared" si="34"/>
        <v>2.4438072340180035E-2</v>
      </c>
      <c r="AX37" s="257">
        <f t="shared" si="35"/>
        <v>495958.72792657948</v>
      </c>
      <c r="BC37" s="244">
        <f t="shared" si="36"/>
        <v>0</v>
      </c>
      <c r="BD37" s="244">
        <f t="shared" si="36"/>
        <v>1</v>
      </c>
      <c r="BF37" s="236">
        <f t="shared" si="37"/>
        <v>1</v>
      </c>
    </row>
    <row r="38" spans="2:58" x14ac:dyDescent="0.25">
      <c r="B38" s="245">
        <f t="shared" si="0"/>
        <v>8</v>
      </c>
      <c r="C38" s="246" t="str">
        <f>IF('מודל תמיכה חלוקת 20,294,511 שח'!G10="","",'מודל תמיכה חלוקת 20,294,511 שח'!G10)</f>
        <v>בית ועד הר-חברון (ע"ר)</v>
      </c>
      <c r="D38" s="247">
        <f>IF(C38="","",'מודל תמיכה חלוקת 20,294,511 שח'!V10)</f>
        <v>275012.48401667824</v>
      </c>
      <c r="E38" s="248">
        <f t="shared" si="1"/>
        <v>1.3551077136900628E-2</v>
      </c>
      <c r="F38" s="249">
        <f>IF(C38="","",'מודל תמיכה חלוקת 20,294,511 שח'!W10)</f>
        <v>259920</v>
      </c>
      <c r="G38" s="248">
        <f t="shared" si="2"/>
        <v>1.2937781922018207E-2</v>
      </c>
      <c r="H38" s="250">
        <v>1</v>
      </c>
      <c r="I38" s="251">
        <f t="shared" si="3"/>
        <v>0</v>
      </c>
      <c r="J38" s="252">
        <f t="shared" si="4"/>
        <v>0</v>
      </c>
      <c r="K38" s="253">
        <f t="shared" si="5"/>
        <v>1.3551077136900628E-2</v>
      </c>
      <c r="L38" s="253">
        <f t="shared" si="6"/>
        <v>1.3311049720629575E-2</v>
      </c>
      <c r="M38" s="254">
        <f t="shared" si="7"/>
        <v>0</v>
      </c>
      <c r="N38" s="254">
        <f t="shared" si="38"/>
        <v>0</v>
      </c>
      <c r="O38" s="255">
        <f t="shared" si="8"/>
        <v>1.3551077136900628E-2</v>
      </c>
      <c r="P38" s="255">
        <f t="shared" si="9"/>
        <v>1.3332153890245278E-2</v>
      </c>
      <c r="Q38" s="254">
        <f t="shared" si="10"/>
        <v>0</v>
      </c>
      <c r="R38" s="254">
        <f t="shared" si="39"/>
        <v>0</v>
      </c>
      <c r="S38" s="255">
        <f t="shared" si="11"/>
        <v>1.3551077136900628E-2</v>
      </c>
      <c r="T38" s="255">
        <f t="shared" si="12"/>
        <v>1.3317063216154331E-2</v>
      </c>
      <c r="U38" s="254">
        <f t="shared" si="13"/>
        <v>0</v>
      </c>
      <c r="V38" s="254">
        <f t="shared" si="40"/>
        <v>0</v>
      </c>
      <c r="W38" s="255">
        <f t="shared" si="14"/>
        <v>1.3317063216154331E-2</v>
      </c>
      <c r="X38" s="255">
        <f t="shared" si="15"/>
        <v>1.3303195923815901E-2</v>
      </c>
      <c r="Y38" s="254">
        <f t="shared" si="16"/>
        <v>0</v>
      </c>
      <c r="Z38" s="254">
        <f t="shared" si="41"/>
        <v>0</v>
      </c>
      <c r="AA38" s="255">
        <f t="shared" si="17"/>
        <v>1.3303195923815901E-2</v>
      </c>
      <c r="AB38" s="255">
        <f t="shared" si="18"/>
        <v>1.3301329663259417E-2</v>
      </c>
      <c r="AC38" s="254">
        <f t="shared" si="19"/>
        <v>0</v>
      </c>
      <c r="AD38" s="254">
        <f t="shared" si="42"/>
        <v>0</v>
      </c>
      <c r="AE38" s="255">
        <f t="shared" si="20"/>
        <v>1.3301329663259417E-2</v>
      </c>
      <c r="AF38" s="255">
        <f t="shared" si="21"/>
        <v>1.3301217027710985E-2</v>
      </c>
      <c r="AG38" s="254">
        <f t="shared" si="22"/>
        <v>0</v>
      </c>
      <c r="AH38" s="254">
        <f t="shared" si="43"/>
        <v>0</v>
      </c>
      <c r="AI38" s="255">
        <f t="shared" si="23"/>
        <v>1.3301217027710985E-2</v>
      </c>
      <c r="AJ38" s="255">
        <f t="shared" si="24"/>
        <v>1.3301201851431523E-2</v>
      </c>
      <c r="AK38" s="254">
        <f t="shared" si="25"/>
        <v>0</v>
      </c>
      <c r="AL38" s="254">
        <f t="shared" si="44"/>
        <v>0</v>
      </c>
      <c r="AM38" s="255">
        <f t="shared" si="26"/>
        <v>1.3301201851431523E-2</v>
      </c>
      <c r="AN38" s="255">
        <f t="shared" si="27"/>
        <v>1.3301200935353218E-2</v>
      </c>
      <c r="AO38" s="254">
        <f t="shared" si="28"/>
        <v>0</v>
      </c>
      <c r="AP38" s="254">
        <f t="shared" si="45"/>
        <v>0</v>
      </c>
      <c r="AQ38" s="255">
        <f t="shared" si="29"/>
        <v>1.3301200935353218E-2</v>
      </c>
      <c r="AR38" s="255">
        <f t="shared" si="30"/>
        <v>1.3301200811921553E-2</v>
      </c>
      <c r="AS38" s="254">
        <f t="shared" si="31"/>
        <v>0</v>
      </c>
      <c r="AT38" s="254">
        <f t="shared" si="46"/>
        <v>0</v>
      </c>
      <c r="AU38" s="255">
        <f t="shared" si="32"/>
        <v>1.3301200811921553E-2</v>
      </c>
      <c r="AV38" s="255">
        <f t="shared" si="33"/>
        <v>1.3301200803397686E-2</v>
      </c>
      <c r="AW38" s="256">
        <f t="shared" si="34"/>
        <v>1.3301200803397683E-2</v>
      </c>
      <c r="AX38" s="257">
        <f t="shared" si="35"/>
        <v>269941.3660177631</v>
      </c>
      <c r="BC38" s="244">
        <f t="shared" si="36"/>
        <v>0</v>
      </c>
      <c r="BD38" s="244">
        <f t="shared" si="36"/>
        <v>1</v>
      </c>
      <c r="BF38" s="236">
        <f t="shared" si="37"/>
        <v>1</v>
      </c>
    </row>
    <row r="39" spans="2:58" x14ac:dyDescent="0.25">
      <c r="B39" s="245">
        <f t="shared" si="0"/>
        <v>9</v>
      </c>
      <c r="C39" s="246" t="str">
        <f>IF('מודל תמיכה חלוקת 20,294,511 שח'!G11="","",'מודל תמיכה חלוקת 20,294,511 שח'!G11)</f>
        <v>בית תלמוד לרבנים בישראל (ע"ר)</v>
      </c>
      <c r="D39" s="247">
        <f>IF(C39="","",'מודל תמיכה חלוקת 20,294,511 שח'!V11)</f>
        <v>0</v>
      </c>
      <c r="E39" s="248">
        <f t="shared" si="1"/>
        <v>0</v>
      </c>
      <c r="F39" s="249">
        <f>IF(C39="","",'מודל תמיכה חלוקת 20,294,511 שח'!W11)</f>
        <v>0</v>
      </c>
      <c r="G39" s="248">
        <f t="shared" si="2"/>
        <v>0</v>
      </c>
      <c r="H39" s="250">
        <v>1</v>
      </c>
      <c r="I39" s="251">
        <f t="shared" si="3"/>
        <v>0</v>
      </c>
      <c r="J39" s="252">
        <f t="shared" si="4"/>
        <v>0</v>
      </c>
      <c r="K39" s="253">
        <f t="shared" si="5"/>
        <v>0</v>
      </c>
      <c r="L39" s="253">
        <f t="shared" si="6"/>
        <v>0</v>
      </c>
      <c r="M39" s="254">
        <f t="shared" si="7"/>
        <v>0</v>
      </c>
      <c r="N39" s="254">
        <f t="shared" si="38"/>
        <v>0</v>
      </c>
      <c r="O39" s="255">
        <f t="shared" si="8"/>
        <v>0</v>
      </c>
      <c r="P39" s="255">
        <f t="shared" si="9"/>
        <v>0</v>
      </c>
      <c r="Q39" s="254">
        <f t="shared" si="10"/>
        <v>0</v>
      </c>
      <c r="R39" s="254">
        <f t="shared" si="39"/>
        <v>0</v>
      </c>
      <c r="S39" s="255">
        <f t="shared" si="11"/>
        <v>0</v>
      </c>
      <c r="T39" s="255">
        <f t="shared" si="12"/>
        <v>0</v>
      </c>
      <c r="U39" s="254">
        <f t="shared" si="13"/>
        <v>0</v>
      </c>
      <c r="V39" s="254">
        <f t="shared" si="40"/>
        <v>0</v>
      </c>
      <c r="W39" s="255">
        <f t="shared" si="14"/>
        <v>0</v>
      </c>
      <c r="X39" s="255">
        <f t="shared" si="15"/>
        <v>0</v>
      </c>
      <c r="Y39" s="254">
        <f t="shared" si="16"/>
        <v>0</v>
      </c>
      <c r="Z39" s="254">
        <f t="shared" si="41"/>
        <v>0</v>
      </c>
      <c r="AA39" s="255">
        <f t="shared" si="17"/>
        <v>0</v>
      </c>
      <c r="AB39" s="255">
        <f t="shared" si="18"/>
        <v>0</v>
      </c>
      <c r="AC39" s="254">
        <f t="shared" si="19"/>
        <v>0</v>
      </c>
      <c r="AD39" s="254">
        <f t="shared" si="42"/>
        <v>0</v>
      </c>
      <c r="AE39" s="255">
        <f t="shared" si="20"/>
        <v>0</v>
      </c>
      <c r="AF39" s="255">
        <f t="shared" si="21"/>
        <v>0</v>
      </c>
      <c r="AG39" s="254">
        <f t="shared" si="22"/>
        <v>0</v>
      </c>
      <c r="AH39" s="254">
        <f t="shared" si="43"/>
        <v>0</v>
      </c>
      <c r="AI39" s="255">
        <f t="shared" si="23"/>
        <v>0</v>
      </c>
      <c r="AJ39" s="255">
        <f t="shared" si="24"/>
        <v>0</v>
      </c>
      <c r="AK39" s="254">
        <f t="shared" si="25"/>
        <v>0</v>
      </c>
      <c r="AL39" s="254">
        <f t="shared" si="44"/>
        <v>0</v>
      </c>
      <c r="AM39" s="255">
        <f t="shared" si="26"/>
        <v>0</v>
      </c>
      <c r="AN39" s="255">
        <f t="shared" si="27"/>
        <v>0</v>
      </c>
      <c r="AO39" s="254">
        <f t="shared" si="28"/>
        <v>0</v>
      </c>
      <c r="AP39" s="254">
        <f t="shared" si="45"/>
        <v>0</v>
      </c>
      <c r="AQ39" s="255">
        <f t="shared" si="29"/>
        <v>0</v>
      </c>
      <c r="AR39" s="255">
        <f t="shared" si="30"/>
        <v>0</v>
      </c>
      <c r="AS39" s="254">
        <f t="shared" si="31"/>
        <v>0</v>
      </c>
      <c r="AT39" s="254">
        <f t="shared" si="46"/>
        <v>0</v>
      </c>
      <c r="AU39" s="255">
        <f t="shared" si="32"/>
        <v>0</v>
      </c>
      <c r="AV39" s="255">
        <f t="shared" si="33"/>
        <v>0</v>
      </c>
      <c r="AW39" s="256">
        <f t="shared" si="34"/>
        <v>0</v>
      </c>
      <c r="AX39" s="257">
        <f t="shared" si="35"/>
        <v>0</v>
      </c>
      <c r="BC39" s="244">
        <f t="shared" si="36"/>
        <v>0</v>
      </c>
      <c r="BD39" s="244">
        <f t="shared" si="36"/>
        <v>1</v>
      </c>
      <c r="BF39" s="236">
        <f t="shared" si="37"/>
        <v>1</v>
      </c>
    </row>
    <row r="40" spans="2:58" x14ac:dyDescent="0.25">
      <c r="B40" s="245">
        <f t="shared" si="0"/>
        <v>10</v>
      </c>
      <c r="C40" s="246" t="str">
        <f>IF('מודל תמיכה חלוקת 20,294,511 שח'!G12="","",'מודל תמיכה חלוקת 20,294,511 שח'!G12)</f>
        <v>בשורת הארץ ע"ש יוסף, נפתלי ודבורה ב</v>
      </c>
      <c r="D40" s="247">
        <f>IF(C40="","",'מודל תמיכה חלוקת 20,294,511 שח'!V12)</f>
        <v>246806.07539958303</v>
      </c>
      <c r="E40" s="248">
        <f t="shared" si="1"/>
        <v>1.2161223071577486E-2</v>
      </c>
      <c r="F40" s="249">
        <f>IF(C40="","",'מודל תמיכה חלוקת 20,294,511 שח'!W12)</f>
        <v>223820</v>
      </c>
      <c r="G40" s="248">
        <f t="shared" si="2"/>
        <v>1.1140867766182344E-2</v>
      </c>
      <c r="H40" s="250">
        <v>1</v>
      </c>
      <c r="I40" s="251">
        <f t="shared" si="3"/>
        <v>0</v>
      </c>
      <c r="J40" s="252">
        <f t="shared" si="4"/>
        <v>0</v>
      </c>
      <c r="K40" s="253">
        <f t="shared" si="5"/>
        <v>1.2161223071577486E-2</v>
      </c>
      <c r="L40" s="253">
        <f t="shared" si="6"/>
        <v>1.1945813851847053E-2</v>
      </c>
      <c r="M40" s="254">
        <f t="shared" si="7"/>
        <v>0</v>
      </c>
      <c r="N40" s="254">
        <f t="shared" si="38"/>
        <v>0</v>
      </c>
      <c r="O40" s="255">
        <f t="shared" si="8"/>
        <v>1.2161223071577486E-2</v>
      </c>
      <c r="P40" s="255">
        <f t="shared" si="9"/>
        <v>1.1964753491245761E-2</v>
      </c>
      <c r="Q40" s="254">
        <f t="shared" si="10"/>
        <v>0</v>
      </c>
      <c r="R40" s="254">
        <f t="shared" si="39"/>
        <v>0</v>
      </c>
      <c r="S40" s="255">
        <f t="shared" si="11"/>
        <v>1.2161223071577486E-2</v>
      </c>
      <c r="T40" s="255">
        <f t="shared" si="12"/>
        <v>1.195121057860004E-2</v>
      </c>
      <c r="U40" s="254">
        <f t="shared" si="13"/>
        <v>0</v>
      </c>
      <c r="V40" s="254">
        <f t="shared" si="40"/>
        <v>0</v>
      </c>
      <c r="W40" s="255">
        <f t="shared" si="14"/>
        <v>1.195121057860004E-2</v>
      </c>
      <c r="X40" s="255">
        <f t="shared" si="15"/>
        <v>1.1938765572655295E-2</v>
      </c>
      <c r="Y40" s="254">
        <f t="shared" si="16"/>
        <v>0</v>
      </c>
      <c r="Z40" s="254">
        <f t="shared" si="41"/>
        <v>0</v>
      </c>
      <c r="AA40" s="255">
        <f t="shared" si="17"/>
        <v>1.1938765572655295E-2</v>
      </c>
      <c r="AB40" s="255">
        <f t="shared" si="18"/>
        <v>1.1937090723437939E-2</v>
      </c>
      <c r="AC40" s="254">
        <f t="shared" si="19"/>
        <v>0</v>
      </c>
      <c r="AD40" s="254">
        <f t="shared" si="42"/>
        <v>0</v>
      </c>
      <c r="AE40" s="255">
        <f t="shared" si="20"/>
        <v>1.1937090723437939E-2</v>
      </c>
      <c r="AF40" s="255">
        <f t="shared" si="21"/>
        <v>1.1936989640253449E-2</v>
      </c>
      <c r="AG40" s="254">
        <f t="shared" si="22"/>
        <v>0</v>
      </c>
      <c r="AH40" s="254">
        <f t="shared" si="43"/>
        <v>0</v>
      </c>
      <c r="AI40" s="255">
        <f t="shared" si="23"/>
        <v>1.1936989640253449E-2</v>
      </c>
      <c r="AJ40" s="255">
        <f t="shared" si="24"/>
        <v>1.193697602051547E-2</v>
      </c>
      <c r="AK40" s="254">
        <f t="shared" si="25"/>
        <v>0</v>
      </c>
      <c r="AL40" s="254">
        <f t="shared" si="44"/>
        <v>0</v>
      </c>
      <c r="AM40" s="255">
        <f t="shared" si="26"/>
        <v>1.193697602051547E-2</v>
      </c>
      <c r="AN40" s="255">
        <f t="shared" si="27"/>
        <v>1.1936975198393915E-2</v>
      </c>
      <c r="AO40" s="254">
        <f t="shared" si="28"/>
        <v>0</v>
      </c>
      <c r="AP40" s="254">
        <f t="shared" si="45"/>
        <v>0</v>
      </c>
      <c r="AQ40" s="255">
        <f t="shared" si="29"/>
        <v>1.1936975198393915E-2</v>
      </c>
      <c r="AR40" s="255">
        <f t="shared" si="30"/>
        <v>1.1936975087621909E-2</v>
      </c>
      <c r="AS40" s="254">
        <f t="shared" si="31"/>
        <v>0</v>
      </c>
      <c r="AT40" s="254">
        <f t="shared" si="46"/>
        <v>0</v>
      </c>
      <c r="AU40" s="255">
        <f t="shared" si="32"/>
        <v>1.1936975087621909E-2</v>
      </c>
      <c r="AV40" s="255">
        <f t="shared" si="33"/>
        <v>1.1936975079972283E-2</v>
      </c>
      <c r="AW40" s="256">
        <f t="shared" si="34"/>
        <v>1.193697507997228E-2</v>
      </c>
      <c r="AX40" s="257">
        <f t="shared" si="35"/>
        <v>242255.07206722331</v>
      </c>
      <c r="BC40" s="244">
        <f t="shared" si="36"/>
        <v>0</v>
      </c>
      <c r="BD40" s="244">
        <f t="shared" si="36"/>
        <v>1</v>
      </c>
      <c r="BF40" s="236">
        <f t="shared" si="37"/>
        <v>1</v>
      </c>
    </row>
    <row r="41" spans="2:58" x14ac:dyDescent="0.25">
      <c r="B41" s="245">
        <f t="shared" si="0"/>
        <v>11</v>
      </c>
      <c r="C41" s="246" t="str">
        <f>IF('מודל תמיכה חלוקת 20,294,511 שח'!G13="","",'מודל תמיכה חלוקת 20,294,511 שח'!G13)</f>
        <v>דרכי הוראה לרבנים (ע"ר)</v>
      </c>
      <c r="D41" s="247">
        <f>IF(C41="","",'מודל תמיכה חלוקת 20,294,511 שח'!V13)</f>
        <v>232702.87109103543</v>
      </c>
      <c r="E41" s="248">
        <f t="shared" si="1"/>
        <v>1.1466296038915915E-2</v>
      </c>
      <c r="F41" s="249">
        <f>IF(C41="","",'מודל תמיכה חלוקת 20,294,511 שח'!W13)</f>
        <v>317680</v>
      </c>
      <c r="G41" s="248">
        <f t="shared" si="2"/>
        <v>1.5812844571355584E-2</v>
      </c>
      <c r="H41" s="250">
        <v>1</v>
      </c>
      <c r="I41" s="251">
        <f t="shared" si="3"/>
        <v>1</v>
      </c>
      <c r="J41" s="252">
        <f t="shared" si="4"/>
        <v>1</v>
      </c>
      <c r="K41" s="253">
        <f t="shared" si="5"/>
        <v>1.2650275657084467E-2</v>
      </c>
      <c r="L41" s="253">
        <f t="shared" si="6"/>
        <v>1.2650275657084467E-2</v>
      </c>
      <c r="M41" s="254">
        <f t="shared" si="7"/>
        <v>0</v>
      </c>
      <c r="N41" s="254">
        <f t="shared" si="38"/>
        <v>0</v>
      </c>
      <c r="O41" s="255">
        <f t="shared" si="8"/>
        <v>1.2650275657084467E-2</v>
      </c>
      <c r="P41" s="255">
        <f t="shared" si="9"/>
        <v>1.2445905230294358E-2</v>
      </c>
      <c r="Q41" s="254">
        <f t="shared" si="10"/>
        <v>1</v>
      </c>
      <c r="R41" s="254">
        <f t="shared" si="39"/>
        <v>1</v>
      </c>
      <c r="S41" s="255">
        <f t="shared" si="11"/>
        <v>1.2650275657084467E-2</v>
      </c>
      <c r="T41" s="255">
        <f t="shared" si="12"/>
        <v>1.2650275657084467E-2</v>
      </c>
      <c r="U41" s="254">
        <f t="shared" si="13"/>
        <v>0</v>
      </c>
      <c r="V41" s="254">
        <f t="shared" si="40"/>
        <v>0</v>
      </c>
      <c r="W41" s="255">
        <f t="shared" si="14"/>
        <v>1.2650275657084467E-2</v>
      </c>
      <c r="X41" s="255">
        <f t="shared" si="15"/>
        <v>1.2637102702368317E-2</v>
      </c>
      <c r="Y41" s="254">
        <f t="shared" si="16"/>
        <v>1</v>
      </c>
      <c r="Z41" s="254">
        <f t="shared" si="41"/>
        <v>1</v>
      </c>
      <c r="AA41" s="255">
        <f t="shared" si="17"/>
        <v>1.2650275657084467E-2</v>
      </c>
      <c r="AB41" s="255">
        <f t="shared" si="18"/>
        <v>1.2650275657084467E-2</v>
      </c>
      <c r="AC41" s="254">
        <f t="shared" si="19"/>
        <v>0</v>
      </c>
      <c r="AD41" s="254">
        <f t="shared" si="42"/>
        <v>0</v>
      </c>
      <c r="AE41" s="255">
        <f t="shared" si="20"/>
        <v>1.2650275657084467E-2</v>
      </c>
      <c r="AF41" s="255">
        <f t="shared" si="21"/>
        <v>1.2650168534655918E-2</v>
      </c>
      <c r="AG41" s="254">
        <f t="shared" si="22"/>
        <v>1</v>
      </c>
      <c r="AH41" s="254">
        <f t="shared" si="43"/>
        <v>1</v>
      </c>
      <c r="AI41" s="255">
        <f t="shared" si="23"/>
        <v>1.2650275657084467E-2</v>
      </c>
      <c r="AJ41" s="255">
        <f t="shared" si="24"/>
        <v>1.2650275657084467E-2</v>
      </c>
      <c r="AK41" s="254">
        <f t="shared" si="25"/>
        <v>0</v>
      </c>
      <c r="AL41" s="254">
        <f t="shared" si="44"/>
        <v>0</v>
      </c>
      <c r="AM41" s="255">
        <f t="shared" si="26"/>
        <v>1.2650275657084467E-2</v>
      </c>
      <c r="AN41" s="255">
        <f t="shared" si="27"/>
        <v>1.2650274785836651E-2</v>
      </c>
      <c r="AO41" s="254">
        <f t="shared" si="28"/>
        <v>1</v>
      </c>
      <c r="AP41" s="254">
        <f t="shared" si="45"/>
        <v>1</v>
      </c>
      <c r="AQ41" s="255">
        <f t="shared" si="29"/>
        <v>1.2650275657084467E-2</v>
      </c>
      <c r="AR41" s="255">
        <f t="shared" si="30"/>
        <v>1.2650275657084467E-2</v>
      </c>
      <c r="AS41" s="254">
        <f t="shared" si="31"/>
        <v>1</v>
      </c>
      <c r="AT41" s="254">
        <f t="shared" si="46"/>
        <v>1</v>
      </c>
      <c r="AU41" s="255">
        <f t="shared" si="32"/>
        <v>1.2650275657084467E-2</v>
      </c>
      <c r="AV41" s="255">
        <f t="shared" si="33"/>
        <v>1.2650275657084467E-2</v>
      </c>
      <c r="AW41" s="256">
        <f t="shared" si="34"/>
        <v>1.2650275657084464E-2</v>
      </c>
      <c r="AX41" s="257">
        <f t="shared" si="35"/>
        <v>256731.1584757329</v>
      </c>
      <c r="BC41" s="244">
        <f t="shared" si="36"/>
        <v>0</v>
      </c>
      <c r="BD41" s="244">
        <f t="shared" si="36"/>
        <v>1</v>
      </c>
      <c r="BF41" s="236">
        <f t="shared" si="37"/>
        <v>1</v>
      </c>
    </row>
    <row r="42" spans="2:58" x14ac:dyDescent="0.25">
      <c r="B42" s="245">
        <f t="shared" si="0"/>
        <v>12</v>
      </c>
      <c r="C42" s="246" t="str">
        <f>IF('מודל תמיכה חלוקת 20,294,511 שח'!G14="","",'מודל תמיכה חלוקת 20,294,511 שח'!G14)</f>
        <v>דרכי שמחה (ע"ר)</v>
      </c>
      <c r="D42" s="247">
        <f>IF(C42="","",'מודל תמיכה חלוקת 20,294,511 שח'!V14)</f>
        <v>444250.93571924942</v>
      </c>
      <c r="E42" s="248">
        <f t="shared" si="1"/>
        <v>2.1890201528839474E-2</v>
      </c>
      <c r="F42" s="249">
        <f>IF(C42="","",'מודל תמיכה חלוקת 20,294,511 שח'!W14)</f>
        <v>685901</v>
      </c>
      <c r="G42" s="248">
        <f t="shared" si="2"/>
        <v>3.4141418736896773E-2</v>
      </c>
      <c r="H42" s="250">
        <v>1</v>
      </c>
      <c r="I42" s="251">
        <f t="shared" si="3"/>
        <v>1</v>
      </c>
      <c r="J42" s="252">
        <f t="shared" si="4"/>
        <v>1</v>
      </c>
      <c r="K42" s="253">
        <f t="shared" si="5"/>
        <v>2.7313134989517419E-2</v>
      </c>
      <c r="L42" s="253">
        <f t="shared" si="6"/>
        <v>2.7313134989517419E-2</v>
      </c>
      <c r="M42" s="254">
        <f t="shared" si="7"/>
        <v>0</v>
      </c>
      <c r="N42" s="254">
        <f t="shared" si="38"/>
        <v>0</v>
      </c>
      <c r="O42" s="255">
        <f t="shared" si="8"/>
        <v>2.7313134989517419E-2</v>
      </c>
      <c r="P42" s="255">
        <f t="shared" si="9"/>
        <v>2.6871880015626199E-2</v>
      </c>
      <c r="Q42" s="254">
        <f t="shared" si="10"/>
        <v>1</v>
      </c>
      <c r="R42" s="254">
        <f t="shared" si="39"/>
        <v>1</v>
      </c>
      <c r="S42" s="255">
        <f t="shared" si="11"/>
        <v>2.7313134989517419E-2</v>
      </c>
      <c r="T42" s="255">
        <f t="shared" si="12"/>
        <v>2.7313134989517419E-2</v>
      </c>
      <c r="U42" s="254">
        <f t="shared" si="13"/>
        <v>0</v>
      </c>
      <c r="V42" s="254">
        <f t="shared" si="40"/>
        <v>0</v>
      </c>
      <c r="W42" s="255">
        <f t="shared" si="14"/>
        <v>2.7313134989517419E-2</v>
      </c>
      <c r="X42" s="255">
        <f t="shared" si="15"/>
        <v>2.72846933412778E-2</v>
      </c>
      <c r="Y42" s="254">
        <f t="shared" si="16"/>
        <v>1</v>
      </c>
      <c r="Z42" s="254">
        <f t="shared" si="41"/>
        <v>1</v>
      </c>
      <c r="AA42" s="255">
        <f t="shared" si="17"/>
        <v>2.7313134989517419E-2</v>
      </c>
      <c r="AB42" s="255">
        <f t="shared" si="18"/>
        <v>2.7313134989517419E-2</v>
      </c>
      <c r="AC42" s="254">
        <f t="shared" si="19"/>
        <v>0</v>
      </c>
      <c r="AD42" s="254">
        <f t="shared" si="42"/>
        <v>0</v>
      </c>
      <c r="AE42" s="255">
        <f t="shared" si="20"/>
        <v>2.7313134989517419E-2</v>
      </c>
      <c r="AF42" s="255">
        <f t="shared" si="21"/>
        <v>2.7312903702118578E-2</v>
      </c>
      <c r="AG42" s="254">
        <f t="shared" si="22"/>
        <v>1</v>
      </c>
      <c r="AH42" s="254">
        <f t="shared" si="43"/>
        <v>1</v>
      </c>
      <c r="AI42" s="255">
        <f t="shared" si="23"/>
        <v>2.7313134989517419E-2</v>
      </c>
      <c r="AJ42" s="255">
        <f t="shared" si="24"/>
        <v>2.7313134989517419E-2</v>
      </c>
      <c r="AK42" s="254">
        <f t="shared" si="25"/>
        <v>0</v>
      </c>
      <c r="AL42" s="254">
        <f t="shared" si="44"/>
        <v>0</v>
      </c>
      <c r="AM42" s="255">
        <f t="shared" si="26"/>
        <v>2.7313134989517419E-2</v>
      </c>
      <c r="AN42" s="255">
        <f t="shared" si="27"/>
        <v>2.7313133108411432E-2</v>
      </c>
      <c r="AO42" s="254">
        <f t="shared" si="28"/>
        <v>1</v>
      </c>
      <c r="AP42" s="254">
        <f t="shared" si="45"/>
        <v>1</v>
      </c>
      <c r="AQ42" s="255">
        <f t="shared" si="29"/>
        <v>2.7313134989517419E-2</v>
      </c>
      <c r="AR42" s="255">
        <f t="shared" si="30"/>
        <v>2.7313134989517419E-2</v>
      </c>
      <c r="AS42" s="254">
        <f t="shared" si="31"/>
        <v>1</v>
      </c>
      <c r="AT42" s="254">
        <f t="shared" si="46"/>
        <v>1</v>
      </c>
      <c r="AU42" s="255">
        <f t="shared" si="32"/>
        <v>2.7313134989517419E-2</v>
      </c>
      <c r="AV42" s="255">
        <f t="shared" si="33"/>
        <v>2.7313134989517419E-2</v>
      </c>
      <c r="AW42" s="256">
        <f t="shared" si="34"/>
        <v>2.7313134989517412E-2</v>
      </c>
      <c r="AX42" s="257">
        <f t="shared" si="35"/>
        <v>554306.71848924598</v>
      </c>
      <c r="BC42" s="244">
        <f t="shared" si="36"/>
        <v>0</v>
      </c>
      <c r="BD42" s="244">
        <f t="shared" si="36"/>
        <v>1</v>
      </c>
      <c r="BF42" s="236">
        <f t="shared" si="37"/>
        <v>1</v>
      </c>
    </row>
    <row r="43" spans="2:58" x14ac:dyDescent="0.25">
      <c r="B43" s="245">
        <f t="shared" si="0"/>
        <v>13</v>
      </c>
      <c r="C43" s="246" t="str">
        <f>IF('מודל תמיכה חלוקת 20,294,511 שח'!G15="","",'מודל תמיכה חלוקת 20,294,511 שח'!G15)</f>
        <v>הוצאת אנציקלופדיה תלמודית בע"מ (חל"צ)</v>
      </c>
      <c r="D43" s="247">
        <f>IF(C43="","",'מודל תמיכה חלוקת 20,294,511 שח'!V15)</f>
        <v>578231.37665045168</v>
      </c>
      <c r="E43" s="248">
        <f t="shared" si="1"/>
        <v>2.8492008339124394E-2</v>
      </c>
      <c r="F43" s="249">
        <f>IF(C43="","",'מודל תמיכה חלוקת 20,294,511 שח'!W15)</f>
        <v>657021</v>
      </c>
      <c r="G43" s="248">
        <f t="shared" si="2"/>
        <v>3.2703887412228086E-2</v>
      </c>
      <c r="H43" s="250">
        <v>1</v>
      </c>
      <c r="I43" s="251">
        <f t="shared" si="3"/>
        <v>0</v>
      </c>
      <c r="J43" s="252">
        <f t="shared" si="4"/>
        <v>0</v>
      </c>
      <c r="K43" s="253">
        <f t="shared" si="5"/>
        <v>2.8492008339124394E-2</v>
      </c>
      <c r="L43" s="253">
        <f t="shared" si="6"/>
        <v>2.7987335310041668E-2</v>
      </c>
      <c r="M43" s="254">
        <f t="shared" si="7"/>
        <v>0</v>
      </c>
      <c r="N43" s="254">
        <f t="shared" si="38"/>
        <v>0</v>
      </c>
      <c r="O43" s="255">
        <f t="shared" si="8"/>
        <v>2.8492008339124394E-2</v>
      </c>
      <c r="P43" s="255">
        <f t="shared" si="9"/>
        <v>2.8031708179490071E-2</v>
      </c>
      <c r="Q43" s="254">
        <f t="shared" si="10"/>
        <v>0</v>
      </c>
      <c r="R43" s="254">
        <f t="shared" si="39"/>
        <v>0</v>
      </c>
      <c r="S43" s="255">
        <f t="shared" si="11"/>
        <v>2.8492008339124394E-2</v>
      </c>
      <c r="T43" s="255">
        <f t="shared" si="12"/>
        <v>2.799997906986295E-2</v>
      </c>
      <c r="U43" s="254">
        <f t="shared" si="13"/>
        <v>0</v>
      </c>
      <c r="V43" s="254">
        <f t="shared" si="40"/>
        <v>0</v>
      </c>
      <c r="W43" s="255">
        <f t="shared" si="14"/>
        <v>2.799997906986295E-2</v>
      </c>
      <c r="X43" s="255">
        <f t="shared" si="15"/>
        <v>2.7970822198792405E-2</v>
      </c>
      <c r="Y43" s="254">
        <f t="shared" si="16"/>
        <v>0</v>
      </c>
      <c r="Z43" s="254">
        <f t="shared" si="41"/>
        <v>0</v>
      </c>
      <c r="AA43" s="255">
        <f t="shared" si="17"/>
        <v>2.7970822198792405E-2</v>
      </c>
      <c r="AB43" s="255">
        <f t="shared" si="18"/>
        <v>2.7966898266340311E-2</v>
      </c>
      <c r="AC43" s="254">
        <f t="shared" si="19"/>
        <v>0</v>
      </c>
      <c r="AD43" s="254">
        <f t="shared" si="42"/>
        <v>0</v>
      </c>
      <c r="AE43" s="255">
        <f t="shared" si="20"/>
        <v>2.7966898266340311E-2</v>
      </c>
      <c r="AF43" s="255">
        <f t="shared" si="21"/>
        <v>2.7966661442879508E-2</v>
      </c>
      <c r="AG43" s="254">
        <f t="shared" si="22"/>
        <v>0</v>
      </c>
      <c r="AH43" s="254">
        <f t="shared" si="43"/>
        <v>0</v>
      </c>
      <c r="AI43" s="255">
        <f t="shared" si="23"/>
        <v>2.7966661442879508E-2</v>
      </c>
      <c r="AJ43" s="255">
        <f t="shared" si="24"/>
        <v>2.7966629533779097E-2</v>
      </c>
      <c r="AK43" s="254">
        <f t="shared" si="25"/>
        <v>0</v>
      </c>
      <c r="AL43" s="254">
        <f t="shared" si="44"/>
        <v>0</v>
      </c>
      <c r="AM43" s="255">
        <f t="shared" si="26"/>
        <v>2.7966629533779097E-2</v>
      </c>
      <c r="AN43" s="255">
        <f t="shared" si="27"/>
        <v>2.7966627607665741E-2</v>
      </c>
      <c r="AO43" s="254">
        <f t="shared" si="28"/>
        <v>0</v>
      </c>
      <c r="AP43" s="254">
        <f t="shared" si="45"/>
        <v>0</v>
      </c>
      <c r="AQ43" s="255">
        <f t="shared" si="29"/>
        <v>2.7966627607665741E-2</v>
      </c>
      <c r="AR43" s="255">
        <f t="shared" si="30"/>
        <v>2.7966627348142759E-2</v>
      </c>
      <c r="AS43" s="254">
        <f t="shared" si="31"/>
        <v>0</v>
      </c>
      <c r="AT43" s="254">
        <f t="shared" si="46"/>
        <v>0</v>
      </c>
      <c r="AU43" s="255">
        <f t="shared" si="32"/>
        <v>2.7966627348142759E-2</v>
      </c>
      <c r="AV43" s="255">
        <f t="shared" si="33"/>
        <v>2.7966627330220775E-2</v>
      </c>
      <c r="AW43" s="256">
        <f t="shared" si="34"/>
        <v>2.7966627330220768E-2</v>
      </c>
      <c r="AX43" s="257">
        <f t="shared" si="35"/>
        <v>567569.02598606597</v>
      </c>
      <c r="BC43" s="244">
        <f t="shared" si="36"/>
        <v>0</v>
      </c>
      <c r="BD43" s="244">
        <f t="shared" si="36"/>
        <v>1</v>
      </c>
      <c r="BF43" s="236">
        <f t="shared" si="37"/>
        <v>1</v>
      </c>
    </row>
    <row r="44" spans="2:58" x14ac:dyDescent="0.25">
      <c r="B44" s="245">
        <f t="shared" si="0"/>
        <v>14</v>
      </c>
      <c r="C44" s="246" t="str">
        <f>IF('מודל תמיכה חלוקת 20,294,511 שח'!G16="","",'מודל תמיכה חלוקת 20,294,511 שח'!G16)</f>
        <v>הישיבה הגבוהה אור-עציון (ע"ר)</v>
      </c>
      <c r="D44" s="247">
        <f>IF(C44="","",'מודל תמיכה חלוקת 20,294,511 שח'!V16)</f>
        <v>437199.33356497571</v>
      </c>
      <c r="E44" s="248">
        <f t="shared" si="1"/>
        <v>2.1542738012508691E-2</v>
      </c>
      <c r="F44" s="249">
        <f>IF(C44="","",'מודל תמיכה חלוקת 20,294,511 שח'!W16)</f>
        <v>339341</v>
      </c>
      <c r="G44" s="248">
        <f t="shared" si="2"/>
        <v>1.6891042840872499E-2</v>
      </c>
      <c r="H44" s="250">
        <v>1</v>
      </c>
      <c r="I44" s="251">
        <f t="shared" si="3"/>
        <v>0</v>
      </c>
      <c r="J44" s="252">
        <f t="shared" si="4"/>
        <v>0</v>
      </c>
      <c r="K44" s="253">
        <f t="shared" si="5"/>
        <v>2.1542738012508691E-2</v>
      </c>
      <c r="L44" s="253">
        <f t="shared" si="6"/>
        <v>2.116115596612907E-2</v>
      </c>
      <c r="M44" s="254">
        <f t="shared" si="7"/>
        <v>0</v>
      </c>
      <c r="N44" s="254">
        <f t="shared" si="38"/>
        <v>0</v>
      </c>
      <c r="O44" s="255">
        <f t="shared" si="8"/>
        <v>2.1542738012508691E-2</v>
      </c>
      <c r="P44" s="255">
        <f t="shared" si="9"/>
        <v>2.1194706184492495E-2</v>
      </c>
      <c r="Q44" s="254">
        <f t="shared" si="10"/>
        <v>0</v>
      </c>
      <c r="R44" s="254">
        <f t="shared" si="39"/>
        <v>0</v>
      </c>
      <c r="S44" s="255">
        <f t="shared" si="11"/>
        <v>2.1542738012508691E-2</v>
      </c>
      <c r="T44" s="255">
        <f t="shared" si="12"/>
        <v>2.11707158820915E-2</v>
      </c>
      <c r="U44" s="254">
        <f t="shared" si="13"/>
        <v>0</v>
      </c>
      <c r="V44" s="254">
        <f t="shared" si="40"/>
        <v>0</v>
      </c>
      <c r="W44" s="255">
        <f t="shared" si="14"/>
        <v>2.11707158820915E-2</v>
      </c>
      <c r="X44" s="255">
        <f t="shared" si="15"/>
        <v>2.1148670442989383E-2</v>
      </c>
      <c r="Y44" s="254">
        <f t="shared" si="16"/>
        <v>0</v>
      </c>
      <c r="Z44" s="254">
        <f t="shared" si="41"/>
        <v>0</v>
      </c>
      <c r="AA44" s="255">
        <f t="shared" si="17"/>
        <v>2.1148670442989383E-2</v>
      </c>
      <c r="AB44" s="255">
        <f t="shared" si="18"/>
        <v>2.1145703567232922E-2</v>
      </c>
      <c r="AC44" s="254">
        <f t="shared" si="19"/>
        <v>0</v>
      </c>
      <c r="AD44" s="254">
        <f t="shared" si="42"/>
        <v>0</v>
      </c>
      <c r="AE44" s="255">
        <f t="shared" si="20"/>
        <v>2.1145703567232922E-2</v>
      </c>
      <c r="AF44" s="255">
        <f t="shared" si="21"/>
        <v>2.1145524505591824E-2</v>
      </c>
      <c r="AG44" s="254">
        <f t="shared" si="22"/>
        <v>0</v>
      </c>
      <c r="AH44" s="254">
        <f t="shared" si="43"/>
        <v>0</v>
      </c>
      <c r="AI44" s="255">
        <f t="shared" si="23"/>
        <v>2.1145524505591824E-2</v>
      </c>
      <c r="AJ44" s="255">
        <f t="shared" si="24"/>
        <v>2.114550037919883E-2</v>
      </c>
      <c r="AK44" s="254">
        <f t="shared" si="25"/>
        <v>0</v>
      </c>
      <c r="AL44" s="254">
        <f t="shared" si="44"/>
        <v>0</v>
      </c>
      <c r="AM44" s="255">
        <f t="shared" si="26"/>
        <v>2.114550037919883E-2</v>
      </c>
      <c r="AN44" s="255">
        <f t="shared" si="27"/>
        <v>2.1145498922869217E-2</v>
      </c>
      <c r="AO44" s="254">
        <f t="shared" si="28"/>
        <v>0</v>
      </c>
      <c r="AP44" s="254">
        <f t="shared" si="45"/>
        <v>0</v>
      </c>
      <c r="AQ44" s="255">
        <f t="shared" si="29"/>
        <v>2.1145498922869217E-2</v>
      </c>
      <c r="AR44" s="255">
        <f t="shared" si="30"/>
        <v>2.1145498726644521E-2</v>
      </c>
      <c r="AS44" s="254">
        <f t="shared" si="31"/>
        <v>0</v>
      </c>
      <c r="AT44" s="254">
        <f t="shared" si="46"/>
        <v>0</v>
      </c>
      <c r="AU44" s="255">
        <f t="shared" si="32"/>
        <v>2.1145498726644521E-2</v>
      </c>
      <c r="AV44" s="255">
        <f t="shared" si="33"/>
        <v>2.1145498713093756E-2</v>
      </c>
      <c r="AW44" s="256">
        <f t="shared" si="34"/>
        <v>2.1145498713093753E-2</v>
      </c>
      <c r="AX44" s="257">
        <f t="shared" si="35"/>
        <v>429137.55623336701</v>
      </c>
      <c r="BC44" s="244">
        <f t="shared" si="36"/>
        <v>0</v>
      </c>
      <c r="BD44" s="244">
        <f t="shared" si="36"/>
        <v>1</v>
      </c>
      <c r="BF44" s="236">
        <f t="shared" si="37"/>
        <v>1</v>
      </c>
    </row>
    <row r="45" spans="2:58" x14ac:dyDescent="0.25">
      <c r="B45" s="245">
        <f t="shared" si="0"/>
        <v>15</v>
      </c>
      <c r="C45" s="246" t="str">
        <f>IF('מודל תמיכה חלוקת 20,294,511 שח'!G17="","",'מודל תמיכה חלוקת 20,294,511 שח'!G17)</f>
        <v>הישיבה הגדולה אהל שמעון מערלוי ירוש</v>
      </c>
      <c r="D45" s="247">
        <f>IF(C45="","",'מודל תמיכה חלוקת 20,294,511 שח'!V17)</f>
        <v>408992.92494788044</v>
      </c>
      <c r="E45" s="248">
        <f t="shared" si="1"/>
        <v>2.0152883947185549E-2</v>
      </c>
      <c r="F45" s="249">
        <f>IF(C45="","",'מודל תמיכה חלוקת 20,294,511 שח'!W17)</f>
        <v>505401</v>
      </c>
      <c r="G45" s="248">
        <f t="shared" si="2"/>
        <v>2.5156847957717464E-2</v>
      </c>
      <c r="H45" s="250">
        <v>1</v>
      </c>
      <c r="I45" s="251">
        <f t="shared" si="3"/>
        <v>0</v>
      </c>
      <c r="J45" s="252">
        <f t="shared" si="4"/>
        <v>0</v>
      </c>
      <c r="K45" s="253">
        <f t="shared" si="5"/>
        <v>2.0152883947185549E-2</v>
      </c>
      <c r="L45" s="253">
        <f t="shared" si="6"/>
        <v>1.9795920097346546E-2</v>
      </c>
      <c r="M45" s="254">
        <f t="shared" si="7"/>
        <v>1</v>
      </c>
      <c r="N45" s="254">
        <f t="shared" si="38"/>
        <v>1</v>
      </c>
      <c r="O45" s="255">
        <f t="shared" si="8"/>
        <v>2.0125478366173972E-2</v>
      </c>
      <c r="P45" s="255">
        <f t="shared" si="9"/>
        <v>2.0125478366173972E-2</v>
      </c>
      <c r="Q45" s="254">
        <f t="shared" si="10"/>
        <v>0</v>
      </c>
      <c r="R45" s="254">
        <f t="shared" si="39"/>
        <v>0</v>
      </c>
      <c r="S45" s="255">
        <f t="shared" si="11"/>
        <v>2.0125478366173972E-2</v>
      </c>
      <c r="T45" s="255">
        <f t="shared" si="12"/>
        <v>1.9777930931251738E-2</v>
      </c>
      <c r="U45" s="254">
        <f t="shared" si="13"/>
        <v>1</v>
      </c>
      <c r="V45" s="254">
        <f t="shared" si="40"/>
        <v>1</v>
      </c>
      <c r="W45" s="255">
        <f t="shared" si="14"/>
        <v>2.0125478366173972E-2</v>
      </c>
      <c r="X45" s="255">
        <f t="shared" si="15"/>
        <v>2.0125478366173972E-2</v>
      </c>
      <c r="Y45" s="254">
        <f t="shared" si="16"/>
        <v>0</v>
      </c>
      <c r="Z45" s="254">
        <f t="shared" si="41"/>
        <v>0</v>
      </c>
      <c r="AA45" s="255">
        <f t="shared" si="17"/>
        <v>2.0125478366173972E-2</v>
      </c>
      <c r="AB45" s="255">
        <f t="shared" si="18"/>
        <v>2.0122655030588282E-2</v>
      </c>
      <c r="AC45" s="254">
        <f t="shared" si="19"/>
        <v>1</v>
      </c>
      <c r="AD45" s="254">
        <f t="shared" si="42"/>
        <v>1</v>
      </c>
      <c r="AE45" s="255">
        <f t="shared" si="20"/>
        <v>2.0125478366173972E-2</v>
      </c>
      <c r="AF45" s="255">
        <f t="shared" si="21"/>
        <v>2.0125478366173972E-2</v>
      </c>
      <c r="AG45" s="254">
        <f t="shared" si="22"/>
        <v>0</v>
      </c>
      <c r="AH45" s="254">
        <f t="shared" si="43"/>
        <v>0</v>
      </c>
      <c r="AI45" s="255">
        <f t="shared" si="23"/>
        <v>2.0125478366173972E-2</v>
      </c>
      <c r="AJ45" s="255">
        <f t="shared" si="24"/>
        <v>2.0125455403622244E-2</v>
      </c>
      <c r="AK45" s="254">
        <f t="shared" si="25"/>
        <v>1</v>
      </c>
      <c r="AL45" s="254">
        <f t="shared" si="44"/>
        <v>1</v>
      </c>
      <c r="AM45" s="255">
        <f t="shared" si="26"/>
        <v>2.0125478366173972E-2</v>
      </c>
      <c r="AN45" s="255">
        <f t="shared" si="27"/>
        <v>2.0125478366173972E-2</v>
      </c>
      <c r="AO45" s="254">
        <f t="shared" si="28"/>
        <v>0</v>
      </c>
      <c r="AP45" s="254">
        <f t="shared" si="45"/>
        <v>0</v>
      </c>
      <c r="AQ45" s="255">
        <f t="shared" si="29"/>
        <v>2.0125478366173972E-2</v>
      </c>
      <c r="AR45" s="255">
        <f t="shared" si="30"/>
        <v>2.0125478179414801E-2</v>
      </c>
      <c r="AS45" s="254">
        <f t="shared" si="31"/>
        <v>1</v>
      </c>
      <c r="AT45" s="254">
        <f t="shared" si="46"/>
        <v>1</v>
      </c>
      <c r="AU45" s="255">
        <f t="shared" si="32"/>
        <v>2.0125478366173972E-2</v>
      </c>
      <c r="AV45" s="255">
        <f t="shared" si="33"/>
        <v>2.0125478366173972E-2</v>
      </c>
      <c r="AW45" s="256">
        <f t="shared" si="34"/>
        <v>2.0125478366173968E-2</v>
      </c>
      <c r="AX45" s="257">
        <f t="shared" si="35"/>
        <v>408436.74208257964</v>
      </c>
      <c r="BC45" s="244">
        <f t="shared" si="36"/>
        <v>0</v>
      </c>
      <c r="BD45" s="244">
        <f t="shared" si="36"/>
        <v>1</v>
      </c>
      <c r="BF45" s="236">
        <f t="shared" si="37"/>
        <v>1</v>
      </c>
    </row>
    <row r="46" spans="2:58" x14ac:dyDescent="0.25">
      <c r="B46" s="245">
        <f t="shared" si="0"/>
        <v>16</v>
      </c>
      <c r="C46" s="246" t="str">
        <f>IF('מודל תמיכה חלוקת 20,294,511 שח'!G18="","",'מודל תמיכה חלוקת 20,294,511 שח'!G18)</f>
        <v>הליכות הארץ - משמרת המצוות במשקים ה</v>
      </c>
      <c r="D46" s="247">
        <f>IF(C46="","",'מודל תמיכה חלוקת 20,294,511 שח'!V18)</f>
        <v>155135.24739402361</v>
      </c>
      <c r="E46" s="248">
        <f t="shared" si="1"/>
        <v>7.6441973592772765E-3</v>
      </c>
      <c r="F46" s="249">
        <f>IF(C46="","",'מודל תמיכה חלוקת 20,294,511 שח'!W18)</f>
        <v>0</v>
      </c>
      <c r="G46" s="248">
        <f t="shared" si="2"/>
        <v>0</v>
      </c>
      <c r="H46" s="250">
        <v>1</v>
      </c>
      <c r="I46" s="251">
        <f t="shared" si="3"/>
        <v>0</v>
      </c>
      <c r="J46" s="252">
        <f t="shared" si="4"/>
        <v>0</v>
      </c>
      <c r="K46" s="253">
        <f t="shared" si="5"/>
        <v>7.6441973592772765E-3</v>
      </c>
      <c r="L46" s="253">
        <f t="shared" si="6"/>
        <v>7.5087972783038611E-3</v>
      </c>
      <c r="M46" s="254">
        <f t="shared" si="7"/>
        <v>0</v>
      </c>
      <c r="N46" s="254">
        <f t="shared" si="38"/>
        <v>0</v>
      </c>
      <c r="O46" s="255">
        <f t="shared" si="8"/>
        <v>7.6441973592772765E-3</v>
      </c>
      <c r="P46" s="255">
        <f t="shared" si="9"/>
        <v>7.5207021944973364E-3</v>
      </c>
      <c r="Q46" s="254">
        <f t="shared" si="10"/>
        <v>0</v>
      </c>
      <c r="R46" s="254">
        <f t="shared" si="39"/>
        <v>0</v>
      </c>
      <c r="S46" s="255">
        <f t="shared" si="11"/>
        <v>7.6441973592772765E-3</v>
      </c>
      <c r="T46" s="255">
        <f t="shared" si="12"/>
        <v>7.5121895065485954E-3</v>
      </c>
      <c r="U46" s="254">
        <f t="shared" si="13"/>
        <v>0</v>
      </c>
      <c r="V46" s="254">
        <f t="shared" si="40"/>
        <v>0</v>
      </c>
      <c r="W46" s="255">
        <f t="shared" si="14"/>
        <v>7.5121895065485954E-3</v>
      </c>
      <c r="X46" s="255">
        <f t="shared" si="15"/>
        <v>7.5043669313833274E-3</v>
      </c>
      <c r="Y46" s="254">
        <f t="shared" si="16"/>
        <v>0</v>
      </c>
      <c r="Z46" s="254">
        <f t="shared" si="41"/>
        <v>0</v>
      </c>
      <c r="AA46" s="255">
        <f t="shared" si="17"/>
        <v>7.5043669313833274E-3</v>
      </c>
      <c r="AB46" s="255">
        <f t="shared" si="18"/>
        <v>7.5033141690181325E-3</v>
      </c>
      <c r="AC46" s="254">
        <f t="shared" si="19"/>
        <v>0</v>
      </c>
      <c r="AD46" s="254">
        <f t="shared" si="42"/>
        <v>0</v>
      </c>
      <c r="AE46" s="255">
        <f t="shared" si="20"/>
        <v>7.5033141690181325E-3</v>
      </c>
      <c r="AF46" s="255">
        <f t="shared" si="21"/>
        <v>7.5032506310164539E-3</v>
      </c>
      <c r="AG46" s="254">
        <f t="shared" si="22"/>
        <v>0</v>
      </c>
      <c r="AH46" s="254">
        <f t="shared" si="43"/>
        <v>0</v>
      </c>
      <c r="AI46" s="255">
        <f t="shared" si="23"/>
        <v>7.5032506310164539E-3</v>
      </c>
      <c r="AJ46" s="255">
        <f t="shared" si="24"/>
        <v>7.5032420700382957E-3</v>
      </c>
      <c r="AK46" s="254">
        <f t="shared" si="25"/>
        <v>0</v>
      </c>
      <c r="AL46" s="254">
        <f t="shared" si="44"/>
        <v>0</v>
      </c>
      <c r="AM46" s="255">
        <f t="shared" si="26"/>
        <v>7.5032420700382957E-3</v>
      </c>
      <c r="AN46" s="255">
        <f t="shared" si="27"/>
        <v>7.5032415532761748E-3</v>
      </c>
      <c r="AO46" s="254">
        <f t="shared" si="28"/>
        <v>0</v>
      </c>
      <c r="AP46" s="254">
        <f t="shared" si="45"/>
        <v>0</v>
      </c>
      <c r="AQ46" s="255">
        <f t="shared" si="29"/>
        <v>7.5032415532761748E-3</v>
      </c>
      <c r="AR46" s="255">
        <f t="shared" si="30"/>
        <v>7.5032414836480564E-3</v>
      </c>
      <c r="AS46" s="254">
        <f t="shared" si="31"/>
        <v>0</v>
      </c>
      <c r="AT46" s="254">
        <f t="shared" si="46"/>
        <v>0</v>
      </c>
      <c r="AU46" s="255">
        <f t="shared" si="32"/>
        <v>7.5032414836480564E-3</v>
      </c>
      <c r="AV46" s="255">
        <f t="shared" si="33"/>
        <v>7.5032414788397195E-3</v>
      </c>
      <c r="AW46" s="256">
        <f t="shared" si="34"/>
        <v>7.5032414788397178E-3</v>
      </c>
      <c r="AX46" s="257">
        <f t="shared" si="35"/>
        <v>152274.61672796891</v>
      </c>
      <c r="BC46" s="244">
        <f t="shared" si="36"/>
        <v>0</v>
      </c>
      <c r="BD46" s="244">
        <f t="shared" si="36"/>
        <v>1</v>
      </c>
      <c r="BF46" s="236">
        <f t="shared" si="37"/>
        <v>1</v>
      </c>
    </row>
    <row r="47" spans="2:58" x14ac:dyDescent="0.25">
      <c r="B47" s="245">
        <f t="shared" si="0"/>
        <v>17</v>
      </c>
      <c r="C47" s="246" t="str">
        <f>IF('מודל תמיכה חלוקת 20,294,511 שח'!G19="","",'מודל תמיכה חלוקת 20,294,511 שח'!G19)</f>
        <v>המאיר לארץ ע"ש ציס"ע אבינו רבינו יו</v>
      </c>
      <c r="D47" s="247">
        <f>IF(C47="","",'מודל תמיכה חלוקת 20,294,511 שח'!V19)</f>
        <v>0</v>
      </c>
      <c r="E47" s="248">
        <f t="shared" si="1"/>
        <v>0</v>
      </c>
      <c r="F47" s="249">
        <f>IF(C47="","",'מודל תמיכה חלוקת 20,294,511 שח'!W19)</f>
        <v>0</v>
      </c>
      <c r="G47" s="248">
        <f t="shared" si="2"/>
        <v>0</v>
      </c>
      <c r="H47" s="250">
        <v>1</v>
      </c>
      <c r="I47" s="251">
        <f t="shared" si="3"/>
        <v>0</v>
      </c>
      <c r="J47" s="252">
        <f t="shared" si="4"/>
        <v>0</v>
      </c>
      <c r="K47" s="253">
        <f t="shared" si="5"/>
        <v>0</v>
      </c>
      <c r="L47" s="253">
        <f t="shared" si="6"/>
        <v>0</v>
      </c>
      <c r="M47" s="254">
        <f t="shared" si="7"/>
        <v>0</v>
      </c>
      <c r="N47" s="254">
        <f t="shared" si="38"/>
        <v>0</v>
      </c>
      <c r="O47" s="255">
        <f t="shared" si="8"/>
        <v>0</v>
      </c>
      <c r="P47" s="255">
        <f t="shared" si="9"/>
        <v>0</v>
      </c>
      <c r="Q47" s="254">
        <f t="shared" si="10"/>
        <v>0</v>
      </c>
      <c r="R47" s="254">
        <f t="shared" si="39"/>
        <v>0</v>
      </c>
      <c r="S47" s="255">
        <f t="shared" si="11"/>
        <v>0</v>
      </c>
      <c r="T47" s="255">
        <f t="shared" si="12"/>
        <v>0</v>
      </c>
      <c r="U47" s="254">
        <f t="shared" si="13"/>
        <v>0</v>
      </c>
      <c r="V47" s="254">
        <f t="shared" si="40"/>
        <v>0</v>
      </c>
      <c r="W47" s="255">
        <f t="shared" si="14"/>
        <v>0</v>
      </c>
      <c r="X47" s="255">
        <f t="shared" si="15"/>
        <v>0</v>
      </c>
      <c r="Y47" s="254">
        <f t="shared" si="16"/>
        <v>0</v>
      </c>
      <c r="Z47" s="254">
        <f t="shared" si="41"/>
        <v>0</v>
      </c>
      <c r="AA47" s="255">
        <f t="shared" si="17"/>
        <v>0</v>
      </c>
      <c r="AB47" s="255">
        <f t="shared" si="18"/>
        <v>0</v>
      </c>
      <c r="AC47" s="254">
        <f t="shared" si="19"/>
        <v>0</v>
      </c>
      <c r="AD47" s="254">
        <f t="shared" si="42"/>
        <v>0</v>
      </c>
      <c r="AE47" s="255">
        <f t="shared" si="20"/>
        <v>0</v>
      </c>
      <c r="AF47" s="255">
        <f t="shared" si="21"/>
        <v>0</v>
      </c>
      <c r="AG47" s="254">
        <f t="shared" si="22"/>
        <v>0</v>
      </c>
      <c r="AH47" s="254">
        <f t="shared" si="43"/>
        <v>0</v>
      </c>
      <c r="AI47" s="255">
        <f t="shared" si="23"/>
        <v>0</v>
      </c>
      <c r="AJ47" s="255">
        <f t="shared" si="24"/>
        <v>0</v>
      </c>
      <c r="AK47" s="254">
        <f t="shared" si="25"/>
        <v>0</v>
      </c>
      <c r="AL47" s="254">
        <f t="shared" si="44"/>
        <v>0</v>
      </c>
      <c r="AM47" s="255">
        <f t="shared" si="26"/>
        <v>0</v>
      </c>
      <c r="AN47" s="255">
        <f t="shared" si="27"/>
        <v>0</v>
      </c>
      <c r="AO47" s="254">
        <f t="shared" si="28"/>
        <v>0</v>
      </c>
      <c r="AP47" s="254">
        <f t="shared" si="45"/>
        <v>0</v>
      </c>
      <c r="AQ47" s="255">
        <f t="shared" si="29"/>
        <v>0</v>
      </c>
      <c r="AR47" s="255">
        <f t="shared" si="30"/>
        <v>0</v>
      </c>
      <c r="AS47" s="254">
        <f t="shared" si="31"/>
        <v>0</v>
      </c>
      <c r="AT47" s="254">
        <f t="shared" si="46"/>
        <v>0</v>
      </c>
      <c r="AU47" s="255">
        <f t="shared" si="32"/>
        <v>0</v>
      </c>
      <c r="AV47" s="255">
        <f t="shared" si="33"/>
        <v>0</v>
      </c>
      <c r="AW47" s="256">
        <f t="shared" si="34"/>
        <v>0</v>
      </c>
      <c r="AX47" s="257">
        <f t="shared" si="35"/>
        <v>0</v>
      </c>
      <c r="BC47" s="244">
        <f t="shared" si="36"/>
        <v>0</v>
      </c>
      <c r="BD47" s="244">
        <f t="shared" si="36"/>
        <v>1</v>
      </c>
      <c r="BF47" s="236">
        <f t="shared" si="37"/>
        <v>1</v>
      </c>
    </row>
    <row r="48" spans="2:58" x14ac:dyDescent="0.25">
      <c r="B48" s="245">
        <f t="shared" si="0"/>
        <v>18</v>
      </c>
      <c r="C48" s="246" t="str">
        <f>IF('מודל תמיכה חלוקת 20,294,511 שח'!G20="","",'מודל תמיכה חלוקת 20,294,511 שח'!G20)</f>
        <v>המכון למצוות התלויות בארץ (ע"ר)</v>
      </c>
      <c r="D48" s="247">
        <f>IF(C48="","",'מודל תמיכה חלוקת 20,294,511 שח'!V20)</f>
        <v>479508.94649061852</v>
      </c>
      <c r="E48" s="248">
        <f t="shared" si="1"/>
        <v>2.3627519110493406E-2</v>
      </c>
      <c r="F48" s="249">
        <f>IF(C48="","",'מודל תמיכה חלוקת 20,294,511 שח'!W20)</f>
        <v>628141</v>
      </c>
      <c r="G48" s="248">
        <f t="shared" si="2"/>
        <v>3.1266356087559392E-2</v>
      </c>
      <c r="H48" s="250">
        <v>1</v>
      </c>
      <c r="I48" s="251">
        <f t="shared" si="3"/>
        <v>1</v>
      </c>
      <c r="J48" s="252">
        <f t="shared" si="4"/>
        <v>1</v>
      </c>
      <c r="K48" s="253">
        <f t="shared" si="5"/>
        <v>2.5013084870047515E-2</v>
      </c>
      <c r="L48" s="253">
        <f t="shared" si="6"/>
        <v>2.5013084870047515E-2</v>
      </c>
      <c r="M48" s="254">
        <f t="shared" si="7"/>
        <v>0</v>
      </c>
      <c r="N48" s="254">
        <f t="shared" si="38"/>
        <v>0</v>
      </c>
      <c r="O48" s="255">
        <f t="shared" si="8"/>
        <v>2.5013084870047515E-2</v>
      </c>
      <c r="P48" s="255">
        <f t="shared" si="9"/>
        <v>2.4608988155572678E-2</v>
      </c>
      <c r="Q48" s="254">
        <f t="shared" si="10"/>
        <v>1</v>
      </c>
      <c r="R48" s="254">
        <f t="shared" si="39"/>
        <v>1</v>
      </c>
      <c r="S48" s="255">
        <f t="shared" si="11"/>
        <v>2.5013084870047515E-2</v>
      </c>
      <c r="T48" s="255">
        <f t="shared" si="12"/>
        <v>2.5013084870047515E-2</v>
      </c>
      <c r="U48" s="254">
        <f t="shared" si="13"/>
        <v>0</v>
      </c>
      <c r="V48" s="254">
        <f t="shared" si="40"/>
        <v>0</v>
      </c>
      <c r="W48" s="255">
        <f t="shared" si="14"/>
        <v>2.5013084870047515E-2</v>
      </c>
      <c r="X48" s="255">
        <f t="shared" si="15"/>
        <v>2.4987038304483556E-2</v>
      </c>
      <c r="Y48" s="254">
        <f t="shared" si="16"/>
        <v>1</v>
      </c>
      <c r="Z48" s="254">
        <f t="shared" si="41"/>
        <v>1</v>
      </c>
      <c r="AA48" s="255">
        <f t="shared" si="17"/>
        <v>2.5013084870047515E-2</v>
      </c>
      <c r="AB48" s="255">
        <f t="shared" si="18"/>
        <v>2.5013084870047515E-2</v>
      </c>
      <c r="AC48" s="254">
        <f t="shared" si="19"/>
        <v>0</v>
      </c>
      <c r="AD48" s="254">
        <f t="shared" si="42"/>
        <v>0</v>
      </c>
      <c r="AE48" s="255">
        <f t="shared" si="20"/>
        <v>2.5013084870047515E-2</v>
      </c>
      <c r="AF48" s="255">
        <f t="shared" si="21"/>
        <v>2.5012873059453863E-2</v>
      </c>
      <c r="AG48" s="254">
        <f t="shared" si="22"/>
        <v>1</v>
      </c>
      <c r="AH48" s="254">
        <f t="shared" si="43"/>
        <v>1</v>
      </c>
      <c r="AI48" s="255">
        <f t="shared" si="23"/>
        <v>2.5013084870047515E-2</v>
      </c>
      <c r="AJ48" s="255">
        <f t="shared" si="24"/>
        <v>2.5013084870047515E-2</v>
      </c>
      <c r="AK48" s="254">
        <f t="shared" si="25"/>
        <v>0</v>
      </c>
      <c r="AL48" s="254">
        <f t="shared" si="44"/>
        <v>0</v>
      </c>
      <c r="AM48" s="255">
        <f t="shared" si="26"/>
        <v>2.5013084870047515E-2</v>
      </c>
      <c r="AN48" s="255">
        <f t="shared" si="27"/>
        <v>2.5013083147350224E-2</v>
      </c>
      <c r="AO48" s="254">
        <f t="shared" si="28"/>
        <v>1</v>
      </c>
      <c r="AP48" s="254">
        <f t="shared" si="45"/>
        <v>1</v>
      </c>
      <c r="AQ48" s="255">
        <f t="shared" si="29"/>
        <v>2.5013084870047515E-2</v>
      </c>
      <c r="AR48" s="255">
        <f t="shared" si="30"/>
        <v>2.5013084870047515E-2</v>
      </c>
      <c r="AS48" s="254">
        <f t="shared" si="31"/>
        <v>1</v>
      </c>
      <c r="AT48" s="254">
        <f t="shared" si="46"/>
        <v>1</v>
      </c>
      <c r="AU48" s="255">
        <f t="shared" si="32"/>
        <v>2.5013084870047515E-2</v>
      </c>
      <c r="AV48" s="255">
        <f t="shared" si="33"/>
        <v>2.5013084870047515E-2</v>
      </c>
      <c r="AW48" s="256">
        <f t="shared" si="34"/>
        <v>2.5013084870047508E-2</v>
      </c>
      <c r="AX48" s="257">
        <f t="shared" si="35"/>
        <v>507628.3260391127</v>
      </c>
      <c r="BC48" s="244">
        <f t="shared" si="36"/>
        <v>0</v>
      </c>
      <c r="BD48" s="244">
        <f t="shared" si="36"/>
        <v>1</v>
      </c>
      <c r="BF48" s="236">
        <f t="shared" si="37"/>
        <v>1</v>
      </c>
    </row>
    <row r="49" spans="2:58" x14ac:dyDescent="0.25">
      <c r="B49" s="245">
        <f t="shared" si="0"/>
        <v>19</v>
      </c>
      <c r="C49" s="246" t="str">
        <f>IF('מודל תמיכה חלוקת 20,294,511 שח'!G21="","",'מודל תמיכה חלוקת 20,294,511 שח'!G21)</f>
        <v>המכון ע"ש מרן הרב צבי יהודה קוק זצ"ל</v>
      </c>
      <c r="D49" s="247">
        <f>IF(C49="","",'מודל תמיכה חלוקת 20,294,511 שח'!V21)</f>
        <v>267960.88186240447</v>
      </c>
      <c r="E49" s="248">
        <f t="shared" si="1"/>
        <v>1.3203613620569843E-2</v>
      </c>
      <c r="F49" s="249">
        <f>IF(C49="","",'מודל תמיכה חלוקת 20,294,511 שח'!W21)</f>
        <v>296020</v>
      </c>
      <c r="G49" s="248">
        <f t="shared" si="2"/>
        <v>1.4734696077854069E-2</v>
      </c>
      <c r="H49" s="250">
        <v>1</v>
      </c>
      <c r="I49" s="251">
        <f t="shared" si="3"/>
        <v>0</v>
      </c>
      <c r="J49" s="252">
        <f t="shared" si="4"/>
        <v>0</v>
      </c>
      <c r="K49" s="253">
        <f t="shared" si="5"/>
        <v>1.3203613620569843E-2</v>
      </c>
      <c r="L49" s="253">
        <f t="shared" si="6"/>
        <v>1.2969740753433944E-2</v>
      </c>
      <c r="M49" s="254">
        <f t="shared" si="7"/>
        <v>0</v>
      </c>
      <c r="N49" s="254">
        <f t="shared" si="38"/>
        <v>0</v>
      </c>
      <c r="O49" s="255">
        <f t="shared" si="8"/>
        <v>1.3203613620569843E-2</v>
      </c>
      <c r="P49" s="255">
        <f t="shared" si="9"/>
        <v>1.29903037904954E-2</v>
      </c>
      <c r="Q49" s="254">
        <f t="shared" si="10"/>
        <v>0</v>
      </c>
      <c r="R49" s="254">
        <f t="shared" si="39"/>
        <v>0</v>
      </c>
      <c r="S49" s="255">
        <f t="shared" si="11"/>
        <v>1.3203613620569843E-2</v>
      </c>
      <c r="T49" s="255">
        <f t="shared" si="12"/>
        <v>1.2975600056765759E-2</v>
      </c>
      <c r="U49" s="254">
        <f t="shared" si="13"/>
        <v>0</v>
      </c>
      <c r="V49" s="254">
        <f t="shared" si="40"/>
        <v>0</v>
      </c>
      <c r="W49" s="255">
        <f t="shared" si="14"/>
        <v>1.2975600056765759E-2</v>
      </c>
      <c r="X49" s="255">
        <f t="shared" si="15"/>
        <v>1.2962088336025751E-2</v>
      </c>
      <c r="Y49" s="254">
        <f t="shared" si="16"/>
        <v>0</v>
      </c>
      <c r="Z49" s="254">
        <f t="shared" si="41"/>
        <v>0</v>
      </c>
      <c r="AA49" s="255">
        <f t="shared" si="17"/>
        <v>1.2962088336025751E-2</v>
      </c>
      <c r="AB49" s="255">
        <f t="shared" si="18"/>
        <v>1.296026992830405E-2</v>
      </c>
      <c r="AC49" s="254">
        <f t="shared" si="19"/>
        <v>0</v>
      </c>
      <c r="AD49" s="254">
        <f t="shared" si="42"/>
        <v>0</v>
      </c>
      <c r="AE49" s="255">
        <f t="shared" si="20"/>
        <v>1.296026992830405E-2</v>
      </c>
      <c r="AF49" s="255">
        <f t="shared" si="21"/>
        <v>1.2960160180846603E-2</v>
      </c>
      <c r="AG49" s="254">
        <f t="shared" si="22"/>
        <v>0</v>
      </c>
      <c r="AH49" s="254">
        <f t="shared" si="43"/>
        <v>0</v>
      </c>
      <c r="AI49" s="255">
        <f t="shared" si="23"/>
        <v>1.2960160180846603E-2</v>
      </c>
      <c r="AJ49" s="255">
        <f t="shared" si="24"/>
        <v>1.2960145393702511E-2</v>
      </c>
      <c r="AK49" s="254">
        <f t="shared" si="25"/>
        <v>0</v>
      </c>
      <c r="AL49" s="254">
        <f t="shared" si="44"/>
        <v>0</v>
      </c>
      <c r="AM49" s="255">
        <f t="shared" si="26"/>
        <v>1.2960145393702511E-2</v>
      </c>
      <c r="AN49" s="255">
        <f t="shared" si="27"/>
        <v>1.2960144501113394E-2</v>
      </c>
      <c r="AO49" s="254">
        <f t="shared" si="28"/>
        <v>0</v>
      </c>
      <c r="AP49" s="254">
        <f t="shared" si="45"/>
        <v>0</v>
      </c>
      <c r="AQ49" s="255">
        <f t="shared" si="29"/>
        <v>1.2960144501113394E-2</v>
      </c>
      <c r="AR49" s="255">
        <f t="shared" si="30"/>
        <v>1.2960144380846644E-2</v>
      </c>
      <c r="AS49" s="254">
        <f t="shared" si="31"/>
        <v>0</v>
      </c>
      <c r="AT49" s="254">
        <f t="shared" si="46"/>
        <v>0</v>
      </c>
      <c r="AU49" s="255">
        <f t="shared" si="32"/>
        <v>1.2960144380846644E-2</v>
      </c>
      <c r="AV49" s="255">
        <f t="shared" si="33"/>
        <v>1.2960144372541336E-2</v>
      </c>
      <c r="AW49" s="256">
        <f t="shared" si="34"/>
        <v>1.2960144372541333E-2</v>
      </c>
      <c r="AX49" s="257">
        <f t="shared" si="35"/>
        <v>263019.79253012815</v>
      </c>
      <c r="BC49" s="244">
        <f t="shared" si="36"/>
        <v>0</v>
      </c>
      <c r="BD49" s="244">
        <f t="shared" si="36"/>
        <v>1</v>
      </c>
      <c r="BF49" s="236">
        <f t="shared" si="37"/>
        <v>1</v>
      </c>
    </row>
    <row r="50" spans="2:58" x14ac:dyDescent="0.25">
      <c r="B50" s="245">
        <f t="shared" si="0"/>
        <v>20</v>
      </c>
      <c r="C50" s="246" t="str">
        <f>IF('מודל תמיכה חלוקת 20,294,511 שח'!G22="","",'מודל תמיכה חלוקת 20,294,511 שח'!G22)</f>
        <v>התורה והארץ (ע"ר)</v>
      </c>
      <c r="D50" s="247">
        <f>IF(C50="","",'מודל תמיכה חלוקת 20,294,511 שח'!V22)</f>
        <v>564128.17234190414</v>
      </c>
      <c r="E50" s="248">
        <f t="shared" si="1"/>
        <v>2.7797081306462829E-2</v>
      </c>
      <c r="F50" s="249">
        <f>IF(C50="","",'מודל תמיכה חלוקת 20,294,511 שח'!W22)</f>
        <v>628141</v>
      </c>
      <c r="G50" s="248">
        <f t="shared" si="2"/>
        <v>3.1266356087559392E-2</v>
      </c>
      <c r="H50" s="250">
        <v>1</v>
      </c>
      <c r="I50" s="251">
        <f t="shared" si="3"/>
        <v>0</v>
      </c>
      <c r="J50" s="252">
        <f t="shared" si="4"/>
        <v>0</v>
      </c>
      <c r="K50" s="253">
        <f t="shared" si="5"/>
        <v>2.7797081306462829E-2</v>
      </c>
      <c r="L50" s="253">
        <f t="shared" si="6"/>
        <v>2.7304717375650413E-2</v>
      </c>
      <c r="M50" s="254">
        <f t="shared" si="7"/>
        <v>0</v>
      </c>
      <c r="N50" s="254">
        <f t="shared" si="38"/>
        <v>0</v>
      </c>
      <c r="O50" s="255">
        <f t="shared" si="8"/>
        <v>2.7797081306462829E-2</v>
      </c>
      <c r="P50" s="255">
        <f t="shared" si="9"/>
        <v>2.7348007979990319E-2</v>
      </c>
      <c r="Q50" s="254">
        <f t="shared" si="10"/>
        <v>0</v>
      </c>
      <c r="R50" s="254">
        <f t="shared" si="39"/>
        <v>0</v>
      </c>
      <c r="S50" s="255">
        <f t="shared" si="11"/>
        <v>2.7797081306462829E-2</v>
      </c>
      <c r="T50" s="255">
        <f t="shared" si="12"/>
        <v>2.731705275108581E-2</v>
      </c>
      <c r="U50" s="254">
        <f t="shared" si="13"/>
        <v>0</v>
      </c>
      <c r="V50" s="254">
        <f t="shared" si="40"/>
        <v>0</v>
      </c>
      <c r="W50" s="255">
        <f t="shared" si="14"/>
        <v>2.731705275108581E-2</v>
      </c>
      <c r="X50" s="255">
        <f t="shared" si="15"/>
        <v>2.7288607023212105E-2</v>
      </c>
      <c r="Y50" s="254">
        <f t="shared" si="16"/>
        <v>0</v>
      </c>
      <c r="Z50" s="254">
        <f t="shared" si="41"/>
        <v>0</v>
      </c>
      <c r="AA50" s="255">
        <f t="shared" si="17"/>
        <v>2.7288607023212105E-2</v>
      </c>
      <c r="AB50" s="255">
        <f t="shared" si="18"/>
        <v>2.7284778796429578E-2</v>
      </c>
      <c r="AC50" s="254">
        <f t="shared" si="19"/>
        <v>0</v>
      </c>
      <c r="AD50" s="254">
        <f t="shared" si="42"/>
        <v>0</v>
      </c>
      <c r="AE50" s="255">
        <f t="shared" si="20"/>
        <v>2.7284778796429578E-2</v>
      </c>
      <c r="AF50" s="255">
        <f t="shared" si="21"/>
        <v>2.7284547749150744E-2</v>
      </c>
      <c r="AG50" s="254">
        <f t="shared" si="22"/>
        <v>0</v>
      </c>
      <c r="AH50" s="254">
        <f t="shared" si="43"/>
        <v>0</v>
      </c>
      <c r="AI50" s="255">
        <f t="shared" si="23"/>
        <v>2.7284547749150744E-2</v>
      </c>
      <c r="AJ50" s="255">
        <f t="shared" si="24"/>
        <v>2.7284516618321073E-2</v>
      </c>
      <c r="AK50" s="254">
        <f t="shared" si="25"/>
        <v>0</v>
      </c>
      <c r="AL50" s="254">
        <f t="shared" si="44"/>
        <v>0</v>
      </c>
      <c r="AM50" s="255">
        <f t="shared" si="26"/>
        <v>2.7284516618321073E-2</v>
      </c>
      <c r="AN50" s="255">
        <f t="shared" si="27"/>
        <v>2.728451473918609E-2</v>
      </c>
      <c r="AO50" s="254">
        <f t="shared" si="28"/>
        <v>0</v>
      </c>
      <c r="AP50" s="254">
        <f t="shared" si="45"/>
        <v>0</v>
      </c>
      <c r="AQ50" s="255">
        <f t="shared" si="29"/>
        <v>2.728451473918609E-2</v>
      </c>
      <c r="AR50" s="255">
        <f t="shared" si="30"/>
        <v>2.7284514485992933E-2</v>
      </c>
      <c r="AS50" s="254">
        <f t="shared" si="31"/>
        <v>0</v>
      </c>
      <c r="AT50" s="254">
        <f t="shared" si="46"/>
        <v>0</v>
      </c>
      <c r="AU50" s="255">
        <f t="shared" si="32"/>
        <v>2.7284514485992933E-2</v>
      </c>
      <c r="AV50" s="255">
        <f t="shared" si="33"/>
        <v>2.7284514468508072E-2</v>
      </c>
      <c r="AW50" s="256">
        <f t="shared" si="34"/>
        <v>2.7284514468508065E-2</v>
      </c>
      <c r="AX50" s="257">
        <f t="shared" si="35"/>
        <v>553725.87901079608</v>
      </c>
      <c r="BC50" s="244">
        <f t="shared" si="36"/>
        <v>0</v>
      </c>
      <c r="BD50" s="244">
        <f t="shared" si="36"/>
        <v>1</v>
      </c>
      <c r="BF50" s="236">
        <f t="shared" si="37"/>
        <v>1</v>
      </c>
    </row>
    <row r="51" spans="2:58" x14ac:dyDescent="0.25">
      <c r="B51" s="245">
        <f t="shared" si="0"/>
        <v>21</v>
      </c>
      <c r="C51" s="246" t="str">
        <f>IF('מודל תמיכה חלוקת 20,294,511 שח'!G23="","",'מודל תמיכה חלוקת 20,294,511 שח'!G23)</f>
        <v>חוסן ישועות לתורת מרן הרב קוק זצ"ל</v>
      </c>
      <c r="D51" s="247">
        <f>IF(C51="","",'מודל תמיכה חלוקת 20,294,511 שח'!V23)</f>
        <v>239754.47324530926</v>
      </c>
      <c r="E51" s="248">
        <f t="shared" si="1"/>
        <v>1.1813759555246703E-2</v>
      </c>
      <c r="F51" s="249">
        <f>IF(C51="","",'מודל תמיכה חלוקת 20,294,511 שח'!W23)</f>
        <v>238260</v>
      </c>
      <c r="G51" s="248">
        <f t="shared" si="2"/>
        <v>1.1859633428516689E-2</v>
      </c>
      <c r="H51" s="250">
        <v>1</v>
      </c>
      <c r="I51" s="251">
        <f t="shared" si="3"/>
        <v>0</v>
      </c>
      <c r="J51" s="252">
        <f t="shared" si="4"/>
        <v>0</v>
      </c>
      <c r="K51" s="253">
        <f t="shared" si="5"/>
        <v>1.1813759555246703E-2</v>
      </c>
      <c r="L51" s="253">
        <f t="shared" si="6"/>
        <v>1.1604504884651425E-2</v>
      </c>
      <c r="M51" s="254">
        <f t="shared" si="7"/>
        <v>0</v>
      </c>
      <c r="N51" s="254">
        <f t="shared" si="38"/>
        <v>0</v>
      </c>
      <c r="O51" s="255">
        <f t="shared" si="8"/>
        <v>1.1813759555246703E-2</v>
      </c>
      <c r="P51" s="255">
        <f t="shared" si="9"/>
        <v>1.1622903391495885E-2</v>
      </c>
      <c r="Q51" s="254">
        <f t="shared" si="10"/>
        <v>0</v>
      </c>
      <c r="R51" s="254">
        <f t="shared" si="39"/>
        <v>0</v>
      </c>
      <c r="S51" s="255">
        <f t="shared" si="11"/>
        <v>1.1813759555246703E-2</v>
      </c>
      <c r="T51" s="255">
        <f t="shared" si="12"/>
        <v>1.1609747419211469E-2</v>
      </c>
      <c r="U51" s="254">
        <f t="shared" si="13"/>
        <v>0</v>
      </c>
      <c r="V51" s="254">
        <f t="shared" si="40"/>
        <v>0</v>
      </c>
      <c r="W51" s="255">
        <f t="shared" si="14"/>
        <v>1.1609747419211469E-2</v>
      </c>
      <c r="X51" s="255">
        <f t="shared" si="15"/>
        <v>1.1597657984865145E-2</v>
      </c>
      <c r="Y51" s="254">
        <f t="shared" si="16"/>
        <v>0</v>
      </c>
      <c r="Z51" s="254">
        <f t="shared" si="41"/>
        <v>0</v>
      </c>
      <c r="AA51" s="255">
        <f t="shared" si="17"/>
        <v>1.1597657984865145E-2</v>
      </c>
      <c r="AB51" s="255">
        <f t="shared" si="18"/>
        <v>1.159603098848257E-2</v>
      </c>
      <c r="AC51" s="254">
        <f t="shared" si="19"/>
        <v>0</v>
      </c>
      <c r="AD51" s="254">
        <f t="shared" si="42"/>
        <v>0</v>
      </c>
      <c r="AE51" s="255">
        <f t="shared" si="20"/>
        <v>1.159603098848257E-2</v>
      </c>
      <c r="AF51" s="255">
        <f t="shared" si="21"/>
        <v>1.1595932793389066E-2</v>
      </c>
      <c r="AG51" s="254">
        <f t="shared" si="22"/>
        <v>0</v>
      </c>
      <c r="AH51" s="254">
        <f t="shared" si="43"/>
        <v>0</v>
      </c>
      <c r="AI51" s="255">
        <f t="shared" si="23"/>
        <v>1.1595932793389066E-2</v>
      </c>
      <c r="AJ51" s="255">
        <f t="shared" si="24"/>
        <v>1.1595919562786456E-2</v>
      </c>
      <c r="AK51" s="254">
        <f t="shared" si="25"/>
        <v>0</v>
      </c>
      <c r="AL51" s="254">
        <f t="shared" si="44"/>
        <v>0</v>
      </c>
      <c r="AM51" s="255">
        <f t="shared" si="26"/>
        <v>1.1595919562786456E-2</v>
      </c>
      <c r="AN51" s="255">
        <f t="shared" si="27"/>
        <v>1.1595918764154087E-2</v>
      </c>
      <c r="AO51" s="254">
        <f t="shared" si="28"/>
        <v>0</v>
      </c>
      <c r="AP51" s="254">
        <f t="shared" si="45"/>
        <v>0</v>
      </c>
      <c r="AQ51" s="255">
        <f t="shared" si="29"/>
        <v>1.1595918764154087E-2</v>
      </c>
      <c r="AR51" s="255">
        <f t="shared" si="30"/>
        <v>1.1595918656546996E-2</v>
      </c>
      <c r="AS51" s="254">
        <f t="shared" si="31"/>
        <v>0</v>
      </c>
      <c r="AT51" s="254">
        <f t="shared" si="46"/>
        <v>0</v>
      </c>
      <c r="AU51" s="255">
        <f t="shared" si="32"/>
        <v>1.1595918656546996E-2</v>
      </c>
      <c r="AV51" s="255">
        <f t="shared" si="33"/>
        <v>1.1595918649115931E-2</v>
      </c>
      <c r="AW51" s="256">
        <f t="shared" si="34"/>
        <v>1.159591864911593E-2</v>
      </c>
      <c r="AX51" s="257">
        <f t="shared" si="35"/>
        <v>235333.49857958837</v>
      </c>
      <c r="BC51" s="244">
        <f t="shared" si="36"/>
        <v>0</v>
      </c>
      <c r="BD51" s="244">
        <f t="shared" si="36"/>
        <v>1</v>
      </c>
      <c r="BF51" s="236">
        <f t="shared" si="37"/>
        <v>1</v>
      </c>
    </row>
    <row r="52" spans="2:58" x14ac:dyDescent="0.25">
      <c r="B52" s="245">
        <f t="shared" si="0"/>
        <v>22</v>
      </c>
      <c r="C52" s="246" t="str">
        <f>IF('מודל תמיכה חלוקת 20,294,511 שח'!G24="","",'מודל תמיכה חלוקת 20,294,511 שח'!G24)</f>
        <v>חי בהם תורה לאנשים עובדים (ע"ר)</v>
      </c>
      <c r="D52" s="247">
        <f>IF(C52="","",'מודל תמיכה חלוקת 20,294,511 שח'!V24)</f>
        <v>239754.47324530926</v>
      </c>
      <c r="E52" s="248">
        <f t="shared" si="1"/>
        <v>1.1813759555246703E-2</v>
      </c>
      <c r="F52" s="249">
        <f>IF(C52="","",'מודל תמיכה חלוקת 20,294,511 שח'!W24)</f>
        <v>194940</v>
      </c>
      <c r="G52" s="248">
        <f t="shared" si="2"/>
        <v>9.7033364415136554E-3</v>
      </c>
      <c r="H52" s="250">
        <v>1</v>
      </c>
      <c r="I52" s="251">
        <f t="shared" si="3"/>
        <v>0</v>
      </c>
      <c r="J52" s="252">
        <f t="shared" si="4"/>
        <v>0</v>
      </c>
      <c r="K52" s="253">
        <f t="shared" si="5"/>
        <v>1.1813759555246703E-2</v>
      </c>
      <c r="L52" s="253">
        <f t="shared" si="6"/>
        <v>1.1604504884651425E-2</v>
      </c>
      <c r="M52" s="254">
        <f t="shared" si="7"/>
        <v>0</v>
      </c>
      <c r="N52" s="254">
        <f t="shared" si="38"/>
        <v>0</v>
      </c>
      <c r="O52" s="255">
        <f t="shared" si="8"/>
        <v>1.1813759555246703E-2</v>
      </c>
      <c r="P52" s="255">
        <f t="shared" si="9"/>
        <v>1.1622903391495885E-2</v>
      </c>
      <c r="Q52" s="254">
        <f t="shared" si="10"/>
        <v>0</v>
      </c>
      <c r="R52" s="254">
        <f t="shared" si="39"/>
        <v>0</v>
      </c>
      <c r="S52" s="255">
        <f t="shared" si="11"/>
        <v>1.1813759555246703E-2</v>
      </c>
      <c r="T52" s="255">
        <f t="shared" si="12"/>
        <v>1.1609747419211469E-2</v>
      </c>
      <c r="U52" s="254">
        <f t="shared" si="13"/>
        <v>0</v>
      </c>
      <c r="V52" s="254">
        <f t="shared" si="40"/>
        <v>0</v>
      </c>
      <c r="W52" s="255">
        <f t="shared" si="14"/>
        <v>1.1609747419211469E-2</v>
      </c>
      <c r="X52" s="255">
        <f t="shared" si="15"/>
        <v>1.1597657984865145E-2</v>
      </c>
      <c r="Y52" s="254">
        <f t="shared" si="16"/>
        <v>0</v>
      </c>
      <c r="Z52" s="254">
        <f t="shared" si="41"/>
        <v>0</v>
      </c>
      <c r="AA52" s="255">
        <f t="shared" si="17"/>
        <v>1.1597657984865145E-2</v>
      </c>
      <c r="AB52" s="255">
        <f t="shared" si="18"/>
        <v>1.159603098848257E-2</v>
      </c>
      <c r="AC52" s="254">
        <f t="shared" si="19"/>
        <v>0</v>
      </c>
      <c r="AD52" s="254">
        <f t="shared" si="42"/>
        <v>0</v>
      </c>
      <c r="AE52" s="255">
        <f t="shared" si="20"/>
        <v>1.159603098848257E-2</v>
      </c>
      <c r="AF52" s="255">
        <f t="shared" si="21"/>
        <v>1.1595932793389066E-2</v>
      </c>
      <c r="AG52" s="254">
        <f t="shared" si="22"/>
        <v>0</v>
      </c>
      <c r="AH52" s="254">
        <f t="shared" si="43"/>
        <v>0</v>
      </c>
      <c r="AI52" s="255">
        <f t="shared" si="23"/>
        <v>1.1595932793389066E-2</v>
      </c>
      <c r="AJ52" s="255">
        <f t="shared" si="24"/>
        <v>1.1595919562786456E-2</v>
      </c>
      <c r="AK52" s="254">
        <f t="shared" si="25"/>
        <v>0</v>
      </c>
      <c r="AL52" s="254">
        <f t="shared" si="44"/>
        <v>0</v>
      </c>
      <c r="AM52" s="255">
        <f t="shared" si="26"/>
        <v>1.1595919562786456E-2</v>
      </c>
      <c r="AN52" s="255">
        <f t="shared" si="27"/>
        <v>1.1595918764154087E-2</v>
      </c>
      <c r="AO52" s="254">
        <f t="shared" si="28"/>
        <v>0</v>
      </c>
      <c r="AP52" s="254">
        <f t="shared" si="45"/>
        <v>0</v>
      </c>
      <c r="AQ52" s="255">
        <f t="shared" si="29"/>
        <v>1.1595918764154087E-2</v>
      </c>
      <c r="AR52" s="255">
        <f t="shared" si="30"/>
        <v>1.1595918656546996E-2</v>
      </c>
      <c r="AS52" s="254">
        <f t="shared" si="31"/>
        <v>0</v>
      </c>
      <c r="AT52" s="254">
        <f t="shared" si="46"/>
        <v>0</v>
      </c>
      <c r="AU52" s="255">
        <f t="shared" si="32"/>
        <v>1.1595918656546996E-2</v>
      </c>
      <c r="AV52" s="255">
        <f t="shared" si="33"/>
        <v>1.1595918649115931E-2</v>
      </c>
      <c r="AW52" s="256">
        <f t="shared" si="34"/>
        <v>1.159591864911593E-2</v>
      </c>
      <c r="AX52" s="257">
        <f t="shared" si="35"/>
        <v>235333.49857958837</v>
      </c>
      <c r="BC52" s="244">
        <f t="shared" si="36"/>
        <v>0</v>
      </c>
      <c r="BD52" s="244">
        <f t="shared" si="36"/>
        <v>1</v>
      </c>
      <c r="BF52" s="236">
        <f t="shared" si="37"/>
        <v>1</v>
      </c>
    </row>
    <row r="53" spans="2:58" x14ac:dyDescent="0.25">
      <c r="B53" s="245">
        <f t="shared" si="0"/>
        <v>23</v>
      </c>
      <c r="C53" s="246" t="str">
        <f>IF('מודל תמיכה חלוקת 20,294,511 שח'!G25="","",'מודל תמיכה חלוקת 20,294,511 שח'!G25)</f>
        <v>חכמת שלמה - קלוגר (ע"ר)</v>
      </c>
      <c r="D53" s="247">
        <f>IF(C53="","",'מודל תמיכה חלוקת 20,294,511 שח'!V25)</f>
        <v>416044.52710215427</v>
      </c>
      <c r="E53" s="248">
        <f t="shared" si="1"/>
        <v>2.0500347463516335E-2</v>
      </c>
      <c r="F53" s="249">
        <f>IF(C53="","",'מודל תמיכה חלוקת 20,294,511 שח'!W25)</f>
        <v>326021</v>
      </c>
      <c r="G53" s="248">
        <f t="shared" si="2"/>
        <v>1.6228026315782924E-2</v>
      </c>
      <c r="H53" s="250">
        <v>1</v>
      </c>
      <c r="I53" s="251">
        <f t="shared" si="3"/>
        <v>0</v>
      </c>
      <c r="J53" s="252">
        <f t="shared" si="4"/>
        <v>0</v>
      </c>
      <c r="K53" s="253">
        <f t="shared" si="5"/>
        <v>2.0500347463516335E-2</v>
      </c>
      <c r="L53" s="253">
        <f t="shared" si="6"/>
        <v>2.0137229064542177E-2</v>
      </c>
      <c r="M53" s="254">
        <f t="shared" si="7"/>
        <v>0</v>
      </c>
      <c r="N53" s="254">
        <f t="shared" si="38"/>
        <v>0</v>
      </c>
      <c r="O53" s="255">
        <f t="shared" si="8"/>
        <v>2.0500347463516335E-2</v>
      </c>
      <c r="P53" s="255">
        <f t="shared" si="9"/>
        <v>2.0169155885242859E-2</v>
      </c>
      <c r="Q53" s="254">
        <f t="shared" si="10"/>
        <v>0</v>
      </c>
      <c r="R53" s="254">
        <f t="shared" si="39"/>
        <v>0</v>
      </c>
      <c r="S53" s="255">
        <f t="shared" si="11"/>
        <v>2.0500347463516335E-2</v>
      </c>
      <c r="T53" s="255">
        <f t="shared" si="12"/>
        <v>2.0146326403925781E-2</v>
      </c>
      <c r="U53" s="254">
        <f t="shared" si="13"/>
        <v>0</v>
      </c>
      <c r="V53" s="254">
        <f t="shared" si="40"/>
        <v>0</v>
      </c>
      <c r="W53" s="255">
        <f t="shared" si="14"/>
        <v>2.0146326403925781E-2</v>
      </c>
      <c r="X53" s="255">
        <f t="shared" si="15"/>
        <v>2.0125347679618925E-2</v>
      </c>
      <c r="Y53" s="254">
        <f t="shared" si="16"/>
        <v>0</v>
      </c>
      <c r="Z53" s="254">
        <f t="shared" si="41"/>
        <v>0</v>
      </c>
      <c r="AA53" s="255">
        <f t="shared" si="17"/>
        <v>2.0125347679618925E-2</v>
      </c>
      <c r="AB53" s="255">
        <f t="shared" si="18"/>
        <v>2.0122524362366809E-2</v>
      </c>
      <c r="AC53" s="254">
        <f t="shared" si="19"/>
        <v>0</v>
      </c>
      <c r="AD53" s="254">
        <f t="shared" si="42"/>
        <v>0</v>
      </c>
      <c r="AE53" s="255">
        <f t="shared" si="20"/>
        <v>2.0122524362366809E-2</v>
      </c>
      <c r="AF53" s="255">
        <f t="shared" si="21"/>
        <v>2.0122353964998667E-2</v>
      </c>
      <c r="AG53" s="254">
        <f t="shared" si="22"/>
        <v>0</v>
      </c>
      <c r="AH53" s="254">
        <f t="shared" si="43"/>
        <v>0</v>
      </c>
      <c r="AI53" s="255">
        <f t="shared" si="23"/>
        <v>2.0122353964998667E-2</v>
      </c>
      <c r="AJ53" s="255">
        <f t="shared" si="24"/>
        <v>2.0122331006011785E-2</v>
      </c>
      <c r="AK53" s="254">
        <f t="shared" si="25"/>
        <v>0</v>
      </c>
      <c r="AL53" s="254">
        <f t="shared" si="44"/>
        <v>0</v>
      </c>
      <c r="AM53" s="255">
        <f t="shared" si="26"/>
        <v>2.0122331006011785E-2</v>
      </c>
      <c r="AN53" s="255">
        <f t="shared" si="27"/>
        <v>2.0122329620149735E-2</v>
      </c>
      <c r="AO53" s="254">
        <f t="shared" si="28"/>
        <v>0</v>
      </c>
      <c r="AP53" s="254">
        <f t="shared" si="45"/>
        <v>0</v>
      </c>
      <c r="AQ53" s="255">
        <f t="shared" si="29"/>
        <v>2.0122329620149735E-2</v>
      </c>
      <c r="AR53" s="255">
        <f t="shared" si="30"/>
        <v>2.0122329433419781E-2</v>
      </c>
      <c r="AS53" s="254">
        <f t="shared" si="31"/>
        <v>0</v>
      </c>
      <c r="AT53" s="254">
        <f t="shared" si="46"/>
        <v>0</v>
      </c>
      <c r="AU53" s="255">
        <f t="shared" si="32"/>
        <v>2.0122329433419781E-2</v>
      </c>
      <c r="AV53" s="255">
        <f t="shared" si="33"/>
        <v>2.0122329420524696E-2</v>
      </c>
      <c r="AW53" s="256">
        <f t="shared" si="34"/>
        <v>2.0122329420524693E-2</v>
      </c>
      <c r="AX53" s="257">
        <f t="shared" si="35"/>
        <v>408372.835770462</v>
      </c>
      <c r="BC53" s="244">
        <f t="shared" si="36"/>
        <v>0</v>
      </c>
      <c r="BD53" s="244">
        <f t="shared" si="36"/>
        <v>1</v>
      </c>
      <c r="BF53" s="236">
        <f t="shared" si="37"/>
        <v>1</v>
      </c>
    </row>
    <row r="54" spans="2:58" x14ac:dyDescent="0.25">
      <c r="B54" s="245">
        <f t="shared" si="0"/>
        <v>24</v>
      </c>
      <c r="C54" s="246" t="str">
        <f>IF('מודל תמיכה חלוקת 20,294,511 שח'!G26="","",'מודל תמיכה חלוקת 20,294,511 שח'!G26)</f>
        <v>טהרות בעיון (ע"ר)</v>
      </c>
      <c r="D54" s="247">
        <f>IF(C54="","",'מודל תמיכה חלוקת 20,294,511 שח'!V26)</f>
        <v>578231.37665045168</v>
      </c>
      <c r="E54" s="248">
        <f t="shared" si="1"/>
        <v>2.8492008339124394E-2</v>
      </c>
      <c r="F54" s="249">
        <f>IF(C54="","",'מודל תמיכה חלוקת 20,294,511 שח'!W26)</f>
        <v>649801</v>
      </c>
      <c r="G54" s="248">
        <f t="shared" si="2"/>
        <v>3.2344504581060911E-2</v>
      </c>
      <c r="H54" s="250">
        <v>1</v>
      </c>
      <c r="I54" s="251">
        <f t="shared" si="3"/>
        <v>0</v>
      </c>
      <c r="J54" s="252">
        <f t="shared" si="4"/>
        <v>0</v>
      </c>
      <c r="K54" s="253">
        <f t="shared" si="5"/>
        <v>2.8492008339124394E-2</v>
      </c>
      <c r="L54" s="253">
        <f t="shared" si="6"/>
        <v>2.7987335310041668E-2</v>
      </c>
      <c r="M54" s="254">
        <f t="shared" si="7"/>
        <v>0</v>
      </c>
      <c r="N54" s="254">
        <f t="shared" si="38"/>
        <v>0</v>
      </c>
      <c r="O54" s="255">
        <f t="shared" si="8"/>
        <v>2.8492008339124394E-2</v>
      </c>
      <c r="P54" s="255">
        <f t="shared" si="9"/>
        <v>2.8031708179490071E-2</v>
      </c>
      <c r="Q54" s="254">
        <f t="shared" si="10"/>
        <v>0</v>
      </c>
      <c r="R54" s="254">
        <f t="shared" si="39"/>
        <v>0</v>
      </c>
      <c r="S54" s="255">
        <f t="shared" si="11"/>
        <v>2.8492008339124394E-2</v>
      </c>
      <c r="T54" s="255">
        <f t="shared" si="12"/>
        <v>2.799997906986295E-2</v>
      </c>
      <c r="U54" s="254">
        <f t="shared" si="13"/>
        <v>0</v>
      </c>
      <c r="V54" s="254">
        <f t="shared" si="40"/>
        <v>0</v>
      </c>
      <c r="W54" s="255">
        <f t="shared" si="14"/>
        <v>2.799997906986295E-2</v>
      </c>
      <c r="X54" s="255">
        <f t="shared" si="15"/>
        <v>2.7970822198792405E-2</v>
      </c>
      <c r="Y54" s="254">
        <f t="shared" si="16"/>
        <v>0</v>
      </c>
      <c r="Z54" s="254">
        <f t="shared" si="41"/>
        <v>0</v>
      </c>
      <c r="AA54" s="255">
        <f t="shared" si="17"/>
        <v>2.7970822198792405E-2</v>
      </c>
      <c r="AB54" s="255">
        <f t="shared" si="18"/>
        <v>2.7966898266340311E-2</v>
      </c>
      <c r="AC54" s="254">
        <f t="shared" si="19"/>
        <v>0</v>
      </c>
      <c r="AD54" s="254">
        <f t="shared" si="42"/>
        <v>0</v>
      </c>
      <c r="AE54" s="255">
        <f t="shared" si="20"/>
        <v>2.7966898266340311E-2</v>
      </c>
      <c r="AF54" s="255">
        <f t="shared" si="21"/>
        <v>2.7966661442879508E-2</v>
      </c>
      <c r="AG54" s="254">
        <f t="shared" si="22"/>
        <v>0</v>
      </c>
      <c r="AH54" s="254">
        <f t="shared" si="43"/>
        <v>0</v>
      </c>
      <c r="AI54" s="255">
        <f t="shared" si="23"/>
        <v>2.7966661442879508E-2</v>
      </c>
      <c r="AJ54" s="255">
        <f t="shared" si="24"/>
        <v>2.7966629533779097E-2</v>
      </c>
      <c r="AK54" s="254">
        <f t="shared" si="25"/>
        <v>0</v>
      </c>
      <c r="AL54" s="254">
        <f t="shared" si="44"/>
        <v>0</v>
      </c>
      <c r="AM54" s="255">
        <f t="shared" si="26"/>
        <v>2.7966629533779097E-2</v>
      </c>
      <c r="AN54" s="255">
        <f t="shared" si="27"/>
        <v>2.7966627607665741E-2</v>
      </c>
      <c r="AO54" s="254">
        <f t="shared" si="28"/>
        <v>0</v>
      </c>
      <c r="AP54" s="254">
        <f t="shared" si="45"/>
        <v>0</v>
      </c>
      <c r="AQ54" s="255">
        <f t="shared" si="29"/>
        <v>2.7966627607665741E-2</v>
      </c>
      <c r="AR54" s="255">
        <f t="shared" si="30"/>
        <v>2.7966627348142759E-2</v>
      </c>
      <c r="AS54" s="254">
        <f t="shared" si="31"/>
        <v>0</v>
      </c>
      <c r="AT54" s="254">
        <f t="shared" si="46"/>
        <v>0</v>
      </c>
      <c r="AU54" s="255">
        <f t="shared" si="32"/>
        <v>2.7966627348142759E-2</v>
      </c>
      <c r="AV54" s="255">
        <f t="shared" si="33"/>
        <v>2.7966627330220775E-2</v>
      </c>
      <c r="AW54" s="256">
        <f t="shared" si="34"/>
        <v>2.7966627330220768E-2</v>
      </c>
      <c r="AX54" s="257">
        <f t="shared" si="35"/>
        <v>567569.02598606597</v>
      </c>
      <c r="BC54" s="244">
        <f t="shared" si="36"/>
        <v>0</v>
      </c>
      <c r="BD54" s="244">
        <f t="shared" si="36"/>
        <v>1</v>
      </c>
      <c r="BF54" s="236">
        <f t="shared" si="37"/>
        <v>1</v>
      </c>
    </row>
    <row r="55" spans="2:58" x14ac:dyDescent="0.25">
      <c r="B55" s="245">
        <f t="shared" si="0"/>
        <v>25</v>
      </c>
      <c r="C55" s="246" t="str">
        <f>IF('מודל תמיכה חלוקת 20,294,511 שח'!G27="","",'מודל תמיכה חלוקת 20,294,511 שח'!G27)</f>
        <v>ישיבת בית מאיר ע"ש מרן הגאון ר מאיר</v>
      </c>
      <c r="D55" s="247">
        <f>IF(C55="","",'מודל תמיכה חלוקת 20,294,511 שח'!V27)</f>
        <v>324373.69909659488</v>
      </c>
      <c r="E55" s="248">
        <f t="shared" si="1"/>
        <v>1.5983321751216126E-2</v>
      </c>
      <c r="F55" s="249">
        <f>IF(C55="","",'מודל תמיכה חלוקת 20,294,511 שח'!W27)</f>
        <v>380000</v>
      </c>
      <c r="G55" s="248">
        <f t="shared" si="2"/>
        <v>1.8914885850903812E-2</v>
      </c>
      <c r="H55" s="250">
        <v>1</v>
      </c>
      <c r="I55" s="251">
        <f t="shared" si="3"/>
        <v>0</v>
      </c>
      <c r="J55" s="252">
        <f t="shared" si="4"/>
        <v>0</v>
      </c>
      <c r="K55" s="253">
        <f t="shared" si="5"/>
        <v>1.5983321751216126E-2</v>
      </c>
      <c r="L55" s="253">
        <f t="shared" si="6"/>
        <v>1.5700212490998986E-2</v>
      </c>
      <c r="M55" s="254">
        <f t="shared" si="7"/>
        <v>0</v>
      </c>
      <c r="N55" s="254">
        <f t="shared" si="38"/>
        <v>0</v>
      </c>
      <c r="O55" s="255">
        <f t="shared" si="8"/>
        <v>1.5983321751216126E-2</v>
      </c>
      <c r="P55" s="255">
        <f t="shared" si="9"/>
        <v>1.5725104588494434E-2</v>
      </c>
      <c r="Q55" s="254">
        <f t="shared" si="10"/>
        <v>0</v>
      </c>
      <c r="R55" s="254">
        <f t="shared" si="39"/>
        <v>0</v>
      </c>
      <c r="S55" s="255">
        <f t="shared" si="11"/>
        <v>1.5983321751216126E-2</v>
      </c>
      <c r="T55" s="255">
        <f t="shared" si="12"/>
        <v>1.5707305331874342E-2</v>
      </c>
      <c r="U55" s="254">
        <f t="shared" si="13"/>
        <v>0</v>
      </c>
      <c r="V55" s="254">
        <f t="shared" si="40"/>
        <v>0</v>
      </c>
      <c r="W55" s="255">
        <f t="shared" si="14"/>
        <v>1.5707305331874342E-2</v>
      </c>
      <c r="X55" s="255">
        <f t="shared" si="15"/>
        <v>1.5690949038346964E-2</v>
      </c>
      <c r="Y55" s="254">
        <f t="shared" si="16"/>
        <v>0</v>
      </c>
      <c r="Z55" s="254">
        <f t="shared" si="41"/>
        <v>0</v>
      </c>
      <c r="AA55" s="255">
        <f t="shared" si="17"/>
        <v>1.5690949038346964E-2</v>
      </c>
      <c r="AB55" s="255">
        <f t="shared" si="18"/>
        <v>1.5688747807947011E-2</v>
      </c>
      <c r="AC55" s="254">
        <f t="shared" si="19"/>
        <v>0</v>
      </c>
      <c r="AD55" s="254">
        <f t="shared" si="42"/>
        <v>0</v>
      </c>
      <c r="AE55" s="255">
        <f t="shared" si="20"/>
        <v>1.5688747807947011E-2</v>
      </c>
      <c r="AF55" s="255">
        <f t="shared" si="21"/>
        <v>1.5688614955761682E-2</v>
      </c>
      <c r="AG55" s="254">
        <f t="shared" si="22"/>
        <v>0</v>
      </c>
      <c r="AH55" s="254">
        <f t="shared" si="43"/>
        <v>0</v>
      </c>
      <c r="AI55" s="255">
        <f t="shared" si="23"/>
        <v>1.5688614955761682E-2</v>
      </c>
      <c r="AJ55" s="255">
        <f t="shared" si="24"/>
        <v>1.5688597055534621E-2</v>
      </c>
      <c r="AK55" s="254">
        <f t="shared" si="25"/>
        <v>0</v>
      </c>
      <c r="AL55" s="254">
        <f t="shared" si="44"/>
        <v>0</v>
      </c>
      <c r="AM55" s="255">
        <f t="shared" si="26"/>
        <v>1.5688597055534621E-2</v>
      </c>
      <c r="AN55" s="255">
        <f t="shared" si="27"/>
        <v>1.5688595975032003E-2</v>
      </c>
      <c r="AO55" s="254">
        <f t="shared" si="28"/>
        <v>0</v>
      </c>
      <c r="AP55" s="254">
        <f t="shared" si="45"/>
        <v>0</v>
      </c>
      <c r="AQ55" s="255">
        <f t="shared" si="29"/>
        <v>1.5688595975032003E-2</v>
      </c>
      <c r="AR55" s="255">
        <f t="shared" si="30"/>
        <v>1.5688595829445939E-2</v>
      </c>
      <c r="AS55" s="254">
        <f t="shared" si="31"/>
        <v>0</v>
      </c>
      <c r="AT55" s="254">
        <f t="shared" si="46"/>
        <v>0</v>
      </c>
      <c r="AU55" s="255">
        <f t="shared" si="32"/>
        <v>1.5688595829445939E-2</v>
      </c>
      <c r="AV55" s="255">
        <f t="shared" si="33"/>
        <v>1.5688595819392144E-2</v>
      </c>
      <c r="AW55" s="256">
        <f t="shared" si="34"/>
        <v>1.5688595819392141E-2</v>
      </c>
      <c r="AX55" s="257">
        <f t="shared" si="35"/>
        <v>318392.38043120783</v>
      </c>
      <c r="BC55" s="244">
        <f t="shared" si="36"/>
        <v>0</v>
      </c>
      <c r="BD55" s="244">
        <f t="shared" si="36"/>
        <v>1</v>
      </c>
      <c r="BF55" s="236">
        <f t="shared" si="37"/>
        <v>1</v>
      </c>
    </row>
    <row r="56" spans="2:58" x14ac:dyDescent="0.25">
      <c r="B56" s="245">
        <f t="shared" si="0"/>
        <v>26</v>
      </c>
      <c r="C56" s="246" t="str">
        <f>IF('מודל תמיכה חלוקת 20,294,511 שח'!G28="","",'מודל תמיכה חלוקת 20,294,511 שח'!G28)</f>
        <v>ישיבת הר ברכה (ע"ר)</v>
      </c>
      <c r="D56" s="247">
        <f>IF(C56="","",'מודל תמיכה חלוקת 20,294,511 שח'!V28)</f>
        <v>331425.30125086871</v>
      </c>
      <c r="E56" s="248">
        <f t="shared" si="1"/>
        <v>1.6330785267546912E-2</v>
      </c>
      <c r="F56" s="249">
        <f>IF(C56="","",'מודל תמיכה חלוקת 20,294,511 שח'!W28)</f>
        <v>397101</v>
      </c>
      <c r="G56" s="248">
        <f t="shared" si="2"/>
        <v>1.9766105490209879E-2</v>
      </c>
      <c r="H56" s="250">
        <v>1</v>
      </c>
      <c r="I56" s="251">
        <f t="shared" si="3"/>
        <v>0</v>
      </c>
      <c r="J56" s="252">
        <f t="shared" si="4"/>
        <v>0</v>
      </c>
      <c r="K56" s="253">
        <f t="shared" si="5"/>
        <v>1.6330785267546912E-2</v>
      </c>
      <c r="L56" s="253">
        <f t="shared" si="6"/>
        <v>1.6041521458194617E-2</v>
      </c>
      <c r="M56" s="254">
        <f t="shared" si="7"/>
        <v>0</v>
      </c>
      <c r="N56" s="254">
        <f t="shared" si="38"/>
        <v>0</v>
      </c>
      <c r="O56" s="255">
        <f t="shared" si="8"/>
        <v>1.6330785267546912E-2</v>
      </c>
      <c r="P56" s="255">
        <f t="shared" si="9"/>
        <v>1.606695468824431E-2</v>
      </c>
      <c r="Q56" s="254">
        <f t="shared" si="10"/>
        <v>0</v>
      </c>
      <c r="R56" s="254">
        <f t="shared" si="39"/>
        <v>0</v>
      </c>
      <c r="S56" s="255">
        <f t="shared" si="11"/>
        <v>1.6330785267546912E-2</v>
      </c>
      <c r="T56" s="255">
        <f t="shared" si="12"/>
        <v>1.6048768491262914E-2</v>
      </c>
      <c r="U56" s="254">
        <f t="shared" si="13"/>
        <v>0</v>
      </c>
      <c r="V56" s="254">
        <f t="shared" si="40"/>
        <v>0</v>
      </c>
      <c r="W56" s="255">
        <f t="shared" si="14"/>
        <v>1.6048768491262914E-2</v>
      </c>
      <c r="X56" s="255">
        <f t="shared" si="15"/>
        <v>1.6032056626137114E-2</v>
      </c>
      <c r="Y56" s="254">
        <f t="shared" si="16"/>
        <v>0</v>
      </c>
      <c r="Z56" s="254">
        <f t="shared" si="41"/>
        <v>0</v>
      </c>
      <c r="AA56" s="255">
        <f t="shared" si="17"/>
        <v>1.6032056626137114E-2</v>
      </c>
      <c r="AB56" s="255">
        <f t="shared" si="18"/>
        <v>1.6029807542902376E-2</v>
      </c>
      <c r="AC56" s="254">
        <f t="shared" si="19"/>
        <v>0</v>
      </c>
      <c r="AD56" s="254">
        <f t="shared" si="42"/>
        <v>0</v>
      </c>
      <c r="AE56" s="255">
        <f t="shared" si="20"/>
        <v>1.6029807542902376E-2</v>
      </c>
      <c r="AF56" s="255">
        <f t="shared" si="21"/>
        <v>1.6029671802626062E-2</v>
      </c>
      <c r="AG56" s="254">
        <f t="shared" si="22"/>
        <v>0</v>
      </c>
      <c r="AH56" s="254">
        <f t="shared" si="43"/>
        <v>0</v>
      </c>
      <c r="AI56" s="255">
        <f t="shared" si="23"/>
        <v>1.6029671802626062E-2</v>
      </c>
      <c r="AJ56" s="255">
        <f t="shared" si="24"/>
        <v>1.6029653513263631E-2</v>
      </c>
      <c r="AK56" s="254">
        <f t="shared" si="25"/>
        <v>0</v>
      </c>
      <c r="AL56" s="254">
        <f t="shared" si="44"/>
        <v>0</v>
      </c>
      <c r="AM56" s="255">
        <f t="shared" si="26"/>
        <v>1.6029653513263631E-2</v>
      </c>
      <c r="AN56" s="255">
        <f t="shared" si="27"/>
        <v>1.6029652409271827E-2</v>
      </c>
      <c r="AO56" s="254">
        <f t="shared" si="28"/>
        <v>0</v>
      </c>
      <c r="AP56" s="254">
        <f t="shared" si="45"/>
        <v>0</v>
      </c>
      <c r="AQ56" s="255">
        <f t="shared" si="29"/>
        <v>1.6029652409271827E-2</v>
      </c>
      <c r="AR56" s="255">
        <f t="shared" si="30"/>
        <v>1.6029652260520846E-2</v>
      </c>
      <c r="AS56" s="254">
        <f t="shared" si="31"/>
        <v>0</v>
      </c>
      <c r="AT56" s="254">
        <f t="shared" si="46"/>
        <v>0</v>
      </c>
      <c r="AU56" s="255">
        <f t="shared" si="32"/>
        <v>1.6029652260520846E-2</v>
      </c>
      <c r="AV56" s="255">
        <f t="shared" si="33"/>
        <v>1.602965225024849E-2</v>
      </c>
      <c r="AW56" s="256">
        <f t="shared" si="34"/>
        <v>1.6029652250248487E-2</v>
      </c>
      <c r="AX56" s="257">
        <f t="shared" si="35"/>
        <v>325313.95391884266</v>
      </c>
      <c r="BC56" s="244">
        <f t="shared" si="36"/>
        <v>0</v>
      </c>
      <c r="BD56" s="244">
        <f t="shared" si="36"/>
        <v>1</v>
      </c>
      <c r="BF56" s="236">
        <f t="shared" si="37"/>
        <v>1</v>
      </c>
    </row>
    <row r="57" spans="2:58" x14ac:dyDescent="0.25">
      <c r="B57" s="245">
        <f t="shared" si="0"/>
        <v>27</v>
      </c>
      <c r="C57" s="246" t="str">
        <f>IF('מודל תמיכה חלוקת 20,294,511 שח'!G29="","",'מודל תמיכה חלוקת 20,294,511 שח'!G29)</f>
        <v>כולל דעת תורה - ומכון להוצאת ספרים,</v>
      </c>
      <c r="D57" s="247">
        <f>IF(C57="","",'מודל תמיכה חלוקת 20,294,511 שח'!V29)</f>
        <v>218599.66678248785</v>
      </c>
      <c r="E57" s="248">
        <f t="shared" si="1"/>
        <v>1.0771369006254345E-2</v>
      </c>
      <c r="F57" s="249">
        <f>IF(C57="","",'מודל תמיכה חלוקת 20,294,511 שח'!W29)</f>
        <v>238260</v>
      </c>
      <c r="G57" s="248">
        <f t="shared" si="2"/>
        <v>1.1859633428516689E-2</v>
      </c>
      <c r="H57" s="250">
        <v>1</v>
      </c>
      <c r="I57" s="251">
        <f t="shared" si="3"/>
        <v>0</v>
      </c>
      <c r="J57" s="252">
        <f t="shared" si="4"/>
        <v>0</v>
      </c>
      <c r="K57" s="253">
        <f t="shared" si="5"/>
        <v>1.0771369006254345E-2</v>
      </c>
      <c r="L57" s="253">
        <f t="shared" si="6"/>
        <v>1.0580577983064535E-2</v>
      </c>
      <c r="M57" s="254">
        <f t="shared" si="7"/>
        <v>0</v>
      </c>
      <c r="N57" s="254">
        <f t="shared" si="38"/>
        <v>0</v>
      </c>
      <c r="O57" s="255">
        <f t="shared" si="8"/>
        <v>1.0771369006254345E-2</v>
      </c>
      <c r="P57" s="255">
        <f t="shared" si="9"/>
        <v>1.0597353092246247E-2</v>
      </c>
      <c r="Q57" s="254">
        <f t="shared" si="10"/>
        <v>0</v>
      </c>
      <c r="R57" s="254">
        <f t="shared" si="39"/>
        <v>0</v>
      </c>
      <c r="S57" s="255">
        <f t="shared" si="11"/>
        <v>1.0771369006254345E-2</v>
      </c>
      <c r="T57" s="255">
        <f t="shared" si="12"/>
        <v>1.058535794104575E-2</v>
      </c>
      <c r="U57" s="254">
        <f t="shared" si="13"/>
        <v>0</v>
      </c>
      <c r="V57" s="254">
        <f t="shared" si="40"/>
        <v>0</v>
      </c>
      <c r="W57" s="255">
        <f t="shared" si="14"/>
        <v>1.058535794104575E-2</v>
      </c>
      <c r="X57" s="255">
        <f t="shared" si="15"/>
        <v>1.0574335221494691E-2</v>
      </c>
      <c r="Y57" s="254">
        <f t="shared" si="16"/>
        <v>0</v>
      </c>
      <c r="Z57" s="254">
        <f t="shared" si="41"/>
        <v>0</v>
      </c>
      <c r="AA57" s="255">
        <f t="shared" si="17"/>
        <v>1.0574335221494691E-2</v>
      </c>
      <c r="AB57" s="255">
        <f t="shared" si="18"/>
        <v>1.0572851783616461E-2</v>
      </c>
      <c r="AC57" s="254">
        <f t="shared" si="19"/>
        <v>0</v>
      </c>
      <c r="AD57" s="254">
        <f t="shared" si="42"/>
        <v>0</v>
      </c>
      <c r="AE57" s="255">
        <f t="shared" si="20"/>
        <v>1.0572851783616461E-2</v>
      </c>
      <c r="AF57" s="255">
        <f t="shared" si="21"/>
        <v>1.0572762252795912E-2</v>
      </c>
      <c r="AG57" s="254">
        <f t="shared" si="22"/>
        <v>0</v>
      </c>
      <c r="AH57" s="254">
        <f t="shared" si="43"/>
        <v>0</v>
      </c>
      <c r="AI57" s="255">
        <f t="shared" si="23"/>
        <v>1.0572762252795912E-2</v>
      </c>
      <c r="AJ57" s="255">
        <f t="shared" si="24"/>
        <v>1.0572750189599415E-2</v>
      </c>
      <c r="AK57" s="254">
        <f t="shared" si="25"/>
        <v>0</v>
      </c>
      <c r="AL57" s="254">
        <f t="shared" si="44"/>
        <v>0</v>
      </c>
      <c r="AM57" s="255">
        <f t="shared" si="26"/>
        <v>1.0572750189599415E-2</v>
      </c>
      <c r="AN57" s="255">
        <f t="shared" si="27"/>
        <v>1.0572749461434609E-2</v>
      </c>
      <c r="AO57" s="254">
        <f t="shared" si="28"/>
        <v>0</v>
      </c>
      <c r="AP57" s="254">
        <f t="shared" si="45"/>
        <v>0</v>
      </c>
      <c r="AQ57" s="255">
        <f t="shared" si="29"/>
        <v>1.0572749461434609E-2</v>
      </c>
      <c r="AR57" s="255">
        <f t="shared" si="30"/>
        <v>1.0572749363322261E-2</v>
      </c>
      <c r="AS57" s="254">
        <f t="shared" si="31"/>
        <v>0</v>
      </c>
      <c r="AT57" s="254">
        <f t="shared" si="46"/>
        <v>0</v>
      </c>
      <c r="AU57" s="255">
        <f t="shared" si="32"/>
        <v>1.0572749363322261E-2</v>
      </c>
      <c r="AV57" s="255">
        <f t="shared" si="33"/>
        <v>1.0572749356546878E-2</v>
      </c>
      <c r="AW57" s="256">
        <f t="shared" si="34"/>
        <v>1.0572749356546876E-2</v>
      </c>
      <c r="AX57" s="257">
        <f t="shared" si="35"/>
        <v>214568.7781166835</v>
      </c>
      <c r="BC57" s="244">
        <f t="shared" si="36"/>
        <v>0</v>
      </c>
      <c r="BD57" s="244">
        <f t="shared" si="36"/>
        <v>1</v>
      </c>
      <c r="BF57" s="236">
        <f t="shared" si="37"/>
        <v>1</v>
      </c>
    </row>
    <row r="58" spans="2:58" x14ac:dyDescent="0.25">
      <c r="B58" s="245">
        <f t="shared" si="0"/>
        <v>28</v>
      </c>
      <c r="C58" s="246" t="str">
        <f>IF('מודל תמיכה חלוקת 20,294,511 שח'!G30="","",'מודל תמיכה חלוקת 20,294,511 שח'!G30)</f>
        <v>כת"ר - מכון לכלכלה ע"פ התורה (ע"ר)</v>
      </c>
      <c r="D58" s="247">
        <f>IF(C58="","",'מודל תמיכה חלוקת 20,294,511 שח'!V30)</f>
        <v>310270.49478804722</v>
      </c>
      <c r="E58" s="248">
        <f t="shared" si="1"/>
        <v>1.5288394718554553E-2</v>
      </c>
      <c r="F58" s="249">
        <f>IF(C58="","",'מודל תמיכה חלוקת 20,294,511 שח'!W30)</f>
        <v>209380</v>
      </c>
      <c r="G58" s="248">
        <f t="shared" si="2"/>
        <v>1.0422102103848E-2</v>
      </c>
      <c r="H58" s="250">
        <v>1</v>
      </c>
      <c r="I58" s="251">
        <f t="shared" si="3"/>
        <v>0</v>
      </c>
      <c r="J58" s="252">
        <f t="shared" si="4"/>
        <v>0</v>
      </c>
      <c r="K58" s="253">
        <f t="shared" si="5"/>
        <v>1.5288394718554553E-2</v>
      </c>
      <c r="L58" s="253">
        <f t="shared" si="6"/>
        <v>1.5017594556607722E-2</v>
      </c>
      <c r="M58" s="254">
        <f t="shared" si="7"/>
        <v>0</v>
      </c>
      <c r="N58" s="254">
        <f t="shared" si="38"/>
        <v>0</v>
      </c>
      <c r="O58" s="255">
        <f t="shared" si="8"/>
        <v>1.5288394718554553E-2</v>
      </c>
      <c r="P58" s="255">
        <f t="shared" si="9"/>
        <v>1.5041404388994673E-2</v>
      </c>
      <c r="Q58" s="254">
        <f t="shared" si="10"/>
        <v>0</v>
      </c>
      <c r="R58" s="254">
        <f t="shared" si="39"/>
        <v>0</v>
      </c>
      <c r="S58" s="255">
        <f t="shared" si="11"/>
        <v>1.5288394718554553E-2</v>
      </c>
      <c r="T58" s="255">
        <f t="shared" si="12"/>
        <v>1.5024379013097191E-2</v>
      </c>
      <c r="U58" s="254">
        <f t="shared" si="13"/>
        <v>0</v>
      </c>
      <c r="V58" s="254">
        <f t="shared" si="40"/>
        <v>0</v>
      </c>
      <c r="W58" s="255">
        <f t="shared" si="14"/>
        <v>1.5024379013097191E-2</v>
      </c>
      <c r="X58" s="255">
        <f t="shared" si="15"/>
        <v>1.5008733862766655E-2</v>
      </c>
      <c r="Y58" s="254">
        <f t="shared" si="16"/>
        <v>0</v>
      </c>
      <c r="Z58" s="254">
        <f t="shared" si="41"/>
        <v>0</v>
      </c>
      <c r="AA58" s="255">
        <f t="shared" si="17"/>
        <v>1.5008733862766655E-2</v>
      </c>
      <c r="AB58" s="255">
        <f t="shared" si="18"/>
        <v>1.5006628338036265E-2</v>
      </c>
      <c r="AC58" s="254">
        <f t="shared" si="19"/>
        <v>0</v>
      </c>
      <c r="AD58" s="254">
        <f t="shared" si="42"/>
        <v>0</v>
      </c>
      <c r="AE58" s="255">
        <f t="shared" si="20"/>
        <v>1.5006628338036265E-2</v>
      </c>
      <c r="AF58" s="255">
        <f t="shared" si="21"/>
        <v>1.5006501262032908E-2</v>
      </c>
      <c r="AG58" s="254">
        <f t="shared" si="22"/>
        <v>0</v>
      </c>
      <c r="AH58" s="254">
        <f t="shared" si="43"/>
        <v>0</v>
      </c>
      <c r="AI58" s="255">
        <f t="shared" si="23"/>
        <v>1.5006501262032908E-2</v>
      </c>
      <c r="AJ58" s="255">
        <f t="shared" si="24"/>
        <v>1.5006484140076591E-2</v>
      </c>
      <c r="AK58" s="254">
        <f t="shared" si="25"/>
        <v>0</v>
      </c>
      <c r="AL58" s="254">
        <f t="shared" si="44"/>
        <v>0</v>
      </c>
      <c r="AM58" s="255">
        <f t="shared" si="26"/>
        <v>1.5006484140076591E-2</v>
      </c>
      <c r="AN58" s="255">
        <f t="shared" si="27"/>
        <v>1.500648310655235E-2</v>
      </c>
      <c r="AO58" s="254">
        <f t="shared" si="28"/>
        <v>0</v>
      </c>
      <c r="AP58" s="254">
        <f t="shared" si="45"/>
        <v>0</v>
      </c>
      <c r="AQ58" s="255">
        <f t="shared" si="29"/>
        <v>1.500648310655235E-2</v>
      </c>
      <c r="AR58" s="255">
        <f t="shared" si="30"/>
        <v>1.5006482967296113E-2</v>
      </c>
      <c r="AS58" s="254">
        <f t="shared" si="31"/>
        <v>0</v>
      </c>
      <c r="AT58" s="254">
        <f t="shared" si="46"/>
        <v>0</v>
      </c>
      <c r="AU58" s="255">
        <f t="shared" si="32"/>
        <v>1.5006482967296113E-2</v>
      </c>
      <c r="AV58" s="255">
        <f t="shared" si="33"/>
        <v>1.5006482957679439E-2</v>
      </c>
      <c r="AW58" s="256">
        <f t="shared" si="34"/>
        <v>1.5006482957679436E-2</v>
      </c>
      <c r="AX58" s="257">
        <f t="shared" si="35"/>
        <v>304549.23345593782</v>
      </c>
      <c r="BC58" s="244">
        <f t="shared" si="36"/>
        <v>0</v>
      </c>
      <c r="BD58" s="244">
        <f t="shared" si="36"/>
        <v>1</v>
      </c>
      <c r="BF58" s="236">
        <f t="shared" si="37"/>
        <v>1</v>
      </c>
    </row>
    <row r="59" spans="2:58" x14ac:dyDescent="0.25">
      <c r="B59" s="245">
        <f t="shared" si="0"/>
        <v>29</v>
      </c>
      <c r="C59" s="246" t="str">
        <f>IF('מודל תמיכה חלוקת 20,294,511 שח'!G31="","",'מודל תמיכה חלוקת 20,294,511 שח'!G31)</f>
        <v>לימוד והפצת הרמב"ם המבואר (ע"ר)</v>
      </c>
      <c r="D59" s="247">
        <f>IF(C59="","",'מודל תמיכה חלוקת 20,294,511 שח'!V31)</f>
        <v>190393.25816539262</v>
      </c>
      <c r="E59" s="248">
        <f t="shared" si="1"/>
        <v>9.3815149409312033E-3</v>
      </c>
      <c r="F59" s="249">
        <f>IF(C59="","",'מודל תמיכה חלוקת 20,294,511 שח'!W31)</f>
        <v>0</v>
      </c>
      <c r="G59" s="248">
        <f t="shared" si="2"/>
        <v>0</v>
      </c>
      <c r="H59" s="250">
        <v>1</v>
      </c>
      <c r="I59" s="251">
        <f t="shared" si="3"/>
        <v>0</v>
      </c>
      <c r="J59" s="252">
        <f t="shared" si="4"/>
        <v>0</v>
      </c>
      <c r="K59" s="253">
        <f t="shared" si="5"/>
        <v>9.3815149409312033E-3</v>
      </c>
      <c r="L59" s="253">
        <f t="shared" si="6"/>
        <v>9.2153421142820123E-3</v>
      </c>
      <c r="M59" s="254">
        <f t="shared" si="7"/>
        <v>0</v>
      </c>
      <c r="N59" s="254">
        <f t="shared" si="38"/>
        <v>0</v>
      </c>
      <c r="O59" s="255">
        <f t="shared" si="8"/>
        <v>9.3815149409312033E-3</v>
      </c>
      <c r="P59" s="255">
        <f t="shared" si="9"/>
        <v>9.2299526932467305E-3</v>
      </c>
      <c r="Q59" s="254">
        <f t="shared" si="10"/>
        <v>0</v>
      </c>
      <c r="R59" s="254">
        <f t="shared" si="39"/>
        <v>0</v>
      </c>
      <c r="S59" s="255">
        <f t="shared" si="11"/>
        <v>9.3815149409312033E-3</v>
      </c>
      <c r="T59" s="255">
        <f t="shared" si="12"/>
        <v>9.2195053034914588E-3</v>
      </c>
      <c r="U59" s="254">
        <f t="shared" si="13"/>
        <v>0</v>
      </c>
      <c r="V59" s="254">
        <f t="shared" si="40"/>
        <v>0</v>
      </c>
      <c r="W59" s="255">
        <f t="shared" si="14"/>
        <v>9.2195053034914588E-3</v>
      </c>
      <c r="X59" s="255">
        <f t="shared" si="15"/>
        <v>9.209904870334084E-3</v>
      </c>
      <c r="Y59" s="254">
        <f t="shared" si="16"/>
        <v>0</v>
      </c>
      <c r="Z59" s="254">
        <f t="shared" si="41"/>
        <v>0</v>
      </c>
      <c r="AA59" s="255">
        <f t="shared" si="17"/>
        <v>9.209904870334084E-3</v>
      </c>
      <c r="AB59" s="255">
        <f t="shared" si="18"/>
        <v>9.2086128437949815E-3</v>
      </c>
      <c r="AC59" s="254">
        <f t="shared" si="19"/>
        <v>0</v>
      </c>
      <c r="AD59" s="254">
        <f t="shared" si="42"/>
        <v>0</v>
      </c>
      <c r="AE59" s="255">
        <f t="shared" si="20"/>
        <v>9.2086128437949815E-3</v>
      </c>
      <c r="AF59" s="255">
        <f t="shared" si="21"/>
        <v>9.2085348653383747E-3</v>
      </c>
      <c r="AG59" s="254">
        <f t="shared" si="22"/>
        <v>0</v>
      </c>
      <c r="AH59" s="254">
        <f t="shared" si="43"/>
        <v>0</v>
      </c>
      <c r="AI59" s="255">
        <f t="shared" si="23"/>
        <v>9.2085348653383747E-3</v>
      </c>
      <c r="AJ59" s="255">
        <f t="shared" si="24"/>
        <v>9.2085243586833617E-3</v>
      </c>
      <c r="AK59" s="254">
        <f t="shared" si="25"/>
        <v>0</v>
      </c>
      <c r="AL59" s="254">
        <f t="shared" si="44"/>
        <v>0</v>
      </c>
      <c r="AM59" s="255">
        <f t="shared" si="26"/>
        <v>9.2085243586833617E-3</v>
      </c>
      <c r="AN59" s="255">
        <f t="shared" si="27"/>
        <v>9.2085237244753041E-3</v>
      </c>
      <c r="AO59" s="254">
        <f t="shared" si="28"/>
        <v>0</v>
      </c>
      <c r="AP59" s="254">
        <f t="shared" si="45"/>
        <v>0</v>
      </c>
      <c r="AQ59" s="255">
        <f t="shared" si="29"/>
        <v>9.2085237244753041E-3</v>
      </c>
      <c r="AR59" s="255">
        <f t="shared" si="30"/>
        <v>9.208523639022614E-3</v>
      </c>
      <c r="AS59" s="254">
        <f t="shared" si="31"/>
        <v>0</v>
      </c>
      <c r="AT59" s="254">
        <f t="shared" si="46"/>
        <v>0</v>
      </c>
      <c r="AU59" s="255">
        <f t="shared" si="32"/>
        <v>9.208523639022614E-3</v>
      </c>
      <c r="AV59" s="255">
        <f t="shared" si="33"/>
        <v>9.2085236331214734E-3</v>
      </c>
      <c r="AW59" s="256">
        <f t="shared" si="34"/>
        <v>9.2085236331214716E-3</v>
      </c>
      <c r="AX59" s="257">
        <f t="shared" si="35"/>
        <v>186882.48416614367</v>
      </c>
      <c r="BC59" s="244">
        <f t="shared" si="36"/>
        <v>0</v>
      </c>
      <c r="BD59" s="244">
        <f t="shared" si="36"/>
        <v>1</v>
      </c>
      <c r="BF59" s="236">
        <f t="shared" si="37"/>
        <v>1</v>
      </c>
    </row>
    <row r="60" spans="2:58" x14ac:dyDescent="0.25">
      <c r="B60" s="245">
        <f t="shared" si="0"/>
        <v>30</v>
      </c>
      <c r="C60" s="246" t="str">
        <f>IF('מודל תמיכה חלוקת 20,294,511 שח'!G32="","",'מודל תמיכה חלוקת 20,294,511 שח'!G32)</f>
        <v>לפיד - אפיקי דעת, שדרות (ע"ר)</v>
      </c>
      <c r="D60" s="247">
        <f>IF(C60="","",'מודל תמיכה חלוקת 20,294,511 שח'!V32)</f>
        <v>275012.48401667824</v>
      </c>
      <c r="E60" s="248">
        <f t="shared" si="1"/>
        <v>1.3551077136900628E-2</v>
      </c>
      <c r="F60" s="249">
        <f>IF(C60="","",'מודל תמיכה חלוקת 20,294,511 שח'!W32)</f>
        <v>250000</v>
      </c>
      <c r="G60" s="248">
        <f t="shared" si="2"/>
        <v>1.2444003849278823E-2</v>
      </c>
      <c r="H60" s="250">
        <v>1</v>
      </c>
      <c r="I60" s="251">
        <f t="shared" si="3"/>
        <v>0</v>
      </c>
      <c r="J60" s="252">
        <f t="shared" si="4"/>
        <v>0</v>
      </c>
      <c r="K60" s="253">
        <f t="shared" si="5"/>
        <v>1.3551077136900628E-2</v>
      </c>
      <c r="L60" s="253">
        <f t="shared" si="6"/>
        <v>1.3311049720629575E-2</v>
      </c>
      <c r="M60" s="254">
        <f t="shared" si="7"/>
        <v>0</v>
      </c>
      <c r="N60" s="254">
        <f t="shared" si="38"/>
        <v>0</v>
      </c>
      <c r="O60" s="255">
        <f t="shared" si="8"/>
        <v>1.3551077136900628E-2</v>
      </c>
      <c r="P60" s="255">
        <f t="shared" si="9"/>
        <v>1.3332153890245278E-2</v>
      </c>
      <c r="Q60" s="254">
        <f t="shared" si="10"/>
        <v>0</v>
      </c>
      <c r="R60" s="254">
        <f t="shared" si="39"/>
        <v>0</v>
      </c>
      <c r="S60" s="255">
        <f t="shared" si="11"/>
        <v>1.3551077136900628E-2</v>
      </c>
      <c r="T60" s="255">
        <f t="shared" si="12"/>
        <v>1.3317063216154331E-2</v>
      </c>
      <c r="U60" s="254">
        <f t="shared" si="13"/>
        <v>0</v>
      </c>
      <c r="V60" s="254">
        <f t="shared" si="40"/>
        <v>0</v>
      </c>
      <c r="W60" s="255">
        <f t="shared" si="14"/>
        <v>1.3317063216154331E-2</v>
      </c>
      <c r="X60" s="255">
        <f t="shared" si="15"/>
        <v>1.3303195923815901E-2</v>
      </c>
      <c r="Y60" s="254">
        <f t="shared" si="16"/>
        <v>0</v>
      </c>
      <c r="Z60" s="254">
        <f t="shared" si="41"/>
        <v>0</v>
      </c>
      <c r="AA60" s="255">
        <f t="shared" si="17"/>
        <v>1.3303195923815901E-2</v>
      </c>
      <c r="AB60" s="255">
        <f t="shared" si="18"/>
        <v>1.3301329663259417E-2</v>
      </c>
      <c r="AC60" s="254">
        <f t="shared" si="19"/>
        <v>0</v>
      </c>
      <c r="AD60" s="254">
        <f t="shared" si="42"/>
        <v>0</v>
      </c>
      <c r="AE60" s="255">
        <f t="shared" si="20"/>
        <v>1.3301329663259417E-2</v>
      </c>
      <c r="AF60" s="255">
        <f t="shared" si="21"/>
        <v>1.3301217027710985E-2</v>
      </c>
      <c r="AG60" s="254">
        <f t="shared" si="22"/>
        <v>0</v>
      </c>
      <c r="AH60" s="254">
        <f t="shared" si="43"/>
        <v>0</v>
      </c>
      <c r="AI60" s="255">
        <f t="shared" si="23"/>
        <v>1.3301217027710985E-2</v>
      </c>
      <c r="AJ60" s="255">
        <f t="shared" si="24"/>
        <v>1.3301201851431523E-2</v>
      </c>
      <c r="AK60" s="254">
        <f t="shared" si="25"/>
        <v>0</v>
      </c>
      <c r="AL60" s="254">
        <f t="shared" si="44"/>
        <v>0</v>
      </c>
      <c r="AM60" s="255">
        <f t="shared" si="26"/>
        <v>1.3301201851431523E-2</v>
      </c>
      <c r="AN60" s="255">
        <f t="shared" si="27"/>
        <v>1.3301200935353218E-2</v>
      </c>
      <c r="AO60" s="254">
        <f t="shared" si="28"/>
        <v>0</v>
      </c>
      <c r="AP60" s="254">
        <f t="shared" si="45"/>
        <v>0</v>
      </c>
      <c r="AQ60" s="255">
        <f t="shared" si="29"/>
        <v>1.3301200935353218E-2</v>
      </c>
      <c r="AR60" s="255">
        <f t="shared" si="30"/>
        <v>1.3301200811921553E-2</v>
      </c>
      <c r="AS60" s="254">
        <f t="shared" si="31"/>
        <v>0</v>
      </c>
      <c r="AT60" s="254">
        <f t="shared" si="46"/>
        <v>0</v>
      </c>
      <c r="AU60" s="255">
        <f t="shared" si="32"/>
        <v>1.3301200811921553E-2</v>
      </c>
      <c r="AV60" s="255">
        <f t="shared" si="33"/>
        <v>1.3301200803397686E-2</v>
      </c>
      <c r="AW60" s="256">
        <f t="shared" si="34"/>
        <v>1.3301200803397683E-2</v>
      </c>
      <c r="AX60" s="257">
        <f t="shared" si="35"/>
        <v>269941.3660177631</v>
      </c>
      <c r="BC60" s="244">
        <f t="shared" si="36"/>
        <v>0</v>
      </c>
      <c r="BD60" s="244">
        <f t="shared" si="36"/>
        <v>1</v>
      </c>
      <c r="BF60" s="236">
        <f t="shared" si="37"/>
        <v>1</v>
      </c>
    </row>
    <row r="61" spans="2:58" x14ac:dyDescent="0.25">
      <c r="B61" s="245">
        <f t="shared" si="0"/>
        <v>31</v>
      </c>
      <c r="C61" s="246" t="str">
        <f>IF('מודל תמיכה חלוקת 20,294,511 שח'!G33="","",'מודל תמיכה חלוקת 20,294,511 שח'!G33)</f>
        <v>מוסדות חכמת שלמה ע"ש הרה"צ רבי שלמה</v>
      </c>
      <c r="D61" s="247">
        <f>IF(C61="","",'מודל תמיכה חלוקת 20,294,511 שח'!V33)</f>
        <v>0</v>
      </c>
      <c r="E61" s="248">
        <f t="shared" si="1"/>
        <v>0</v>
      </c>
      <c r="F61" s="249">
        <f>IF(C61="","",'מודל תמיכה חלוקת 20,294,511 שח'!W33)</f>
        <v>0</v>
      </c>
      <c r="G61" s="248">
        <f t="shared" si="2"/>
        <v>0</v>
      </c>
      <c r="H61" s="250">
        <v>1</v>
      </c>
      <c r="I61" s="251">
        <f t="shared" si="3"/>
        <v>0</v>
      </c>
      <c r="J61" s="252">
        <f t="shared" si="4"/>
        <v>0</v>
      </c>
      <c r="K61" s="253">
        <f t="shared" si="5"/>
        <v>0</v>
      </c>
      <c r="L61" s="253">
        <f t="shared" si="6"/>
        <v>0</v>
      </c>
      <c r="M61" s="254">
        <f t="shared" si="7"/>
        <v>0</v>
      </c>
      <c r="N61" s="254">
        <f t="shared" si="38"/>
        <v>0</v>
      </c>
      <c r="O61" s="255">
        <f t="shared" si="8"/>
        <v>0</v>
      </c>
      <c r="P61" s="255">
        <f t="shared" si="9"/>
        <v>0</v>
      </c>
      <c r="Q61" s="254">
        <f t="shared" si="10"/>
        <v>0</v>
      </c>
      <c r="R61" s="254">
        <f t="shared" si="39"/>
        <v>0</v>
      </c>
      <c r="S61" s="255">
        <f t="shared" si="11"/>
        <v>0</v>
      </c>
      <c r="T61" s="255">
        <f t="shared" si="12"/>
        <v>0</v>
      </c>
      <c r="U61" s="254">
        <f t="shared" si="13"/>
        <v>0</v>
      </c>
      <c r="V61" s="254">
        <f t="shared" si="40"/>
        <v>0</v>
      </c>
      <c r="W61" s="255">
        <f t="shared" si="14"/>
        <v>0</v>
      </c>
      <c r="X61" s="255">
        <f t="shared" si="15"/>
        <v>0</v>
      </c>
      <c r="Y61" s="254">
        <f t="shared" si="16"/>
        <v>0</v>
      </c>
      <c r="Z61" s="254">
        <f t="shared" si="41"/>
        <v>0</v>
      </c>
      <c r="AA61" s="255">
        <f t="shared" si="17"/>
        <v>0</v>
      </c>
      <c r="AB61" s="255">
        <f t="shared" si="18"/>
        <v>0</v>
      </c>
      <c r="AC61" s="254">
        <f t="shared" si="19"/>
        <v>0</v>
      </c>
      <c r="AD61" s="254">
        <f t="shared" si="42"/>
        <v>0</v>
      </c>
      <c r="AE61" s="255">
        <f t="shared" si="20"/>
        <v>0</v>
      </c>
      <c r="AF61" s="255">
        <f t="shared" si="21"/>
        <v>0</v>
      </c>
      <c r="AG61" s="254">
        <f t="shared" si="22"/>
        <v>0</v>
      </c>
      <c r="AH61" s="254">
        <f t="shared" si="43"/>
        <v>0</v>
      </c>
      <c r="AI61" s="255">
        <f t="shared" si="23"/>
        <v>0</v>
      </c>
      <c r="AJ61" s="255">
        <f t="shared" si="24"/>
        <v>0</v>
      </c>
      <c r="AK61" s="254">
        <f t="shared" si="25"/>
        <v>0</v>
      </c>
      <c r="AL61" s="254">
        <f t="shared" si="44"/>
        <v>0</v>
      </c>
      <c r="AM61" s="255">
        <f t="shared" si="26"/>
        <v>0</v>
      </c>
      <c r="AN61" s="255">
        <f t="shared" si="27"/>
        <v>0</v>
      </c>
      <c r="AO61" s="254">
        <f t="shared" si="28"/>
        <v>0</v>
      </c>
      <c r="AP61" s="254">
        <f t="shared" si="45"/>
        <v>0</v>
      </c>
      <c r="AQ61" s="255">
        <f t="shared" si="29"/>
        <v>0</v>
      </c>
      <c r="AR61" s="255">
        <f t="shared" si="30"/>
        <v>0</v>
      </c>
      <c r="AS61" s="254">
        <f t="shared" si="31"/>
        <v>0</v>
      </c>
      <c r="AT61" s="254">
        <f t="shared" si="46"/>
        <v>0</v>
      </c>
      <c r="AU61" s="255">
        <f t="shared" si="32"/>
        <v>0</v>
      </c>
      <c r="AV61" s="255">
        <f t="shared" si="33"/>
        <v>0</v>
      </c>
      <c r="AW61" s="256">
        <f t="shared" si="34"/>
        <v>0</v>
      </c>
      <c r="AX61" s="257">
        <f t="shared" si="35"/>
        <v>0</v>
      </c>
      <c r="BC61" s="244">
        <f t="shared" si="36"/>
        <v>0</v>
      </c>
      <c r="BD61" s="244">
        <f t="shared" si="36"/>
        <v>1</v>
      </c>
      <c r="BF61" s="236">
        <f t="shared" si="37"/>
        <v>1</v>
      </c>
    </row>
    <row r="62" spans="2:58" x14ac:dyDescent="0.25">
      <c r="B62" s="245">
        <f t="shared" si="0"/>
        <v>32</v>
      </c>
      <c r="C62" s="246" t="str">
        <f>IF('מודל תמיכה חלוקת 20,294,511 שח'!G34="","",'מודל תמיכה חלוקת 20,294,511 שח'!G34)</f>
        <v>מוסדות ישיבת כסא רחמים ספרדית (ע"ר)</v>
      </c>
      <c r="D62" s="247">
        <f>IF(C62="","",'מודל תמיכה חלוקת 20,294,511 שח'!V34)</f>
        <v>387838.11848505907</v>
      </c>
      <c r="E62" s="248">
        <f t="shared" si="1"/>
        <v>1.9110493398193193E-2</v>
      </c>
      <c r="F62" s="249">
        <f>IF(C62="","",'מודל תמיכה חלוקת 20,294,511 שח'!W34)</f>
        <v>454861</v>
      </c>
      <c r="G62" s="248">
        <f t="shared" si="2"/>
        <v>2.2641168139547259E-2</v>
      </c>
      <c r="H62" s="250">
        <v>1</v>
      </c>
      <c r="I62" s="251">
        <f t="shared" si="3"/>
        <v>0</v>
      </c>
      <c r="J62" s="252">
        <f t="shared" si="4"/>
        <v>0</v>
      </c>
      <c r="K62" s="253">
        <f t="shared" si="5"/>
        <v>1.9110493398193193E-2</v>
      </c>
      <c r="L62" s="253">
        <f t="shared" si="6"/>
        <v>1.8771993195759656E-2</v>
      </c>
      <c r="M62" s="254">
        <f t="shared" si="7"/>
        <v>0</v>
      </c>
      <c r="N62" s="254">
        <f t="shared" si="38"/>
        <v>0</v>
      </c>
      <c r="O62" s="255">
        <f t="shared" si="8"/>
        <v>1.9110493398193193E-2</v>
      </c>
      <c r="P62" s="255">
        <f t="shared" si="9"/>
        <v>1.8801755486243341E-2</v>
      </c>
      <c r="Q62" s="254">
        <f t="shared" si="10"/>
        <v>0</v>
      </c>
      <c r="R62" s="254">
        <f t="shared" si="39"/>
        <v>0</v>
      </c>
      <c r="S62" s="255">
        <f t="shared" si="11"/>
        <v>1.9110493398193193E-2</v>
      </c>
      <c r="T62" s="255">
        <f t="shared" si="12"/>
        <v>1.8780473766371489E-2</v>
      </c>
      <c r="U62" s="254">
        <f t="shared" si="13"/>
        <v>0</v>
      </c>
      <c r="V62" s="254">
        <f t="shared" si="40"/>
        <v>0</v>
      </c>
      <c r="W62" s="255">
        <f t="shared" si="14"/>
        <v>1.8780473766371489E-2</v>
      </c>
      <c r="X62" s="255">
        <f t="shared" si="15"/>
        <v>1.8760917328458318E-2</v>
      </c>
      <c r="Y62" s="254">
        <f t="shared" si="16"/>
        <v>0</v>
      </c>
      <c r="Z62" s="254">
        <f t="shared" si="41"/>
        <v>0</v>
      </c>
      <c r="AA62" s="255">
        <f t="shared" si="17"/>
        <v>1.8760917328458318E-2</v>
      </c>
      <c r="AB62" s="255">
        <f t="shared" si="18"/>
        <v>1.8758285422545332E-2</v>
      </c>
      <c r="AC62" s="254">
        <f t="shared" si="19"/>
        <v>0</v>
      </c>
      <c r="AD62" s="254">
        <f t="shared" si="42"/>
        <v>0</v>
      </c>
      <c r="AE62" s="255">
        <f t="shared" si="20"/>
        <v>1.8758285422545332E-2</v>
      </c>
      <c r="AF62" s="255">
        <f t="shared" si="21"/>
        <v>1.8758126577541136E-2</v>
      </c>
      <c r="AG62" s="254">
        <f t="shared" si="22"/>
        <v>0</v>
      </c>
      <c r="AH62" s="254">
        <f t="shared" si="43"/>
        <v>0</v>
      </c>
      <c r="AI62" s="255">
        <f t="shared" si="23"/>
        <v>1.8758126577541136E-2</v>
      </c>
      <c r="AJ62" s="255">
        <f t="shared" si="24"/>
        <v>1.8758105175095737E-2</v>
      </c>
      <c r="AK62" s="254">
        <f t="shared" si="25"/>
        <v>0</v>
      </c>
      <c r="AL62" s="254">
        <f t="shared" si="44"/>
        <v>0</v>
      </c>
      <c r="AM62" s="255">
        <f t="shared" si="26"/>
        <v>1.8758105175095737E-2</v>
      </c>
      <c r="AN62" s="255">
        <f t="shared" si="27"/>
        <v>1.8758103883190436E-2</v>
      </c>
      <c r="AO62" s="254">
        <f t="shared" si="28"/>
        <v>0</v>
      </c>
      <c r="AP62" s="254">
        <f t="shared" si="45"/>
        <v>0</v>
      </c>
      <c r="AQ62" s="255">
        <f t="shared" si="29"/>
        <v>1.8758103883190436E-2</v>
      </c>
      <c r="AR62" s="255">
        <f t="shared" si="30"/>
        <v>1.8758103709120139E-2</v>
      </c>
      <c r="AS62" s="254">
        <f t="shared" si="31"/>
        <v>0</v>
      </c>
      <c r="AT62" s="254">
        <f t="shared" si="46"/>
        <v>0</v>
      </c>
      <c r="AU62" s="255">
        <f t="shared" si="32"/>
        <v>1.8758103709120139E-2</v>
      </c>
      <c r="AV62" s="255">
        <f t="shared" si="33"/>
        <v>1.87581036970993E-2</v>
      </c>
      <c r="AW62" s="256">
        <f t="shared" si="34"/>
        <v>1.8758103697099297E-2</v>
      </c>
      <c r="AX62" s="257">
        <f t="shared" si="35"/>
        <v>380686.54181992233</v>
      </c>
      <c r="BC62" s="244">
        <f t="shared" si="36"/>
        <v>0</v>
      </c>
      <c r="BD62" s="244">
        <f t="shared" si="36"/>
        <v>1</v>
      </c>
      <c r="BF62" s="236">
        <f t="shared" si="37"/>
        <v>1</v>
      </c>
    </row>
    <row r="63" spans="2:58" x14ac:dyDescent="0.25">
      <c r="B63" s="245">
        <f t="shared" si="0"/>
        <v>33</v>
      </c>
      <c r="C63" s="246" t="str">
        <f>IF('מודל תמיכה חלוקת 20,294,511 שח'!G35="","",'מודל תמיכה חלוקת 20,294,511 שח'!G35)</f>
        <v>מורשת "אור החיים" הקדוש (ע"ר)</v>
      </c>
      <c r="D63" s="247">
        <f>IF(C63="","",'מודל תמיכה חלוקת 20,294,511 שח'!V35)</f>
        <v>0</v>
      </c>
      <c r="E63" s="248">
        <f t="shared" ref="E63:E94" si="47">IFERROR(D63/$D$130,"")</f>
        <v>0</v>
      </c>
      <c r="F63" s="249">
        <f>IF(C63="","",'מודל תמיכה חלוקת 20,294,511 שח'!W35)</f>
        <v>0</v>
      </c>
      <c r="G63" s="248">
        <f t="shared" ref="G63:G94" si="48">IF($C63="","",IFERROR(F63/$F$130,$BB$1))</f>
        <v>0</v>
      </c>
      <c r="H63" s="250">
        <v>1</v>
      </c>
      <c r="I63" s="251">
        <f t="shared" si="3"/>
        <v>0</v>
      </c>
      <c r="J63" s="252">
        <f t="shared" si="4"/>
        <v>0</v>
      </c>
      <c r="K63" s="253">
        <f t="shared" si="5"/>
        <v>0</v>
      </c>
      <c r="L63" s="253">
        <f t="shared" ref="L63:L94" si="49">IF(I63="","",IF(J63=1,K63,K63/SUMIF(J$31:J$129,"&lt;&gt;1",K$31:K$129)*(1-SUMIF(J$31:J$129,"=1",K$31:K$129))))</f>
        <v>0</v>
      </c>
      <c r="M63" s="254">
        <f t="shared" si="7"/>
        <v>0</v>
      </c>
      <c r="N63" s="254">
        <f t="shared" si="38"/>
        <v>0</v>
      </c>
      <c r="O63" s="255">
        <f t="shared" si="8"/>
        <v>0</v>
      </c>
      <c r="P63" s="255">
        <f t="shared" ref="P63:P94" si="50">IF(M63="","",IF(N63=1,O63,O63/SUMIF(N$31:N$129,"&lt;&gt;1",O$31:O$129)*(1-SUMIF(N$31:N$129,"=1",O$31:O$129))))</f>
        <v>0</v>
      </c>
      <c r="Q63" s="254">
        <f t="shared" si="10"/>
        <v>0</v>
      </c>
      <c r="R63" s="254">
        <f t="shared" si="39"/>
        <v>0</v>
      </c>
      <c r="S63" s="255">
        <f t="shared" si="11"/>
        <v>0</v>
      </c>
      <c r="T63" s="255">
        <f t="shared" ref="T63:T94" si="51">IF(Q63="","",IF(R63=1,S63,S63/SUMIF(R$31:R$129,"&lt;&gt;1",S$31:S$129)*(1-SUMIF(R$31:R$129,"=1",S$31:S$129))))</f>
        <v>0</v>
      </c>
      <c r="U63" s="254">
        <f t="shared" si="13"/>
        <v>0</v>
      </c>
      <c r="V63" s="254">
        <f t="shared" si="40"/>
        <v>0</v>
      </c>
      <c r="W63" s="255">
        <f t="shared" si="14"/>
        <v>0</v>
      </c>
      <c r="X63" s="255">
        <f t="shared" ref="X63:X94" si="52">IF(U63="","",IF(V63=1,W63,W63/SUMIF(V$31:V$129,"&lt;&gt;1",W$31:W$129)*(1-SUMIF(V$31:V$129,"=1",W$31:W$129))))</f>
        <v>0</v>
      </c>
      <c r="Y63" s="254">
        <f t="shared" si="16"/>
        <v>0</v>
      </c>
      <c r="Z63" s="254">
        <f t="shared" si="41"/>
        <v>0</v>
      </c>
      <c r="AA63" s="255">
        <f t="shared" si="17"/>
        <v>0</v>
      </c>
      <c r="AB63" s="255">
        <f t="shared" ref="AB63:AB94" si="53">IF(Y63="","",IF(Z63=1,AA63,AA63/SUMIF(Z$31:Z$129,"&lt;&gt;1",AA$31:AA$129)*(1-SUMIF(Z$31:Z$129,"=1",AA$31:AA$129))))</f>
        <v>0</v>
      </c>
      <c r="AC63" s="254">
        <f t="shared" si="19"/>
        <v>0</v>
      </c>
      <c r="AD63" s="254">
        <f t="shared" si="42"/>
        <v>0</v>
      </c>
      <c r="AE63" s="255">
        <f t="shared" si="20"/>
        <v>0</v>
      </c>
      <c r="AF63" s="255">
        <f t="shared" ref="AF63:AF94" si="54">IF(AC63="","",IF(AD63=1,AE63,AE63/SUMIF(AD$31:AD$129,"&lt;&gt;1",AE$31:AE$129)*(1-SUMIF(AD$31:AD$129,"=1",AE$31:AE$129))))</f>
        <v>0</v>
      </c>
      <c r="AG63" s="254">
        <f t="shared" si="22"/>
        <v>0</v>
      </c>
      <c r="AH63" s="254">
        <f t="shared" si="43"/>
        <v>0</v>
      </c>
      <c r="AI63" s="255">
        <f t="shared" si="23"/>
        <v>0</v>
      </c>
      <c r="AJ63" s="255">
        <f t="shared" ref="AJ63:AJ94" si="55">IF(AG63="","",IF(AH63=1,AI63,AI63/SUMIF(AH$31:AH$129,"&lt;&gt;1",AI$31:AI$129)*(1-SUMIF(AH$31:AH$129,"=1",AI$31:AI$129))))</f>
        <v>0</v>
      </c>
      <c r="AK63" s="254">
        <f t="shared" si="25"/>
        <v>0</v>
      </c>
      <c r="AL63" s="254">
        <f t="shared" si="44"/>
        <v>0</v>
      </c>
      <c r="AM63" s="255">
        <f t="shared" si="26"/>
        <v>0</v>
      </c>
      <c r="AN63" s="255">
        <f t="shared" ref="AN63:AN94" si="56">IF(AK63="","",IF(AL63=1,AM63,AM63/SUMIF(AL$31:AL$129,"&lt;&gt;1",AM$31:AM$129)*(1-SUMIF(AL$31:AL$129,"=1",AM$31:AM$129))))</f>
        <v>0</v>
      </c>
      <c r="AO63" s="254">
        <f t="shared" si="28"/>
        <v>0</v>
      </c>
      <c r="AP63" s="254">
        <f t="shared" si="45"/>
        <v>0</v>
      </c>
      <c r="AQ63" s="255">
        <f t="shared" si="29"/>
        <v>0</v>
      </c>
      <c r="AR63" s="255">
        <f t="shared" ref="AR63:AR94" si="57">IF(AO63="","",IF(AP63=1,AQ63,AQ63/SUMIF(AP$31:AP$129,"&lt;&gt;1",AQ$31:AQ$129)*(1-SUMIF(AP$31:AP$129,"=1",AQ$31:AQ$129))))</f>
        <v>0</v>
      </c>
      <c r="AS63" s="254">
        <f t="shared" si="31"/>
        <v>0</v>
      </c>
      <c r="AT63" s="254">
        <f t="shared" si="46"/>
        <v>0</v>
      </c>
      <c r="AU63" s="255">
        <f t="shared" si="32"/>
        <v>0</v>
      </c>
      <c r="AV63" s="255">
        <f t="shared" ref="AV63:AV94" si="58">IF(AS63="","",IFERROR(IF(AT63=1,AU63,AU63/SUMIF(AT$31:AT$129,"&lt;&gt;1",AU$31:AU$129)*(1-SUMIF(AT$31:AT$129,"=1",AU$31:AU$129))),0))</f>
        <v>0</v>
      </c>
      <c r="AW63" s="256">
        <f t="shared" ref="AW63:AW94" si="59">IF(C63="","",IFERROR(AV63/SUM($AV$31:$AV$129),$BB$1))</f>
        <v>0</v>
      </c>
      <c r="AX63" s="257">
        <f t="shared" si="35"/>
        <v>0</v>
      </c>
      <c r="BC63" s="244">
        <f t="shared" si="36"/>
        <v>0</v>
      </c>
      <c r="BD63" s="244">
        <f t="shared" si="36"/>
        <v>1</v>
      </c>
      <c r="BF63" s="236">
        <f t="shared" si="37"/>
        <v>1</v>
      </c>
    </row>
    <row r="64" spans="2:58" x14ac:dyDescent="0.25">
      <c r="B64" s="245">
        <f t="shared" si="0"/>
        <v>34</v>
      </c>
      <c r="C64" s="246" t="str">
        <f>IF('מודל תמיכה חלוקת 20,294,511 שח'!G36="","",'מודל תמיכה חלוקת 20,294,511 שח'!G36)</f>
        <v>מכון "יחוה דעת" לפרסומים תורניים הל</v>
      </c>
      <c r="D64" s="247">
        <f>IF(C64="","",'מודל תמיכה חלוקת 20,294,511 שח'!V36)</f>
        <v>578231.37665045168</v>
      </c>
      <c r="E64" s="248">
        <f t="shared" si="47"/>
        <v>2.8492008339124394E-2</v>
      </c>
      <c r="F64" s="249">
        <f>IF(C64="","",'מודל תמיכה חלוקת 20,294,511 שח'!W36)</f>
        <v>519841</v>
      </c>
      <c r="G64" s="248">
        <f t="shared" si="48"/>
        <v>2.5875613620051811E-2</v>
      </c>
      <c r="H64" s="250">
        <v>1</v>
      </c>
      <c r="I64" s="251">
        <f t="shared" si="3"/>
        <v>0</v>
      </c>
      <c r="J64" s="252">
        <f t="shared" si="4"/>
        <v>0</v>
      </c>
      <c r="K64" s="253">
        <f t="shared" si="5"/>
        <v>2.8492008339124394E-2</v>
      </c>
      <c r="L64" s="253">
        <f t="shared" si="49"/>
        <v>2.7987335310041668E-2</v>
      </c>
      <c r="M64" s="254">
        <f t="shared" si="7"/>
        <v>0</v>
      </c>
      <c r="N64" s="254">
        <f t="shared" si="38"/>
        <v>0</v>
      </c>
      <c r="O64" s="255">
        <f t="shared" si="8"/>
        <v>2.8492008339124394E-2</v>
      </c>
      <c r="P64" s="255">
        <f t="shared" si="50"/>
        <v>2.8031708179490071E-2</v>
      </c>
      <c r="Q64" s="254">
        <f t="shared" si="10"/>
        <v>0</v>
      </c>
      <c r="R64" s="254">
        <f t="shared" si="39"/>
        <v>0</v>
      </c>
      <c r="S64" s="255">
        <f t="shared" si="11"/>
        <v>2.8492008339124394E-2</v>
      </c>
      <c r="T64" s="255">
        <f t="shared" si="51"/>
        <v>2.799997906986295E-2</v>
      </c>
      <c r="U64" s="254">
        <f t="shared" si="13"/>
        <v>0</v>
      </c>
      <c r="V64" s="254">
        <f t="shared" si="40"/>
        <v>0</v>
      </c>
      <c r="W64" s="255">
        <f t="shared" si="14"/>
        <v>2.799997906986295E-2</v>
      </c>
      <c r="X64" s="255">
        <f t="shared" si="52"/>
        <v>2.7970822198792405E-2</v>
      </c>
      <c r="Y64" s="254">
        <f t="shared" si="16"/>
        <v>0</v>
      </c>
      <c r="Z64" s="254">
        <f t="shared" si="41"/>
        <v>0</v>
      </c>
      <c r="AA64" s="255">
        <f t="shared" si="17"/>
        <v>2.7970822198792405E-2</v>
      </c>
      <c r="AB64" s="255">
        <f t="shared" si="53"/>
        <v>2.7966898266340311E-2</v>
      </c>
      <c r="AC64" s="254">
        <f t="shared" si="19"/>
        <v>0</v>
      </c>
      <c r="AD64" s="254">
        <f t="shared" si="42"/>
        <v>0</v>
      </c>
      <c r="AE64" s="255">
        <f t="shared" si="20"/>
        <v>2.7966898266340311E-2</v>
      </c>
      <c r="AF64" s="255">
        <f t="shared" si="54"/>
        <v>2.7966661442879508E-2</v>
      </c>
      <c r="AG64" s="254">
        <f t="shared" si="22"/>
        <v>0</v>
      </c>
      <c r="AH64" s="254">
        <f t="shared" si="43"/>
        <v>0</v>
      </c>
      <c r="AI64" s="255">
        <f t="shared" si="23"/>
        <v>2.7966661442879508E-2</v>
      </c>
      <c r="AJ64" s="255">
        <f t="shared" si="55"/>
        <v>2.7966629533779097E-2</v>
      </c>
      <c r="AK64" s="254">
        <f t="shared" si="25"/>
        <v>0</v>
      </c>
      <c r="AL64" s="254">
        <f t="shared" si="44"/>
        <v>0</v>
      </c>
      <c r="AM64" s="255">
        <f t="shared" si="26"/>
        <v>2.7966629533779097E-2</v>
      </c>
      <c r="AN64" s="255">
        <f t="shared" si="56"/>
        <v>2.7966627607665741E-2</v>
      </c>
      <c r="AO64" s="254">
        <f t="shared" si="28"/>
        <v>0</v>
      </c>
      <c r="AP64" s="254">
        <f t="shared" si="45"/>
        <v>0</v>
      </c>
      <c r="AQ64" s="255">
        <f t="shared" si="29"/>
        <v>2.7966627607665741E-2</v>
      </c>
      <c r="AR64" s="255">
        <f t="shared" si="57"/>
        <v>2.7966627348142759E-2</v>
      </c>
      <c r="AS64" s="254">
        <f t="shared" si="31"/>
        <v>0</v>
      </c>
      <c r="AT64" s="254">
        <f t="shared" si="46"/>
        <v>0</v>
      </c>
      <c r="AU64" s="255">
        <f t="shared" si="32"/>
        <v>2.7966627348142759E-2</v>
      </c>
      <c r="AV64" s="255">
        <f t="shared" si="58"/>
        <v>2.7966627330220775E-2</v>
      </c>
      <c r="AW64" s="256">
        <f t="shared" si="59"/>
        <v>2.7966627330220768E-2</v>
      </c>
      <c r="AX64" s="257">
        <f t="shared" si="35"/>
        <v>567569.02598606597</v>
      </c>
      <c r="BC64" s="244">
        <f t="shared" ref="BC64:BD95" si="60">IF($C64="","",BC$30)</f>
        <v>0</v>
      </c>
      <c r="BD64" s="244">
        <f t="shared" si="60"/>
        <v>1</v>
      </c>
      <c r="BF64" s="236">
        <f t="shared" si="37"/>
        <v>1</v>
      </c>
    </row>
    <row r="65" spans="2:58" x14ac:dyDescent="0.25">
      <c r="B65" s="245">
        <f t="shared" si="0"/>
        <v>35</v>
      </c>
      <c r="C65" s="246" t="str">
        <f>IF('מודל תמיכה חלוקת 20,294,511 שח'!G37="","",'מודל תמיכה חלוקת 20,294,511 שח'!G37)</f>
        <v>מכון "ראש פינה" בירושלים (ע"ר)</v>
      </c>
      <c r="D65" s="247">
        <f>IF(C65="","",'מודל תמיכה חלוקת 20,294,511 שח'!V37)</f>
        <v>225651.26893676163</v>
      </c>
      <c r="E65" s="248">
        <f t="shared" si="47"/>
        <v>1.111883252258513E-2</v>
      </c>
      <c r="F65" s="249">
        <f>IF(C65="","",'מודל תמיכה חלוקת 20,294,511 שח'!W37)</f>
        <v>216601</v>
      </c>
      <c r="G65" s="248">
        <f t="shared" si="48"/>
        <v>1.0781534711030568E-2</v>
      </c>
      <c r="H65" s="250">
        <v>1</v>
      </c>
      <c r="I65" s="251">
        <f t="shared" si="3"/>
        <v>0</v>
      </c>
      <c r="J65" s="252">
        <f t="shared" si="4"/>
        <v>0</v>
      </c>
      <c r="K65" s="253">
        <f t="shared" si="5"/>
        <v>1.111883252258513E-2</v>
      </c>
      <c r="L65" s="253">
        <f t="shared" si="49"/>
        <v>1.0921886950260163E-2</v>
      </c>
      <c r="M65" s="254">
        <f t="shared" si="7"/>
        <v>0</v>
      </c>
      <c r="N65" s="254">
        <f t="shared" si="38"/>
        <v>0</v>
      </c>
      <c r="O65" s="255">
        <f t="shared" si="8"/>
        <v>1.111883252258513E-2</v>
      </c>
      <c r="P65" s="255">
        <f t="shared" si="50"/>
        <v>1.0939203191996125E-2</v>
      </c>
      <c r="Q65" s="254">
        <f t="shared" si="10"/>
        <v>0</v>
      </c>
      <c r="R65" s="254">
        <f t="shared" si="39"/>
        <v>0</v>
      </c>
      <c r="S65" s="255">
        <f t="shared" si="11"/>
        <v>1.111883252258513E-2</v>
      </c>
      <c r="T65" s="255">
        <f t="shared" si="51"/>
        <v>1.0926821100434322E-2</v>
      </c>
      <c r="U65" s="254">
        <f t="shared" si="13"/>
        <v>0</v>
      </c>
      <c r="V65" s="254">
        <f t="shared" si="40"/>
        <v>0</v>
      </c>
      <c r="W65" s="255">
        <f t="shared" si="14"/>
        <v>1.0926821100434322E-2</v>
      </c>
      <c r="X65" s="255">
        <f t="shared" si="52"/>
        <v>1.0915442809284841E-2</v>
      </c>
      <c r="Y65" s="254">
        <f t="shared" si="16"/>
        <v>0</v>
      </c>
      <c r="Z65" s="254">
        <f t="shared" si="41"/>
        <v>0</v>
      </c>
      <c r="AA65" s="255">
        <f t="shared" si="17"/>
        <v>1.0915442809284841E-2</v>
      </c>
      <c r="AB65" s="255">
        <f t="shared" si="53"/>
        <v>1.091391151857183E-2</v>
      </c>
      <c r="AC65" s="254">
        <f t="shared" si="19"/>
        <v>0</v>
      </c>
      <c r="AD65" s="254">
        <f t="shared" si="42"/>
        <v>0</v>
      </c>
      <c r="AE65" s="255">
        <f t="shared" si="20"/>
        <v>1.091391151857183E-2</v>
      </c>
      <c r="AF65" s="255">
        <f t="shared" si="54"/>
        <v>1.0913819099660296E-2</v>
      </c>
      <c r="AG65" s="254">
        <f t="shared" si="22"/>
        <v>0</v>
      </c>
      <c r="AH65" s="254">
        <f t="shared" si="43"/>
        <v>0</v>
      </c>
      <c r="AI65" s="255">
        <f t="shared" si="23"/>
        <v>1.0913819099660296E-2</v>
      </c>
      <c r="AJ65" s="255">
        <f t="shared" si="55"/>
        <v>1.0913806647328427E-2</v>
      </c>
      <c r="AK65" s="254">
        <f t="shared" si="25"/>
        <v>0</v>
      </c>
      <c r="AL65" s="254">
        <f t="shared" si="44"/>
        <v>0</v>
      </c>
      <c r="AM65" s="255">
        <f t="shared" si="26"/>
        <v>1.0913806647328427E-2</v>
      </c>
      <c r="AN65" s="255">
        <f t="shared" si="56"/>
        <v>1.0913805895674433E-2</v>
      </c>
      <c r="AO65" s="254">
        <f t="shared" si="28"/>
        <v>0</v>
      </c>
      <c r="AP65" s="254">
        <f t="shared" si="45"/>
        <v>0</v>
      </c>
      <c r="AQ65" s="255">
        <f t="shared" si="29"/>
        <v>1.0913805895674433E-2</v>
      </c>
      <c r="AR65" s="255">
        <f t="shared" si="57"/>
        <v>1.091380579439717E-2</v>
      </c>
      <c r="AS65" s="254">
        <f t="shared" si="31"/>
        <v>0</v>
      </c>
      <c r="AT65" s="254">
        <f t="shared" si="46"/>
        <v>0</v>
      </c>
      <c r="AU65" s="255">
        <f t="shared" si="32"/>
        <v>1.091380579439717E-2</v>
      </c>
      <c r="AV65" s="255">
        <f t="shared" si="58"/>
        <v>1.0913805787403226E-2</v>
      </c>
      <c r="AW65" s="256">
        <f t="shared" si="59"/>
        <v>1.0913805787403225E-2</v>
      </c>
      <c r="AX65" s="257">
        <f t="shared" si="35"/>
        <v>221490.35160431839</v>
      </c>
      <c r="BC65" s="244">
        <f t="shared" si="60"/>
        <v>0</v>
      </c>
      <c r="BD65" s="244">
        <f t="shared" si="60"/>
        <v>1</v>
      </c>
      <c r="BF65" s="236">
        <f t="shared" si="37"/>
        <v>1</v>
      </c>
    </row>
    <row r="66" spans="2:58" x14ac:dyDescent="0.25">
      <c r="B66" s="245">
        <f t="shared" si="0"/>
        <v>36</v>
      </c>
      <c r="C66" s="246" t="str">
        <f>IF('מודל תמיכה חלוקת 20,294,511 שח'!G38="","",'מודל תמיכה חלוקת 20,294,511 שח'!G38)</f>
        <v>מכון בית אהרן וישראל למחקר כת"י והו</v>
      </c>
      <c r="D66" s="247">
        <f>IF(C66="","",'מודל תמיכה חלוקת 20,294,511 שח'!V38)</f>
        <v>634644.1938846421</v>
      </c>
      <c r="E66" s="248">
        <f t="shared" si="47"/>
        <v>3.1271716469770679E-2</v>
      </c>
      <c r="F66" s="249">
        <f>IF(C66="","",'מודל תמיכה חלוקת 20,294,511 שח'!W38)</f>
        <v>577601</v>
      </c>
      <c r="G66" s="248">
        <f t="shared" si="48"/>
        <v>2.8750676269389187E-2</v>
      </c>
      <c r="H66" s="250">
        <v>1</v>
      </c>
      <c r="I66" s="251">
        <f t="shared" si="3"/>
        <v>0</v>
      </c>
      <c r="J66" s="252">
        <f t="shared" si="4"/>
        <v>0</v>
      </c>
      <c r="K66" s="253">
        <f t="shared" si="5"/>
        <v>3.1271716469770679E-2</v>
      </c>
      <c r="L66" s="253">
        <f t="shared" si="49"/>
        <v>3.0717807047606707E-2</v>
      </c>
      <c r="M66" s="254">
        <f t="shared" si="7"/>
        <v>0</v>
      </c>
      <c r="N66" s="254">
        <f t="shared" si="38"/>
        <v>0</v>
      </c>
      <c r="O66" s="255">
        <f t="shared" si="8"/>
        <v>3.1271716469770679E-2</v>
      </c>
      <c r="P66" s="255">
        <f t="shared" si="50"/>
        <v>3.0766508977489105E-2</v>
      </c>
      <c r="Q66" s="254">
        <f t="shared" si="10"/>
        <v>0</v>
      </c>
      <c r="R66" s="254">
        <f t="shared" si="39"/>
        <v>0</v>
      </c>
      <c r="S66" s="255">
        <f t="shared" si="11"/>
        <v>3.1271716469770679E-2</v>
      </c>
      <c r="T66" s="255">
        <f t="shared" si="51"/>
        <v>3.0731684344971529E-2</v>
      </c>
      <c r="U66" s="254">
        <f t="shared" si="13"/>
        <v>0</v>
      </c>
      <c r="V66" s="254">
        <f t="shared" si="40"/>
        <v>0</v>
      </c>
      <c r="W66" s="255">
        <f t="shared" si="14"/>
        <v>3.0731684344971529E-2</v>
      </c>
      <c r="X66" s="255">
        <f t="shared" si="52"/>
        <v>3.0699682901113613E-2</v>
      </c>
      <c r="Y66" s="254">
        <f t="shared" si="16"/>
        <v>0</v>
      </c>
      <c r="Z66" s="254">
        <f t="shared" si="41"/>
        <v>0</v>
      </c>
      <c r="AA66" s="255">
        <f t="shared" si="17"/>
        <v>3.0699682901113613E-2</v>
      </c>
      <c r="AB66" s="255">
        <f t="shared" si="53"/>
        <v>3.0695376145983271E-2</v>
      </c>
      <c r="AC66" s="254">
        <f t="shared" si="19"/>
        <v>0</v>
      </c>
      <c r="AD66" s="254">
        <f t="shared" si="42"/>
        <v>0</v>
      </c>
      <c r="AE66" s="255">
        <f t="shared" si="20"/>
        <v>3.0695376145983271E-2</v>
      </c>
      <c r="AF66" s="255">
        <f t="shared" si="54"/>
        <v>3.0695116217794579E-2</v>
      </c>
      <c r="AG66" s="254">
        <f t="shared" si="22"/>
        <v>0</v>
      </c>
      <c r="AH66" s="254">
        <f t="shared" si="43"/>
        <v>0</v>
      </c>
      <c r="AI66" s="255">
        <f t="shared" si="23"/>
        <v>3.0695116217794579E-2</v>
      </c>
      <c r="AJ66" s="255">
        <f t="shared" si="55"/>
        <v>3.06950811956112E-2</v>
      </c>
      <c r="AK66" s="254">
        <f t="shared" si="25"/>
        <v>0</v>
      </c>
      <c r="AL66" s="254">
        <f t="shared" si="44"/>
        <v>0</v>
      </c>
      <c r="AM66" s="255">
        <f t="shared" si="26"/>
        <v>3.06950811956112E-2</v>
      </c>
      <c r="AN66" s="255">
        <f t="shared" si="56"/>
        <v>3.069507908158434E-2</v>
      </c>
      <c r="AO66" s="254">
        <f t="shared" si="28"/>
        <v>0</v>
      </c>
      <c r="AP66" s="254">
        <f t="shared" si="45"/>
        <v>0</v>
      </c>
      <c r="AQ66" s="255">
        <f t="shared" si="29"/>
        <v>3.069507908158434E-2</v>
      </c>
      <c r="AR66" s="255">
        <f t="shared" si="57"/>
        <v>3.0695078796742038E-2</v>
      </c>
      <c r="AS66" s="254">
        <f t="shared" si="31"/>
        <v>0</v>
      </c>
      <c r="AT66" s="254">
        <f t="shared" si="46"/>
        <v>0</v>
      </c>
      <c r="AU66" s="255">
        <f t="shared" si="32"/>
        <v>3.0695078796742038E-2</v>
      </c>
      <c r="AV66" s="255">
        <f t="shared" si="58"/>
        <v>3.0695078777071571E-2</v>
      </c>
      <c r="AW66" s="256">
        <f t="shared" si="59"/>
        <v>3.0695078777071564E-2</v>
      </c>
      <c r="AX66" s="257">
        <f t="shared" si="35"/>
        <v>622941.61388714542</v>
      </c>
      <c r="BC66" s="244">
        <f t="shared" si="60"/>
        <v>0</v>
      </c>
      <c r="BD66" s="244">
        <f t="shared" si="60"/>
        <v>1</v>
      </c>
      <c r="BF66" s="236">
        <f t="shared" si="37"/>
        <v>1</v>
      </c>
    </row>
    <row r="67" spans="2:58" x14ac:dyDescent="0.25">
      <c r="B67" s="245">
        <f t="shared" si="0"/>
        <v>37</v>
      </c>
      <c r="C67" s="246" t="str">
        <f>IF('מודל תמיכה חלוקת 20,294,511 שח'!G39="","",'מודל תמיכה חלוקת 20,294,511 שח'!G39)</f>
        <v>מכון הכתב (ע"ר)</v>
      </c>
      <c r="D67" s="247">
        <f>IF(C67="","",'מודל תמיכה חלוקת 20,294,511 שח'!V39)</f>
        <v>423096.12925642804</v>
      </c>
      <c r="E67" s="248">
        <f t="shared" si="47"/>
        <v>2.0847810979847118E-2</v>
      </c>
      <c r="F67" s="249">
        <f>IF(C67="","",'מודל תמיכה חלוקת 20,294,511 שח'!W39)</f>
        <v>433200</v>
      </c>
      <c r="G67" s="248">
        <f t="shared" si="48"/>
        <v>2.1562969870030344E-2</v>
      </c>
      <c r="H67" s="250">
        <v>1</v>
      </c>
      <c r="I67" s="251">
        <f t="shared" si="3"/>
        <v>0</v>
      </c>
      <c r="J67" s="252">
        <f t="shared" si="4"/>
        <v>0</v>
      </c>
      <c r="K67" s="253">
        <f t="shared" si="5"/>
        <v>2.0847810979847118E-2</v>
      </c>
      <c r="L67" s="253">
        <f t="shared" si="49"/>
        <v>2.0478538031737804E-2</v>
      </c>
      <c r="M67" s="254">
        <f t="shared" si="7"/>
        <v>0</v>
      </c>
      <c r="N67" s="254">
        <f t="shared" si="38"/>
        <v>0</v>
      </c>
      <c r="O67" s="255">
        <f t="shared" si="8"/>
        <v>2.0847810979847118E-2</v>
      </c>
      <c r="P67" s="255">
        <f t="shared" si="50"/>
        <v>2.0511005984992736E-2</v>
      </c>
      <c r="Q67" s="254">
        <f t="shared" si="10"/>
        <v>0</v>
      </c>
      <c r="R67" s="254">
        <f t="shared" si="39"/>
        <v>0</v>
      </c>
      <c r="S67" s="255">
        <f t="shared" si="11"/>
        <v>2.0847810979847118E-2</v>
      </c>
      <c r="T67" s="255">
        <f t="shared" si="51"/>
        <v>2.0487789563314353E-2</v>
      </c>
      <c r="U67" s="254">
        <f t="shared" si="13"/>
        <v>0</v>
      </c>
      <c r="V67" s="254">
        <f t="shared" si="40"/>
        <v>0</v>
      </c>
      <c r="W67" s="255">
        <f t="shared" si="14"/>
        <v>2.0487789563314353E-2</v>
      </c>
      <c r="X67" s="255">
        <f t="shared" si="52"/>
        <v>2.0466455267409076E-2</v>
      </c>
      <c r="Y67" s="254">
        <f t="shared" si="16"/>
        <v>0</v>
      </c>
      <c r="Z67" s="254">
        <f t="shared" si="41"/>
        <v>0</v>
      </c>
      <c r="AA67" s="255">
        <f t="shared" si="17"/>
        <v>2.0466455267409076E-2</v>
      </c>
      <c r="AB67" s="255">
        <f t="shared" si="53"/>
        <v>2.0463584097322178E-2</v>
      </c>
      <c r="AC67" s="254">
        <f t="shared" si="19"/>
        <v>0</v>
      </c>
      <c r="AD67" s="254">
        <f t="shared" si="42"/>
        <v>0</v>
      </c>
      <c r="AE67" s="255">
        <f t="shared" si="20"/>
        <v>2.0463584097322178E-2</v>
      </c>
      <c r="AF67" s="255">
        <f t="shared" si="54"/>
        <v>2.0463410811863054E-2</v>
      </c>
      <c r="AG67" s="254">
        <f t="shared" si="22"/>
        <v>0</v>
      </c>
      <c r="AH67" s="254">
        <f t="shared" si="43"/>
        <v>0</v>
      </c>
      <c r="AI67" s="255">
        <f t="shared" si="23"/>
        <v>2.0463410811863054E-2</v>
      </c>
      <c r="AJ67" s="255">
        <f t="shared" si="55"/>
        <v>2.0463387463740802E-2</v>
      </c>
      <c r="AK67" s="254">
        <f t="shared" si="25"/>
        <v>0</v>
      </c>
      <c r="AL67" s="254">
        <f t="shared" si="44"/>
        <v>0</v>
      </c>
      <c r="AM67" s="255">
        <f t="shared" si="26"/>
        <v>2.0463387463740802E-2</v>
      </c>
      <c r="AN67" s="255">
        <f t="shared" si="56"/>
        <v>2.0463386054389566E-2</v>
      </c>
      <c r="AO67" s="254">
        <f t="shared" si="28"/>
        <v>0</v>
      </c>
      <c r="AP67" s="254">
        <f t="shared" si="45"/>
        <v>0</v>
      </c>
      <c r="AQ67" s="255">
        <f t="shared" si="29"/>
        <v>2.0463386054389566E-2</v>
      </c>
      <c r="AR67" s="255">
        <f t="shared" si="57"/>
        <v>2.0463385864494699E-2</v>
      </c>
      <c r="AS67" s="254">
        <f t="shared" si="31"/>
        <v>0</v>
      </c>
      <c r="AT67" s="254">
        <f t="shared" si="46"/>
        <v>0</v>
      </c>
      <c r="AU67" s="255">
        <f t="shared" si="32"/>
        <v>2.0463385864494699E-2</v>
      </c>
      <c r="AV67" s="255">
        <f t="shared" si="58"/>
        <v>2.0463385851381053E-2</v>
      </c>
      <c r="AW67" s="256">
        <f t="shared" si="59"/>
        <v>2.046338585138105E-2</v>
      </c>
      <c r="AX67" s="257">
        <f t="shared" si="35"/>
        <v>415294.40925809706</v>
      </c>
      <c r="BC67" s="244">
        <f t="shared" si="60"/>
        <v>0</v>
      </c>
      <c r="BD67" s="244">
        <f t="shared" si="60"/>
        <v>1</v>
      </c>
      <c r="BF67" s="236">
        <f t="shared" si="37"/>
        <v>1</v>
      </c>
    </row>
    <row r="68" spans="2:58" x14ac:dyDescent="0.25">
      <c r="B68" s="245">
        <f t="shared" si="0"/>
        <v>38</v>
      </c>
      <c r="C68" s="246" t="str">
        <f>IF('מודל תמיכה חלוקת 20,294,511 שח'!G40="","",'מודל תמיכה חלוקת 20,294,511 שח'!G40)</f>
        <v>מכון הלכה ברורה וברור הלכה (ע"ר)</v>
      </c>
      <c r="D68" s="247">
        <f>IF(C68="","",'מודל תמיכה חלוקת 20,294,511 שח'!V40)</f>
        <v>458354.14002779708</v>
      </c>
      <c r="E68" s="248">
        <f t="shared" si="47"/>
        <v>2.2585128561501047E-2</v>
      </c>
      <c r="F68" s="249">
        <f>IF(C68="","",'מודל תמיכה חלוקת 20,294,511 שח'!W40)</f>
        <v>657021</v>
      </c>
      <c r="G68" s="248">
        <f t="shared" si="48"/>
        <v>3.2703887412228086E-2</v>
      </c>
      <c r="H68" s="250">
        <v>1</v>
      </c>
      <c r="I68" s="251">
        <f t="shared" si="3"/>
        <v>1</v>
      </c>
      <c r="J68" s="252">
        <f t="shared" si="4"/>
        <v>1</v>
      </c>
      <c r="K68" s="253">
        <f t="shared" si="5"/>
        <v>2.616310992978247E-2</v>
      </c>
      <c r="L68" s="253">
        <f t="shared" si="49"/>
        <v>2.616310992978247E-2</v>
      </c>
      <c r="M68" s="254">
        <f t="shared" si="7"/>
        <v>0</v>
      </c>
      <c r="N68" s="254">
        <f t="shared" si="38"/>
        <v>0</v>
      </c>
      <c r="O68" s="255">
        <f t="shared" si="8"/>
        <v>2.616310992978247E-2</v>
      </c>
      <c r="P68" s="255">
        <f t="shared" si="50"/>
        <v>2.5740434085599444E-2</v>
      </c>
      <c r="Q68" s="254">
        <f t="shared" si="10"/>
        <v>1</v>
      </c>
      <c r="R68" s="254">
        <f t="shared" si="39"/>
        <v>1</v>
      </c>
      <c r="S68" s="255">
        <f t="shared" si="11"/>
        <v>2.616310992978247E-2</v>
      </c>
      <c r="T68" s="255">
        <f t="shared" si="51"/>
        <v>2.616310992978247E-2</v>
      </c>
      <c r="U68" s="254">
        <f t="shared" si="13"/>
        <v>0</v>
      </c>
      <c r="V68" s="254">
        <f t="shared" si="40"/>
        <v>0</v>
      </c>
      <c r="W68" s="255">
        <f t="shared" si="14"/>
        <v>2.616310992978247E-2</v>
      </c>
      <c r="X68" s="255">
        <f t="shared" si="52"/>
        <v>2.6135865822880681E-2</v>
      </c>
      <c r="Y68" s="254">
        <f t="shared" si="16"/>
        <v>1</v>
      </c>
      <c r="Z68" s="254">
        <f t="shared" si="41"/>
        <v>1</v>
      </c>
      <c r="AA68" s="255">
        <f t="shared" si="17"/>
        <v>2.616310992978247E-2</v>
      </c>
      <c r="AB68" s="255">
        <f t="shared" si="53"/>
        <v>2.616310992978247E-2</v>
      </c>
      <c r="AC68" s="254">
        <f t="shared" si="19"/>
        <v>0</v>
      </c>
      <c r="AD68" s="254">
        <f t="shared" si="42"/>
        <v>0</v>
      </c>
      <c r="AE68" s="255">
        <f t="shared" si="20"/>
        <v>2.616310992978247E-2</v>
      </c>
      <c r="AF68" s="255">
        <f t="shared" si="54"/>
        <v>2.6162888380786224E-2</v>
      </c>
      <c r="AG68" s="254">
        <f t="shared" si="22"/>
        <v>1</v>
      </c>
      <c r="AH68" s="254">
        <f t="shared" si="43"/>
        <v>1</v>
      </c>
      <c r="AI68" s="255">
        <f t="shared" si="23"/>
        <v>2.616310992978247E-2</v>
      </c>
      <c r="AJ68" s="255">
        <f t="shared" si="55"/>
        <v>2.616310992978247E-2</v>
      </c>
      <c r="AK68" s="254">
        <f t="shared" si="25"/>
        <v>0</v>
      </c>
      <c r="AL68" s="254">
        <f t="shared" si="44"/>
        <v>0</v>
      </c>
      <c r="AM68" s="255">
        <f t="shared" si="26"/>
        <v>2.616310992978247E-2</v>
      </c>
      <c r="AN68" s="255">
        <f t="shared" si="56"/>
        <v>2.6163108127880832E-2</v>
      </c>
      <c r="AO68" s="254">
        <f t="shared" si="28"/>
        <v>1</v>
      </c>
      <c r="AP68" s="254">
        <f t="shared" si="45"/>
        <v>1</v>
      </c>
      <c r="AQ68" s="255">
        <f t="shared" si="29"/>
        <v>2.616310992978247E-2</v>
      </c>
      <c r="AR68" s="255">
        <f t="shared" si="57"/>
        <v>2.616310992978247E-2</v>
      </c>
      <c r="AS68" s="254">
        <f t="shared" si="31"/>
        <v>1</v>
      </c>
      <c r="AT68" s="254">
        <f t="shared" si="46"/>
        <v>1</v>
      </c>
      <c r="AU68" s="255">
        <f t="shared" si="32"/>
        <v>2.616310992978247E-2</v>
      </c>
      <c r="AV68" s="255">
        <f t="shared" si="58"/>
        <v>2.616310992978247E-2</v>
      </c>
      <c r="AW68" s="256">
        <f t="shared" si="59"/>
        <v>2.6163109929782463E-2</v>
      </c>
      <c r="AX68" s="257">
        <f t="shared" si="35"/>
        <v>530967.52226417942</v>
      </c>
      <c r="BC68" s="244">
        <f t="shared" si="60"/>
        <v>0</v>
      </c>
      <c r="BD68" s="244">
        <f t="shared" si="60"/>
        <v>1</v>
      </c>
      <c r="BF68" s="236">
        <f t="shared" si="37"/>
        <v>1</v>
      </c>
    </row>
    <row r="69" spans="2:58" x14ac:dyDescent="0.25">
      <c r="B69" s="245">
        <f t="shared" si="0"/>
        <v>39</v>
      </c>
      <c r="C69" s="246" t="str">
        <f>IF('מודל תמיכה חלוקת 20,294,511 שח'!G41="","",'מודל תמיכה חלוקת 20,294,511 שח'!G41)</f>
        <v>מכון הלכה חב"ד (ע"ר)</v>
      </c>
      <c r="D69" s="247">
        <f>IF(C69="","",'מודל תמיכה חלוקת 20,294,511 שח'!V41)</f>
        <v>0</v>
      </c>
      <c r="E69" s="248">
        <f t="shared" si="47"/>
        <v>0</v>
      </c>
      <c r="F69" s="249">
        <f>IF(C69="","",'מודל תמיכה חלוקת 20,294,511 שח'!W41)</f>
        <v>0</v>
      </c>
      <c r="G69" s="248">
        <f t="shared" si="48"/>
        <v>0</v>
      </c>
      <c r="H69" s="250">
        <v>1</v>
      </c>
      <c r="I69" s="251">
        <f t="shared" si="3"/>
        <v>0</v>
      </c>
      <c r="J69" s="252">
        <f t="shared" si="4"/>
        <v>0</v>
      </c>
      <c r="K69" s="253">
        <f t="shared" si="5"/>
        <v>0</v>
      </c>
      <c r="L69" s="253">
        <f t="shared" si="49"/>
        <v>0</v>
      </c>
      <c r="M69" s="254">
        <f t="shared" si="7"/>
        <v>0</v>
      </c>
      <c r="N69" s="254">
        <f t="shared" si="38"/>
        <v>0</v>
      </c>
      <c r="O69" s="255">
        <f t="shared" si="8"/>
        <v>0</v>
      </c>
      <c r="P69" s="255">
        <f t="shared" si="50"/>
        <v>0</v>
      </c>
      <c r="Q69" s="254">
        <f t="shared" si="10"/>
        <v>0</v>
      </c>
      <c r="R69" s="254">
        <f t="shared" si="39"/>
        <v>0</v>
      </c>
      <c r="S69" s="255">
        <f t="shared" si="11"/>
        <v>0</v>
      </c>
      <c r="T69" s="255">
        <f t="shared" si="51"/>
        <v>0</v>
      </c>
      <c r="U69" s="254">
        <f t="shared" si="13"/>
        <v>0</v>
      </c>
      <c r="V69" s="254">
        <f t="shared" si="40"/>
        <v>0</v>
      </c>
      <c r="W69" s="255">
        <f t="shared" si="14"/>
        <v>0</v>
      </c>
      <c r="X69" s="255">
        <f t="shared" si="52"/>
        <v>0</v>
      </c>
      <c r="Y69" s="254">
        <f t="shared" si="16"/>
        <v>0</v>
      </c>
      <c r="Z69" s="254">
        <f t="shared" si="41"/>
        <v>0</v>
      </c>
      <c r="AA69" s="255">
        <f t="shared" si="17"/>
        <v>0</v>
      </c>
      <c r="AB69" s="255">
        <f t="shared" si="53"/>
        <v>0</v>
      </c>
      <c r="AC69" s="254">
        <f t="shared" si="19"/>
        <v>0</v>
      </c>
      <c r="AD69" s="254">
        <f t="shared" si="42"/>
        <v>0</v>
      </c>
      <c r="AE69" s="255">
        <f t="shared" si="20"/>
        <v>0</v>
      </c>
      <c r="AF69" s="255">
        <f t="shared" si="54"/>
        <v>0</v>
      </c>
      <c r="AG69" s="254">
        <f t="shared" si="22"/>
        <v>0</v>
      </c>
      <c r="AH69" s="254">
        <f t="shared" si="43"/>
        <v>0</v>
      </c>
      <c r="AI69" s="255">
        <f t="shared" si="23"/>
        <v>0</v>
      </c>
      <c r="AJ69" s="255">
        <f t="shared" si="55"/>
        <v>0</v>
      </c>
      <c r="AK69" s="254">
        <f t="shared" si="25"/>
        <v>0</v>
      </c>
      <c r="AL69" s="254">
        <f t="shared" si="44"/>
        <v>0</v>
      </c>
      <c r="AM69" s="255">
        <f t="shared" si="26"/>
        <v>0</v>
      </c>
      <c r="AN69" s="255">
        <f t="shared" si="56"/>
        <v>0</v>
      </c>
      <c r="AO69" s="254">
        <f t="shared" si="28"/>
        <v>0</v>
      </c>
      <c r="AP69" s="254">
        <f t="shared" si="45"/>
        <v>0</v>
      </c>
      <c r="AQ69" s="255">
        <f t="shared" si="29"/>
        <v>0</v>
      </c>
      <c r="AR69" s="255">
        <f t="shared" si="57"/>
        <v>0</v>
      </c>
      <c r="AS69" s="254">
        <f t="shared" si="31"/>
        <v>0</v>
      </c>
      <c r="AT69" s="254">
        <f t="shared" si="46"/>
        <v>0</v>
      </c>
      <c r="AU69" s="255">
        <f t="shared" si="32"/>
        <v>0</v>
      </c>
      <c r="AV69" s="255">
        <f t="shared" si="58"/>
        <v>0</v>
      </c>
      <c r="AW69" s="256">
        <f t="shared" si="59"/>
        <v>0</v>
      </c>
      <c r="AX69" s="257">
        <f t="shared" si="35"/>
        <v>0</v>
      </c>
      <c r="BC69" s="244">
        <f t="shared" si="60"/>
        <v>0</v>
      </c>
      <c r="BD69" s="244">
        <f t="shared" si="60"/>
        <v>1</v>
      </c>
      <c r="BF69" s="236">
        <f t="shared" si="37"/>
        <v>1</v>
      </c>
    </row>
    <row r="70" spans="2:58" x14ac:dyDescent="0.25">
      <c r="B70" s="245">
        <f t="shared" si="0"/>
        <v>40</v>
      </c>
      <c r="C70" s="246" t="str">
        <f>IF('מודל תמיכה חלוקת 20,294,511 שח'!G42="","",'מודל תמיכה חלוקת 20,294,511 שח'!G42)</f>
        <v>מכון הרב פראנק (ע"ר)</v>
      </c>
      <c r="D70" s="247">
        <f>IF(C70="","",'מודל תמיכה חלוקת 20,294,511 שח'!V42)</f>
        <v>338476.90340514242</v>
      </c>
      <c r="E70" s="248">
        <f t="shared" si="47"/>
        <v>1.6678248783877695E-2</v>
      </c>
      <c r="F70" s="249">
        <f>IF(C70="","",'מודל תמיכה חלוקת 20,294,511 שח'!W42)</f>
        <v>380000</v>
      </c>
      <c r="G70" s="248">
        <f t="shared" si="48"/>
        <v>1.8914885850903812E-2</v>
      </c>
      <c r="H70" s="250">
        <v>1</v>
      </c>
      <c r="I70" s="251">
        <f t="shared" si="3"/>
        <v>0</v>
      </c>
      <c r="J70" s="252">
        <f t="shared" si="4"/>
        <v>0</v>
      </c>
      <c r="K70" s="253">
        <f t="shared" si="5"/>
        <v>1.6678248783877695E-2</v>
      </c>
      <c r="L70" s="253">
        <f t="shared" si="49"/>
        <v>1.6382830425390245E-2</v>
      </c>
      <c r="M70" s="254">
        <f t="shared" si="7"/>
        <v>0</v>
      </c>
      <c r="N70" s="254">
        <f t="shared" si="38"/>
        <v>0</v>
      </c>
      <c r="O70" s="255">
        <f t="shared" si="8"/>
        <v>1.6678248783877695E-2</v>
      </c>
      <c r="P70" s="255">
        <f t="shared" si="50"/>
        <v>1.6408804787994186E-2</v>
      </c>
      <c r="Q70" s="254">
        <f t="shared" si="10"/>
        <v>0</v>
      </c>
      <c r="R70" s="254">
        <f t="shared" si="39"/>
        <v>0</v>
      </c>
      <c r="S70" s="255">
        <f t="shared" si="11"/>
        <v>1.6678248783877695E-2</v>
      </c>
      <c r="T70" s="255">
        <f t="shared" si="51"/>
        <v>1.6390231650651482E-2</v>
      </c>
      <c r="U70" s="254">
        <f t="shared" si="13"/>
        <v>0</v>
      </c>
      <c r="V70" s="254">
        <f t="shared" si="40"/>
        <v>0</v>
      </c>
      <c r="W70" s="255">
        <f t="shared" si="14"/>
        <v>1.6390231650651482E-2</v>
      </c>
      <c r="X70" s="255">
        <f t="shared" si="52"/>
        <v>1.637316421392726E-2</v>
      </c>
      <c r="Y70" s="254">
        <f t="shared" si="16"/>
        <v>0</v>
      </c>
      <c r="Z70" s="254">
        <f t="shared" si="41"/>
        <v>0</v>
      </c>
      <c r="AA70" s="255">
        <f t="shared" si="17"/>
        <v>1.637316421392726E-2</v>
      </c>
      <c r="AB70" s="255">
        <f t="shared" si="53"/>
        <v>1.6370867277857745E-2</v>
      </c>
      <c r="AC70" s="254">
        <f t="shared" si="19"/>
        <v>0</v>
      </c>
      <c r="AD70" s="254">
        <f t="shared" si="42"/>
        <v>0</v>
      </c>
      <c r="AE70" s="255">
        <f t="shared" si="20"/>
        <v>1.6370867277857745E-2</v>
      </c>
      <c r="AF70" s="255">
        <f t="shared" si="54"/>
        <v>1.6370728649490445E-2</v>
      </c>
      <c r="AG70" s="254">
        <f t="shared" si="22"/>
        <v>0</v>
      </c>
      <c r="AH70" s="254">
        <f t="shared" si="43"/>
        <v>0</v>
      </c>
      <c r="AI70" s="255">
        <f t="shared" si="23"/>
        <v>1.6370728649490445E-2</v>
      </c>
      <c r="AJ70" s="255">
        <f t="shared" si="55"/>
        <v>1.6370709970992645E-2</v>
      </c>
      <c r="AK70" s="254">
        <f t="shared" si="25"/>
        <v>0</v>
      </c>
      <c r="AL70" s="254">
        <f t="shared" si="44"/>
        <v>0</v>
      </c>
      <c r="AM70" s="255">
        <f t="shared" si="26"/>
        <v>1.6370709970992645E-2</v>
      </c>
      <c r="AN70" s="255">
        <f t="shared" si="56"/>
        <v>1.6370708843511654E-2</v>
      </c>
      <c r="AO70" s="254">
        <f t="shared" si="28"/>
        <v>0</v>
      </c>
      <c r="AP70" s="254">
        <f t="shared" si="45"/>
        <v>0</v>
      </c>
      <c r="AQ70" s="255">
        <f t="shared" si="29"/>
        <v>1.6370708843511654E-2</v>
      </c>
      <c r="AR70" s="255">
        <f t="shared" si="57"/>
        <v>1.6370708691595761E-2</v>
      </c>
      <c r="AS70" s="254">
        <f t="shared" si="31"/>
        <v>0</v>
      </c>
      <c r="AT70" s="254">
        <f t="shared" si="46"/>
        <v>0</v>
      </c>
      <c r="AU70" s="255">
        <f t="shared" si="32"/>
        <v>1.6370708691595761E-2</v>
      </c>
      <c r="AV70" s="255">
        <f t="shared" si="58"/>
        <v>1.6370708681104847E-2</v>
      </c>
      <c r="AW70" s="256">
        <f t="shared" si="59"/>
        <v>1.6370708681104844E-2</v>
      </c>
      <c r="AX70" s="257">
        <f t="shared" si="35"/>
        <v>332235.52740647772</v>
      </c>
      <c r="BC70" s="244">
        <f t="shared" si="60"/>
        <v>0</v>
      </c>
      <c r="BD70" s="244">
        <f t="shared" si="60"/>
        <v>1</v>
      </c>
      <c r="BF70" s="236">
        <f t="shared" si="37"/>
        <v>1</v>
      </c>
    </row>
    <row r="71" spans="2:58" x14ac:dyDescent="0.25">
      <c r="B71" s="245">
        <f t="shared" si="0"/>
        <v>41</v>
      </c>
      <c r="C71" s="246" t="str">
        <f>IF('מודל תמיכה חלוקת 20,294,511 שח'!G43="","",'מודל תמיכה חלוקת 20,294,511 שח'!G43)</f>
        <v>מכון הרי פישל לדרישת התלמוד ומשפט ה</v>
      </c>
      <c r="D71" s="247">
        <f>IF(C71="","",'מודל תמיכה חלוקת 20,294,511 שח'!V43)</f>
        <v>310270.49478804722</v>
      </c>
      <c r="E71" s="248">
        <f t="shared" si="47"/>
        <v>1.5288394718554553E-2</v>
      </c>
      <c r="F71" s="249">
        <f>IF(C71="","",'מודל תמיכה חלוקת 20,294,511 שח'!W43)</f>
        <v>324900</v>
      </c>
      <c r="G71" s="248">
        <f t="shared" si="48"/>
        <v>1.6172227402522759E-2</v>
      </c>
      <c r="H71" s="250">
        <v>1</v>
      </c>
      <c r="I71" s="251">
        <f t="shared" si="3"/>
        <v>0</v>
      </c>
      <c r="J71" s="252">
        <f t="shared" si="4"/>
        <v>0</v>
      </c>
      <c r="K71" s="253">
        <f t="shared" si="5"/>
        <v>1.5288394718554553E-2</v>
      </c>
      <c r="L71" s="253">
        <f t="shared" si="49"/>
        <v>1.5017594556607722E-2</v>
      </c>
      <c r="M71" s="254">
        <f t="shared" si="7"/>
        <v>0</v>
      </c>
      <c r="N71" s="254">
        <f t="shared" si="38"/>
        <v>0</v>
      </c>
      <c r="O71" s="255">
        <f t="shared" si="8"/>
        <v>1.5288394718554553E-2</v>
      </c>
      <c r="P71" s="255">
        <f t="shared" si="50"/>
        <v>1.5041404388994673E-2</v>
      </c>
      <c r="Q71" s="254">
        <f t="shared" si="10"/>
        <v>0</v>
      </c>
      <c r="R71" s="254">
        <f t="shared" si="39"/>
        <v>0</v>
      </c>
      <c r="S71" s="255">
        <f t="shared" si="11"/>
        <v>1.5288394718554553E-2</v>
      </c>
      <c r="T71" s="255">
        <f t="shared" si="51"/>
        <v>1.5024379013097191E-2</v>
      </c>
      <c r="U71" s="254">
        <f t="shared" si="13"/>
        <v>0</v>
      </c>
      <c r="V71" s="254">
        <f t="shared" si="40"/>
        <v>0</v>
      </c>
      <c r="W71" s="255">
        <f t="shared" si="14"/>
        <v>1.5024379013097191E-2</v>
      </c>
      <c r="X71" s="255">
        <f t="shared" si="52"/>
        <v>1.5008733862766655E-2</v>
      </c>
      <c r="Y71" s="254">
        <f t="shared" si="16"/>
        <v>0</v>
      </c>
      <c r="Z71" s="254">
        <f t="shared" si="41"/>
        <v>0</v>
      </c>
      <c r="AA71" s="255">
        <f t="shared" si="17"/>
        <v>1.5008733862766655E-2</v>
      </c>
      <c r="AB71" s="255">
        <f t="shared" si="53"/>
        <v>1.5006628338036265E-2</v>
      </c>
      <c r="AC71" s="254">
        <f t="shared" si="19"/>
        <v>0</v>
      </c>
      <c r="AD71" s="254">
        <f t="shared" si="42"/>
        <v>0</v>
      </c>
      <c r="AE71" s="255">
        <f t="shared" si="20"/>
        <v>1.5006628338036265E-2</v>
      </c>
      <c r="AF71" s="255">
        <f t="shared" si="54"/>
        <v>1.5006501262032908E-2</v>
      </c>
      <c r="AG71" s="254">
        <f t="shared" si="22"/>
        <v>0</v>
      </c>
      <c r="AH71" s="254">
        <f t="shared" si="43"/>
        <v>0</v>
      </c>
      <c r="AI71" s="255">
        <f t="shared" si="23"/>
        <v>1.5006501262032908E-2</v>
      </c>
      <c r="AJ71" s="255">
        <f t="shared" si="55"/>
        <v>1.5006484140076591E-2</v>
      </c>
      <c r="AK71" s="254">
        <f t="shared" si="25"/>
        <v>0</v>
      </c>
      <c r="AL71" s="254">
        <f t="shared" si="44"/>
        <v>0</v>
      </c>
      <c r="AM71" s="255">
        <f t="shared" si="26"/>
        <v>1.5006484140076591E-2</v>
      </c>
      <c r="AN71" s="255">
        <f t="shared" si="56"/>
        <v>1.500648310655235E-2</v>
      </c>
      <c r="AO71" s="254">
        <f t="shared" si="28"/>
        <v>0</v>
      </c>
      <c r="AP71" s="254">
        <f t="shared" si="45"/>
        <v>0</v>
      </c>
      <c r="AQ71" s="255">
        <f t="shared" si="29"/>
        <v>1.500648310655235E-2</v>
      </c>
      <c r="AR71" s="255">
        <f t="shared" si="57"/>
        <v>1.5006482967296113E-2</v>
      </c>
      <c r="AS71" s="254">
        <f t="shared" si="31"/>
        <v>0</v>
      </c>
      <c r="AT71" s="254">
        <f t="shared" si="46"/>
        <v>0</v>
      </c>
      <c r="AU71" s="255">
        <f t="shared" si="32"/>
        <v>1.5006482967296113E-2</v>
      </c>
      <c r="AV71" s="255">
        <f t="shared" si="58"/>
        <v>1.5006482957679439E-2</v>
      </c>
      <c r="AW71" s="256">
        <f t="shared" si="59"/>
        <v>1.5006482957679436E-2</v>
      </c>
      <c r="AX71" s="257">
        <f t="shared" si="35"/>
        <v>304549.23345593782</v>
      </c>
      <c r="BC71" s="244">
        <f t="shared" si="60"/>
        <v>0</v>
      </c>
      <c r="BD71" s="244">
        <f t="shared" si="60"/>
        <v>1</v>
      </c>
      <c r="BF71" s="236">
        <f t="shared" si="37"/>
        <v>1</v>
      </c>
    </row>
    <row r="72" spans="2:58" x14ac:dyDescent="0.25">
      <c r="B72" s="245">
        <f t="shared" si="0"/>
        <v>42</v>
      </c>
      <c r="C72" s="246" t="str">
        <f>IF('מודל תמיכה חלוקת 20,294,511 שח'!G44="","",'מודל תמיכה חלוקת 20,294,511 שח'!G44)</f>
        <v>מכון התלמוד הישראלי השלם ע"ש הרב הר</v>
      </c>
      <c r="D72" s="247">
        <f>IF(C72="","",'מודל תמיכה חלוקת 20,294,511 שח'!V44)</f>
        <v>606437.78526754689</v>
      </c>
      <c r="E72" s="248">
        <f t="shared" si="47"/>
        <v>2.9881862404447537E-2</v>
      </c>
      <c r="F72" s="249">
        <f>IF(C72="","",'מודל תמיכה חלוקת 20,294,511 שח'!W44)</f>
        <v>534281</v>
      </c>
      <c r="G72" s="248">
        <f t="shared" si="48"/>
        <v>2.6594379282386154E-2</v>
      </c>
      <c r="H72" s="250">
        <v>1</v>
      </c>
      <c r="I72" s="251">
        <f t="shared" si="3"/>
        <v>0</v>
      </c>
      <c r="J72" s="252">
        <f t="shared" si="4"/>
        <v>0</v>
      </c>
      <c r="K72" s="253">
        <f t="shared" si="5"/>
        <v>2.9881862404447537E-2</v>
      </c>
      <c r="L72" s="253">
        <f t="shared" si="49"/>
        <v>2.9352571178824192E-2</v>
      </c>
      <c r="M72" s="254">
        <f t="shared" si="7"/>
        <v>0</v>
      </c>
      <c r="N72" s="254">
        <f t="shared" si="38"/>
        <v>0</v>
      </c>
      <c r="O72" s="255">
        <f t="shared" si="8"/>
        <v>2.9881862404447537E-2</v>
      </c>
      <c r="P72" s="255">
        <f t="shared" si="50"/>
        <v>2.9399108578489583E-2</v>
      </c>
      <c r="Q72" s="254">
        <f t="shared" si="10"/>
        <v>0</v>
      </c>
      <c r="R72" s="254">
        <f t="shared" si="39"/>
        <v>0</v>
      </c>
      <c r="S72" s="255">
        <f t="shared" si="11"/>
        <v>2.9881862404447537E-2</v>
      </c>
      <c r="T72" s="255">
        <f t="shared" si="51"/>
        <v>2.9365831707417241E-2</v>
      </c>
      <c r="U72" s="254">
        <f t="shared" si="13"/>
        <v>0</v>
      </c>
      <c r="V72" s="254">
        <f t="shared" si="40"/>
        <v>0</v>
      </c>
      <c r="W72" s="255">
        <f t="shared" si="14"/>
        <v>2.9365831707417241E-2</v>
      </c>
      <c r="X72" s="255">
        <f t="shared" si="52"/>
        <v>2.9335252549953013E-2</v>
      </c>
      <c r="Y72" s="254">
        <f t="shared" si="16"/>
        <v>0</v>
      </c>
      <c r="Z72" s="254">
        <f t="shared" si="41"/>
        <v>0</v>
      </c>
      <c r="AA72" s="255">
        <f t="shared" si="17"/>
        <v>2.9335252549953013E-2</v>
      </c>
      <c r="AB72" s="255">
        <f t="shared" si="53"/>
        <v>2.9331137206161796E-2</v>
      </c>
      <c r="AC72" s="254">
        <f t="shared" si="19"/>
        <v>0</v>
      </c>
      <c r="AD72" s="254">
        <f t="shared" si="42"/>
        <v>0</v>
      </c>
      <c r="AE72" s="255">
        <f t="shared" si="20"/>
        <v>2.9331137206161796E-2</v>
      </c>
      <c r="AF72" s="255">
        <f t="shared" si="54"/>
        <v>2.9330888830337049E-2</v>
      </c>
      <c r="AG72" s="254">
        <f t="shared" si="22"/>
        <v>0</v>
      </c>
      <c r="AH72" s="254">
        <f t="shared" si="43"/>
        <v>0</v>
      </c>
      <c r="AI72" s="255">
        <f t="shared" si="23"/>
        <v>2.9330888830337049E-2</v>
      </c>
      <c r="AJ72" s="255">
        <f t="shared" si="55"/>
        <v>2.9330855364695152E-2</v>
      </c>
      <c r="AK72" s="254">
        <f t="shared" si="25"/>
        <v>0</v>
      </c>
      <c r="AL72" s="254">
        <f t="shared" si="44"/>
        <v>0</v>
      </c>
      <c r="AM72" s="255">
        <f t="shared" si="26"/>
        <v>2.9330855364695152E-2</v>
      </c>
      <c r="AN72" s="255">
        <f t="shared" si="56"/>
        <v>2.9330853344625044E-2</v>
      </c>
      <c r="AO72" s="254">
        <f t="shared" si="28"/>
        <v>0</v>
      </c>
      <c r="AP72" s="254">
        <f t="shared" si="45"/>
        <v>0</v>
      </c>
      <c r="AQ72" s="255">
        <f t="shared" si="29"/>
        <v>2.9330853344625044E-2</v>
      </c>
      <c r="AR72" s="255">
        <f t="shared" si="57"/>
        <v>2.9330853072442403E-2</v>
      </c>
      <c r="AS72" s="254">
        <f t="shared" si="31"/>
        <v>0</v>
      </c>
      <c r="AT72" s="254">
        <f t="shared" si="46"/>
        <v>0</v>
      </c>
      <c r="AU72" s="255">
        <f t="shared" si="32"/>
        <v>2.9330853072442403E-2</v>
      </c>
      <c r="AV72" s="255">
        <f t="shared" si="58"/>
        <v>2.9330853053646178E-2</v>
      </c>
      <c r="AW72" s="256">
        <f t="shared" si="59"/>
        <v>2.9330853053646171E-2</v>
      </c>
      <c r="AX72" s="257">
        <f t="shared" si="35"/>
        <v>595255.31993660587</v>
      </c>
      <c r="BC72" s="244">
        <f t="shared" si="60"/>
        <v>0</v>
      </c>
      <c r="BD72" s="244">
        <f t="shared" si="60"/>
        <v>1</v>
      </c>
      <c r="BF72" s="236">
        <f t="shared" si="37"/>
        <v>1</v>
      </c>
    </row>
    <row r="73" spans="2:58" x14ac:dyDescent="0.25">
      <c r="B73" s="245">
        <f t="shared" si="0"/>
        <v>43</v>
      </c>
      <c r="C73" s="246" t="str">
        <f>IF('מודל תמיכה חלוקת 20,294,511 שח'!G45="","",'מודל תמיכה חלוקת 20,294,511 שח'!G45)</f>
        <v>מכון ירושלים בתי מדרש לאברכים (ע"ר)</v>
      </c>
      <c r="D73" s="247">
        <f>IF(C73="","",'מודל תמיכה חלוקת 20,294,511 שח'!V45)</f>
        <v>662850.60250173742</v>
      </c>
      <c r="E73" s="248">
        <f t="shared" si="47"/>
        <v>3.2661570535093824E-2</v>
      </c>
      <c r="F73" s="249">
        <f>IF(C73="","",'מודל תמיכה חלוקת 20,294,511 שח'!W45)</f>
        <v>685901</v>
      </c>
      <c r="G73" s="248">
        <f t="shared" si="48"/>
        <v>3.4141418736896773E-2</v>
      </c>
      <c r="H73" s="250">
        <v>1</v>
      </c>
      <c r="I73" s="251">
        <f t="shared" si="3"/>
        <v>0</v>
      </c>
      <c r="J73" s="252">
        <f t="shared" si="4"/>
        <v>0</v>
      </c>
      <c r="K73" s="253">
        <f t="shared" si="5"/>
        <v>3.2661570535093824E-2</v>
      </c>
      <c r="L73" s="253">
        <f t="shared" si="49"/>
        <v>3.2083042916389234E-2</v>
      </c>
      <c r="M73" s="254">
        <f t="shared" si="7"/>
        <v>0</v>
      </c>
      <c r="N73" s="254">
        <f t="shared" si="38"/>
        <v>0</v>
      </c>
      <c r="O73" s="255">
        <f t="shared" si="8"/>
        <v>3.2661570535093824E-2</v>
      </c>
      <c r="P73" s="255">
        <f t="shared" si="50"/>
        <v>3.213390937648862E-2</v>
      </c>
      <c r="Q73" s="254">
        <f t="shared" si="10"/>
        <v>0</v>
      </c>
      <c r="R73" s="254">
        <f t="shared" si="39"/>
        <v>0</v>
      </c>
      <c r="S73" s="255">
        <f t="shared" si="11"/>
        <v>3.2661570535093824E-2</v>
      </c>
      <c r="T73" s="255">
        <f t="shared" si="51"/>
        <v>3.2097536982525827E-2</v>
      </c>
      <c r="U73" s="254">
        <f t="shared" si="13"/>
        <v>0</v>
      </c>
      <c r="V73" s="254">
        <f t="shared" si="40"/>
        <v>0</v>
      </c>
      <c r="W73" s="255">
        <f t="shared" si="14"/>
        <v>3.2097536982525827E-2</v>
      </c>
      <c r="X73" s="255">
        <f t="shared" si="52"/>
        <v>3.2064113252274228E-2</v>
      </c>
      <c r="Y73" s="254">
        <f t="shared" si="16"/>
        <v>0</v>
      </c>
      <c r="Z73" s="254">
        <f t="shared" si="41"/>
        <v>0</v>
      </c>
      <c r="AA73" s="255">
        <f t="shared" si="17"/>
        <v>3.2064113252274228E-2</v>
      </c>
      <c r="AB73" s="255">
        <f t="shared" si="53"/>
        <v>3.2059615085804752E-2</v>
      </c>
      <c r="AC73" s="254">
        <f t="shared" si="19"/>
        <v>0</v>
      </c>
      <c r="AD73" s="254">
        <f t="shared" si="42"/>
        <v>0</v>
      </c>
      <c r="AE73" s="255">
        <f t="shared" si="20"/>
        <v>3.2059615085804752E-2</v>
      </c>
      <c r="AF73" s="255">
        <f t="shared" si="54"/>
        <v>3.2059343605252123E-2</v>
      </c>
      <c r="AG73" s="254">
        <f t="shared" si="22"/>
        <v>0</v>
      </c>
      <c r="AH73" s="254">
        <f t="shared" si="43"/>
        <v>0</v>
      </c>
      <c r="AI73" s="255">
        <f t="shared" si="23"/>
        <v>3.2059343605252123E-2</v>
      </c>
      <c r="AJ73" s="255">
        <f t="shared" si="55"/>
        <v>3.2059307026527262E-2</v>
      </c>
      <c r="AK73" s="254">
        <f t="shared" si="25"/>
        <v>0</v>
      </c>
      <c r="AL73" s="254">
        <f t="shared" si="44"/>
        <v>0</v>
      </c>
      <c r="AM73" s="255">
        <f t="shared" si="26"/>
        <v>3.2059307026527262E-2</v>
      </c>
      <c r="AN73" s="255">
        <f t="shared" si="56"/>
        <v>3.2059304818543653E-2</v>
      </c>
      <c r="AO73" s="254">
        <f t="shared" si="28"/>
        <v>0</v>
      </c>
      <c r="AP73" s="254">
        <f t="shared" si="45"/>
        <v>0</v>
      </c>
      <c r="AQ73" s="255">
        <f t="shared" si="29"/>
        <v>3.2059304818543653E-2</v>
      </c>
      <c r="AR73" s="255">
        <f t="shared" si="57"/>
        <v>3.2059304521041693E-2</v>
      </c>
      <c r="AS73" s="254">
        <f t="shared" si="31"/>
        <v>0</v>
      </c>
      <c r="AT73" s="254">
        <f t="shared" si="46"/>
        <v>0</v>
      </c>
      <c r="AU73" s="255">
        <f t="shared" si="32"/>
        <v>3.2059304521041693E-2</v>
      </c>
      <c r="AV73" s="255">
        <f t="shared" si="58"/>
        <v>3.2059304500496981E-2</v>
      </c>
      <c r="AW73" s="256">
        <f t="shared" si="59"/>
        <v>3.2059304500496974E-2</v>
      </c>
      <c r="AX73" s="257">
        <f t="shared" si="35"/>
        <v>650627.90783768531</v>
      </c>
      <c r="BC73" s="244">
        <f t="shared" si="60"/>
        <v>0</v>
      </c>
      <c r="BD73" s="244">
        <f t="shared" si="60"/>
        <v>1</v>
      </c>
      <c r="BF73" s="236">
        <f t="shared" si="37"/>
        <v>1</v>
      </c>
    </row>
    <row r="74" spans="2:58" x14ac:dyDescent="0.25">
      <c r="B74" s="245">
        <f t="shared" si="0"/>
        <v>44</v>
      </c>
      <c r="C74" s="246" t="str">
        <f>IF('מודל תמיכה חלוקת 20,294,511 שח'!G46="","",'מודל תמיכה חלוקת 20,294,511 שח'!G46)</f>
        <v>מכון להורות נתן (ע"ר)</v>
      </c>
      <c r="D74" s="247">
        <f>IF(C74="","",'מודל תמיכה חלוקת 20,294,511 שח'!V46)</f>
        <v>401941.32279360667</v>
      </c>
      <c r="E74" s="248">
        <f t="shared" si="47"/>
        <v>1.9805420430854762E-2</v>
      </c>
      <c r="F74" s="249">
        <f>IF(C74="","",'מודל תמיכה חלוקת 20,294,511 שח'!W46)</f>
        <v>368221</v>
      </c>
      <c r="G74" s="248">
        <f t="shared" si="48"/>
        <v>1.8328574165541189E-2</v>
      </c>
      <c r="H74" s="250">
        <v>1</v>
      </c>
      <c r="I74" s="251">
        <f t="shared" si="3"/>
        <v>0</v>
      </c>
      <c r="J74" s="252">
        <f t="shared" si="4"/>
        <v>0</v>
      </c>
      <c r="K74" s="253">
        <f t="shared" si="5"/>
        <v>1.9805420430854762E-2</v>
      </c>
      <c r="L74" s="253">
        <f t="shared" si="49"/>
        <v>1.9454611130150914E-2</v>
      </c>
      <c r="M74" s="254">
        <f t="shared" si="7"/>
        <v>0</v>
      </c>
      <c r="N74" s="254">
        <f t="shared" si="38"/>
        <v>0</v>
      </c>
      <c r="O74" s="255">
        <f t="shared" si="8"/>
        <v>1.9805420430854762E-2</v>
      </c>
      <c r="P74" s="255">
        <f t="shared" si="50"/>
        <v>1.9485455685743096E-2</v>
      </c>
      <c r="Q74" s="254">
        <f t="shared" si="10"/>
        <v>0</v>
      </c>
      <c r="R74" s="254">
        <f t="shared" si="39"/>
        <v>0</v>
      </c>
      <c r="S74" s="255">
        <f t="shared" si="11"/>
        <v>1.9805420430854762E-2</v>
      </c>
      <c r="T74" s="255">
        <f t="shared" si="51"/>
        <v>1.9463400085148637E-2</v>
      </c>
      <c r="U74" s="254">
        <f t="shared" si="13"/>
        <v>0</v>
      </c>
      <c r="V74" s="254">
        <f t="shared" si="40"/>
        <v>0</v>
      </c>
      <c r="W74" s="255">
        <f t="shared" si="14"/>
        <v>1.9463400085148637E-2</v>
      </c>
      <c r="X74" s="255">
        <f t="shared" si="52"/>
        <v>1.9443132504038625E-2</v>
      </c>
      <c r="Y74" s="254">
        <f t="shared" si="16"/>
        <v>0</v>
      </c>
      <c r="Z74" s="254">
        <f t="shared" si="41"/>
        <v>0</v>
      </c>
      <c r="AA74" s="255">
        <f t="shared" si="17"/>
        <v>1.9443132504038625E-2</v>
      </c>
      <c r="AB74" s="255">
        <f t="shared" si="53"/>
        <v>1.9440404892456076E-2</v>
      </c>
      <c r="AC74" s="254">
        <f t="shared" si="19"/>
        <v>0</v>
      </c>
      <c r="AD74" s="254">
        <f t="shared" si="42"/>
        <v>0</v>
      </c>
      <c r="AE74" s="255">
        <f t="shared" si="20"/>
        <v>1.9440404892456076E-2</v>
      </c>
      <c r="AF74" s="255">
        <f t="shared" si="54"/>
        <v>1.9440240271269907E-2</v>
      </c>
      <c r="AG74" s="254">
        <f t="shared" si="22"/>
        <v>0</v>
      </c>
      <c r="AH74" s="254">
        <f t="shared" si="43"/>
        <v>0</v>
      </c>
      <c r="AI74" s="255">
        <f t="shared" si="23"/>
        <v>1.9440240271269907E-2</v>
      </c>
      <c r="AJ74" s="255">
        <f t="shared" si="55"/>
        <v>1.9440218090553768E-2</v>
      </c>
      <c r="AK74" s="254">
        <f t="shared" si="25"/>
        <v>0</v>
      </c>
      <c r="AL74" s="254">
        <f t="shared" si="44"/>
        <v>0</v>
      </c>
      <c r="AM74" s="255">
        <f t="shared" si="26"/>
        <v>1.9440218090553768E-2</v>
      </c>
      <c r="AN74" s="255">
        <f t="shared" si="56"/>
        <v>1.9440216751670091E-2</v>
      </c>
      <c r="AO74" s="254">
        <f t="shared" si="28"/>
        <v>0</v>
      </c>
      <c r="AP74" s="254">
        <f t="shared" si="45"/>
        <v>0</v>
      </c>
      <c r="AQ74" s="255">
        <f t="shared" si="29"/>
        <v>1.9440216751670091E-2</v>
      </c>
      <c r="AR74" s="255">
        <f t="shared" si="57"/>
        <v>1.9440216571269965E-2</v>
      </c>
      <c r="AS74" s="254">
        <f t="shared" si="31"/>
        <v>0</v>
      </c>
      <c r="AT74" s="254">
        <f t="shared" si="46"/>
        <v>0</v>
      </c>
      <c r="AU74" s="255">
        <f t="shared" si="32"/>
        <v>1.9440216571269965E-2</v>
      </c>
      <c r="AV74" s="255">
        <f t="shared" si="58"/>
        <v>1.9440216558812E-2</v>
      </c>
      <c r="AW74" s="256">
        <f t="shared" si="59"/>
        <v>1.9440216558811996E-2</v>
      </c>
      <c r="AX74" s="257">
        <f t="shared" si="35"/>
        <v>394529.68879519223</v>
      </c>
      <c r="BC74" s="244">
        <f t="shared" si="60"/>
        <v>0</v>
      </c>
      <c r="BD74" s="244">
        <f t="shared" si="60"/>
        <v>1</v>
      </c>
      <c r="BF74" s="236">
        <f t="shared" si="37"/>
        <v>1</v>
      </c>
    </row>
    <row r="75" spans="2:58" x14ac:dyDescent="0.25">
      <c r="B75" s="245">
        <f t="shared" si="0"/>
        <v>45</v>
      </c>
      <c r="C75" s="246" t="str">
        <f>IF('מודל תמיכה חלוקת 20,294,511 שח'!G47="","",'מודל תמיכה חלוקת 20,294,511 שח'!G47)</f>
        <v>מכון להפצת משפט התורה (ע"ר)</v>
      </c>
      <c r="D75" s="247">
        <f>IF(C75="","",'מודל תמיכה חלוקת 20,294,511 שח'!V47)</f>
        <v>331425.30125086871</v>
      </c>
      <c r="E75" s="248">
        <f t="shared" si="47"/>
        <v>1.6330785267546912E-2</v>
      </c>
      <c r="F75" s="249">
        <f>IF(C75="","",'מודל תמיכה חלוקת 20,294,511 שח'!W47)</f>
        <v>368221</v>
      </c>
      <c r="G75" s="248">
        <f t="shared" si="48"/>
        <v>1.8328574165541189E-2</v>
      </c>
      <c r="H75" s="250">
        <v>1</v>
      </c>
      <c r="I75" s="251">
        <f t="shared" si="3"/>
        <v>0</v>
      </c>
      <c r="J75" s="252">
        <f t="shared" si="4"/>
        <v>0</v>
      </c>
      <c r="K75" s="253">
        <f t="shared" si="5"/>
        <v>1.6330785267546912E-2</v>
      </c>
      <c r="L75" s="253">
        <f t="shared" si="49"/>
        <v>1.6041521458194617E-2</v>
      </c>
      <c r="M75" s="254">
        <f t="shared" si="7"/>
        <v>0</v>
      </c>
      <c r="N75" s="254">
        <f t="shared" si="38"/>
        <v>0</v>
      </c>
      <c r="O75" s="255">
        <f t="shared" si="8"/>
        <v>1.6330785267546912E-2</v>
      </c>
      <c r="P75" s="255">
        <f t="shared" si="50"/>
        <v>1.606695468824431E-2</v>
      </c>
      <c r="Q75" s="254">
        <f t="shared" si="10"/>
        <v>0</v>
      </c>
      <c r="R75" s="254">
        <f t="shared" si="39"/>
        <v>0</v>
      </c>
      <c r="S75" s="255">
        <f t="shared" si="11"/>
        <v>1.6330785267546912E-2</v>
      </c>
      <c r="T75" s="255">
        <f t="shared" si="51"/>
        <v>1.6048768491262914E-2</v>
      </c>
      <c r="U75" s="254">
        <f t="shared" si="13"/>
        <v>0</v>
      </c>
      <c r="V75" s="254">
        <f t="shared" si="40"/>
        <v>0</v>
      </c>
      <c r="W75" s="255">
        <f t="shared" si="14"/>
        <v>1.6048768491262914E-2</v>
      </c>
      <c r="X75" s="255">
        <f t="shared" si="52"/>
        <v>1.6032056626137114E-2</v>
      </c>
      <c r="Y75" s="254">
        <f t="shared" si="16"/>
        <v>0</v>
      </c>
      <c r="Z75" s="254">
        <f t="shared" si="41"/>
        <v>0</v>
      </c>
      <c r="AA75" s="255">
        <f t="shared" si="17"/>
        <v>1.6032056626137114E-2</v>
      </c>
      <c r="AB75" s="255">
        <f t="shared" si="53"/>
        <v>1.6029807542902376E-2</v>
      </c>
      <c r="AC75" s="254">
        <f t="shared" si="19"/>
        <v>0</v>
      </c>
      <c r="AD75" s="254">
        <f t="shared" si="42"/>
        <v>0</v>
      </c>
      <c r="AE75" s="255">
        <f t="shared" si="20"/>
        <v>1.6029807542902376E-2</v>
      </c>
      <c r="AF75" s="255">
        <f t="shared" si="54"/>
        <v>1.6029671802626062E-2</v>
      </c>
      <c r="AG75" s="254">
        <f t="shared" si="22"/>
        <v>0</v>
      </c>
      <c r="AH75" s="254">
        <f t="shared" si="43"/>
        <v>0</v>
      </c>
      <c r="AI75" s="255">
        <f t="shared" si="23"/>
        <v>1.6029671802626062E-2</v>
      </c>
      <c r="AJ75" s="255">
        <f t="shared" si="55"/>
        <v>1.6029653513263631E-2</v>
      </c>
      <c r="AK75" s="254">
        <f t="shared" si="25"/>
        <v>0</v>
      </c>
      <c r="AL75" s="254">
        <f t="shared" si="44"/>
        <v>0</v>
      </c>
      <c r="AM75" s="255">
        <f t="shared" si="26"/>
        <v>1.6029653513263631E-2</v>
      </c>
      <c r="AN75" s="255">
        <f t="shared" si="56"/>
        <v>1.6029652409271827E-2</v>
      </c>
      <c r="AO75" s="254">
        <f t="shared" si="28"/>
        <v>0</v>
      </c>
      <c r="AP75" s="254">
        <f t="shared" si="45"/>
        <v>0</v>
      </c>
      <c r="AQ75" s="255">
        <f t="shared" si="29"/>
        <v>1.6029652409271827E-2</v>
      </c>
      <c r="AR75" s="255">
        <f t="shared" si="57"/>
        <v>1.6029652260520846E-2</v>
      </c>
      <c r="AS75" s="254">
        <f t="shared" si="31"/>
        <v>0</v>
      </c>
      <c r="AT75" s="254">
        <f t="shared" si="46"/>
        <v>0</v>
      </c>
      <c r="AU75" s="255">
        <f t="shared" si="32"/>
        <v>1.6029652260520846E-2</v>
      </c>
      <c r="AV75" s="255">
        <f t="shared" si="58"/>
        <v>1.602965225024849E-2</v>
      </c>
      <c r="AW75" s="256">
        <f t="shared" si="59"/>
        <v>1.6029652250248487E-2</v>
      </c>
      <c r="AX75" s="257">
        <f t="shared" si="35"/>
        <v>325313.95391884266</v>
      </c>
      <c r="BC75" s="244">
        <f t="shared" si="60"/>
        <v>0</v>
      </c>
      <c r="BD75" s="244">
        <f t="shared" si="60"/>
        <v>1</v>
      </c>
      <c r="BF75" s="236">
        <f t="shared" si="37"/>
        <v>1</v>
      </c>
    </row>
    <row r="76" spans="2:58" x14ac:dyDescent="0.25">
      <c r="B76" s="245">
        <f t="shared" si="0"/>
        <v>46</v>
      </c>
      <c r="C76" s="246" t="str">
        <f>IF('מודל תמיכה חלוקת 20,294,511 שח'!G48="","",'מודל תמיכה חלוקת 20,294,511 שח'!G48)</f>
        <v>מכון לרבני ישובים (ע"ר)</v>
      </c>
      <c r="D76" s="247">
        <f>IF(C76="","",'מודל תמיכה חלוקת 20,294,511 שח'!V48)</f>
        <v>324373.69909659488</v>
      </c>
      <c r="E76" s="248">
        <f t="shared" si="47"/>
        <v>1.5983321751216126E-2</v>
      </c>
      <c r="F76" s="249">
        <f>IF(C76="","",'מודל תמיכה חלוקת 20,294,511 שח'!W48)</f>
        <v>300000</v>
      </c>
      <c r="G76" s="248">
        <f t="shared" si="48"/>
        <v>1.4932804619134587E-2</v>
      </c>
      <c r="H76" s="250">
        <v>1</v>
      </c>
      <c r="I76" s="251">
        <f t="shared" si="3"/>
        <v>0</v>
      </c>
      <c r="J76" s="252">
        <f t="shared" si="4"/>
        <v>0</v>
      </c>
      <c r="K76" s="253">
        <f t="shared" si="5"/>
        <v>1.5983321751216126E-2</v>
      </c>
      <c r="L76" s="253">
        <f t="shared" si="49"/>
        <v>1.5700212490998986E-2</v>
      </c>
      <c r="M76" s="254">
        <f t="shared" si="7"/>
        <v>0</v>
      </c>
      <c r="N76" s="254">
        <f t="shared" si="38"/>
        <v>0</v>
      </c>
      <c r="O76" s="255">
        <f t="shared" si="8"/>
        <v>1.5983321751216126E-2</v>
      </c>
      <c r="P76" s="255">
        <f t="shared" si="50"/>
        <v>1.5725104588494434E-2</v>
      </c>
      <c r="Q76" s="254">
        <f t="shared" si="10"/>
        <v>0</v>
      </c>
      <c r="R76" s="254">
        <f t="shared" si="39"/>
        <v>0</v>
      </c>
      <c r="S76" s="255">
        <f t="shared" si="11"/>
        <v>1.5983321751216126E-2</v>
      </c>
      <c r="T76" s="255">
        <f t="shared" si="51"/>
        <v>1.5707305331874342E-2</v>
      </c>
      <c r="U76" s="254">
        <f t="shared" si="13"/>
        <v>0</v>
      </c>
      <c r="V76" s="254">
        <f t="shared" si="40"/>
        <v>0</v>
      </c>
      <c r="W76" s="255">
        <f t="shared" si="14"/>
        <v>1.5707305331874342E-2</v>
      </c>
      <c r="X76" s="255">
        <f t="shared" si="52"/>
        <v>1.5690949038346964E-2</v>
      </c>
      <c r="Y76" s="254">
        <f t="shared" si="16"/>
        <v>0</v>
      </c>
      <c r="Z76" s="254">
        <f t="shared" si="41"/>
        <v>0</v>
      </c>
      <c r="AA76" s="255">
        <f t="shared" si="17"/>
        <v>1.5690949038346964E-2</v>
      </c>
      <c r="AB76" s="255">
        <f t="shared" si="53"/>
        <v>1.5688747807947011E-2</v>
      </c>
      <c r="AC76" s="254">
        <f t="shared" si="19"/>
        <v>0</v>
      </c>
      <c r="AD76" s="254">
        <f t="shared" si="42"/>
        <v>0</v>
      </c>
      <c r="AE76" s="255">
        <f t="shared" si="20"/>
        <v>1.5688747807947011E-2</v>
      </c>
      <c r="AF76" s="255">
        <f t="shared" si="54"/>
        <v>1.5688614955761682E-2</v>
      </c>
      <c r="AG76" s="254">
        <f t="shared" si="22"/>
        <v>0</v>
      </c>
      <c r="AH76" s="254">
        <f t="shared" si="43"/>
        <v>0</v>
      </c>
      <c r="AI76" s="255">
        <f t="shared" si="23"/>
        <v>1.5688614955761682E-2</v>
      </c>
      <c r="AJ76" s="255">
        <f t="shared" si="55"/>
        <v>1.5688597055534621E-2</v>
      </c>
      <c r="AK76" s="254">
        <f t="shared" si="25"/>
        <v>0</v>
      </c>
      <c r="AL76" s="254">
        <f t="shared" si="44"/>
        <v>0</v>
      </c>
      <c r="AM76" s="255">
        <f t="shared" si="26"/>
        <v>1.5688597055534621E-2</v>
      </c>
      <c r="AN76" s="255">
        <f t="shared" si="56"/>
        <v>1.5688595975032003E-2</v>
      </c>
      <c r="AO76" s="254">
        <f t="shared" si="28"/>
        <v>0</v>
      </c>
      <c r="AP76" s="254">
        <f t="shared" si="45"/>
        <v>0</v>
      </c>
      <c r="AQ76" s="255">
        <f t="shared" si="29"/>
        <v>1.5688595975032003E-2</v>
      </c>
      <c r="AR76" s="255">
        <f t="shared" si="57"/>
        <v>1.5688595829445939E-2</v>
      </c>
      <c r="AS76" s="254">
        <f t="shared" si="31"/>
        <v>0</v>
      </c>
      <c r="AT76" s="254">
        <f t="shared" si="46"/>
        <v>0</v>
      </c>
      <c r="AU76" s="255">
        <f t="shared" si="32"/>
        <v>1.5688595829445939E-2</v>
      </c>
      <c r="AV76" s="255">
        <f t="shared" si="58"/>
        <v>1.5688595819392144E-2</v>
      </c>
      <c r="AW76" s="256">
        <f t="shared" si="59"/>
        <v>1.5688595819392141E-2</v>
      </c>
      <c r="AX76" s="257">
        <f t="shared" si="35"/>
        <v>318392.38043120783</v>
      </c>
      <c r="BC76" s="244">
        <f t="shared" si="60"/>
        <v>0</v>
      </c>
      <c r="BD76" s="244">
        <f t="shared" si="60"/>
        <v>1</v>
      </c>
      <c r="BF76" s="236">
        <f t="shared" si="37"/>
        <v>1</v>
      </c>
    </row>
    <row r="77" spans="2:58" x14ac:dyDescent="0.25">
      <c r="B77" s="245">
        <f t="shared" si="0"/>
        <v>47</v>
      </c>
      <c r="C77" s="246" t="str">
        <f>IF('מודל תמיכה חלוקת 20,294,511 שח'!G49="","",'מודל תמיכה חלוקת 20,294,511 שח'!G49)</f>
        <v>מכון מעליות (ע"ר)</v>
      </c>
      <c r="D77" s="247">
        <f>IF(C77="","",'מודל תמיכה חלוקת 20,294,511 שח'!V49)</f>
        <v>430147.73141070188</v>
      </c>
      <c r="E77" s="248">
        <f t="shared" si="47"/>
        <v>2.1195274496177904E-2</v>
      </c>
      <c r="F77" s="249">
        <f>IF(C77="","",'מודל תמיכה חלוקת 20,294,511 שח'!W49)</f>
        <v>420000</v>
      </c>
      <c r="G77" s="248">
        <f t="shared" si="48"/>
        <v>2.0905926466788422E-2</v>
      </c>
      <c r="H77" s="250">
        <v>1</v>
      </c>
      <c r="I77" s="251">
        <f t="shared" si="3"/>
        <v>0</v>
      </c>
      <c r="J77" s="252">
        <f t="shared" si="4"/>
        <v>0</v>
      </c>
      <c r="K77" s="253">
        <f t="shared" si="5"/>
        <v>2.1195274496177904E-2</v>
      </c>
      <c r="L77" s="253">
        <f t="shared" si="49"/>
        <v>2.0819846998933435E-2</v>
      </c>
      <c r="M77" s="254">
        <f t="shared" si="7"/>
        <v>0</v>
      </c>
      <c r="N77" s="254">
        <f t="shared" si="38"/>
        <v>0</v>
      </c>
      <c r="O77" s="255">
        <f t="shared" si="8"/>
        <v>2.1195274496177904E-2</v>
      </c>
      <c r="P77" s="255">
        <f t="shared" si="50"/>
        <v>2.0852856084742615E-2</v>
      </c>
      <c r="Q77" s="254">
        <f t="shared" si="10"/>
        <v>0</v>
      </c>
      <c r="R77" s="254">
        <f t="shared" si="39"/>
        <v>0</v>
      </c>
      <c r="S77" s="255">
        <f t="shared" si="11"/>
        <v>2.1195274496177904E-2</v>
      </c>
      <c r="T77" s="255">
        <f t="shared" si="51"/>
        <v>2.0829252722702925E-2</v>
      </c>
      <c r="U77" s="254">
        <f t="shared" si="13"/>
        <v>0</v>
      </c>
      <c r="V77" s="254">
        <f t="shared" si="40"/>
        <v>0</v>
      </c>
      <c r="W77" s="255">
        <f t="shared" si="14"/>
        <v>2.0829252722702925E-2</v>
      </c>
      <c r="X77" s="255">
        <f t="shared" si="52"/>
        <v>2.0807562855199226E-2</v>
      </c>
      <c r="Y77" s="254">
        <f t="shared" si="16"/>
        <v>0</v>
      </c>
      <c r="Z77" s="254">
        <f t="shared" si="41"/>
        <v>0</v>
      </c>
      <c r="AA77" s="255">
        <f t="shared" si="17"/>
        <v>2.0807562855199226E-2</v>
      </c>
      <c r="AB77" s="255">
        <f t="shared" si="53"/>
        <v>2.080464383227755E-2</v>
      </c>
      <c r="AC77" s="254">
        <f t="shared" si="19"/>
        <v>0</v>
      </c>
      <c r="AD77" s="254">
        <f t="shared" si="42"/>
        <v>0</v>
      </c>
      <c r="AE77" s="255">
        <f t="shared" si="20"/>
        <v>2.080464383227755E-2</v>
      </c>
      <c r="AF77" s="255">
        <f t="shared" si="54"/>
        <v>2.0804467658727441E-2</v>
      </c>
      <c r="AG77" s="254">
        <f t="shared" si="22"/>
        <v>0</v>
      </c>
      <c r="AH77" s="254">
        <f t="shared" si="43"/>
        <v>0</v>
      </c>
      <c r="AI77" s="255">
        <f t="shared" si="23"/>
        <v>2.0804467658727441E-2</v>
      </c>
      <c r="AJ77" s="255">
        <f t="shared" si="55"/>
        <v>2.0804443921469819E-2</v>
      </c>
      <c r="AK77" s="254">
        <f t="shared" si="25"/>
        <v>0</v>
      </c>
      <c r="AL77" s="254">
        <f t="shared" si="44"/>
        <v>0</v>
      </c>
      <c r="AM77" s="255">
        <f t="shared" si="26"/>
        <v>2.0804443921469819E-2</v>
      </c>
      <c r="AN77" s="255">
        <f t="shared" si="56"/>
        <v>2.0804442488629393E-2</v>
      </c>
      <c r="AO77" s="254">
        <f t="shared" si="28"/>
        <v>0</v>
      </c>
      <c r="AP77" s="254">
        <f t="shared" si="45"/>
        <v>0</v>
      </c>
      <c r="AQ77" s="255">
        <f t="shared" si="29"/>
        <v>2.0804442488629393E-2</v>
      </c>
      <c r="AR77" s="255">
        <f t="shared" si="57"/>
        <v>2.0804442295569613E-2</v>
      </c>
      <c r="AS77" s="254">
        <f t="shared" si="31"/>
        <v>0</v>
      </c>
      <c r="AT77" s="254">
        <f t="shared" si="46"/>
        <v>0</v>
      </c>
      <c r="AU77" s="255">
        <f t="shared" si="32"/>
        <v>2.0804442295569613E-2</v>
      </c>
      <c r="AV77" s="255">
        <f t="shared" si="58"/>
        <v>2.080444228223741E-2</v>
      </c>
      <c r="AW77" s="256">
        <f t="shared" si="59"/>
        <v>2.0804442282237406E-2</v>
      </c>
      <c r="AX77" s="257">
        <f t="shared" si="35"/>
        <v>422215.98274573212</v>
      </c>
      <c r="BC77" s="244">
        <f t="shared" si="60"/>
        <v>0</v>
      </c>
      <c r="BD77" s="244">
        <f t="shared" si="60"/>
        <v>1</v>
      </c>
      <c r="BF77" s="236">
        <f t="shared" si="37"/>
        <v>1</v>
      </c>
    </row>
    <row r="78" spans="2:58" x14ac:dyDescent="0.25">
      <c r="B78" s="245">
        <f t="shared" si="0"/>
        <v>48</v>
      </c>
      <c r="C78" s="246" t="str">
        <f>IF('מודל תמיכה חלוקת 20,294,511 שח'!G50="","",'מודל תמיכה חלוקת 20,294,511 שח'!G50)</f>
        <v>מכון משפטי ארץ (ע"ר)</v>
      </c>
      <c r="D78" s="247">
        <f>IF(C78="","",'מודל תמיכה חלוקת 20,294,511 שח'!V50)</f>
        <v>352580.10771369009</v>
      </c>
      <c r="E78" s="248">
        <f t="shared" si="47"/>
        <v>1.7373175816539268E-2</v>
      </c>
      <c r="F78" s="249">
        <f>IF(C78="","",'מודל תמיכה חלוקת 20,294,511 שח'!W50)</f>
        <v>324900</v>
      </c>
      <c r="G78" s="248">
        <f t="shared" si="48"/>
        <v>1.6172227402522759E-2</v>
      </c>
      <c r="H78" s="250">
        <v>1</v>
      </c>
      <c r="I78" s="251">
        <f t="shared" si="3"/>
        <v>0</v>
      </c>
      <c r="J78" s="252">
        <f t="shared" si="4"/>
        <v>0</v>
      </c>
      <c r="K78" s="253">
        <f t="shared" si="5"/>
        <v>1.7373175816539268E-2</v>
      </c>
      <c r="L78" s="253">
        <f t="shared" si="49"/>
        <v>1.7065448359781507E-2</v>
      </c>
      <c r="M78" s="254">
        <f t="shared" si="7"/>
        <v>0</v>
      </c>
      <c r="N78" s="254">
        <f t="shared" si="38"/>
        <v>0</v>
      </c>
      <c r="O78" s="255">
        <f t="shared" si="8"/>
        <v>1.7373175816539268E-2</v>
      </c>
      <c r="P78" s="255">
        <f t="shared" si="50"/>
        <v>1.7092504987493946E-2</v>
      </c>
      <c r="Q78" s="254">
        <f t="shared" si="10"/>
        <v>0</v>
      </c>
      <c r="R78" s="254">
        <f t="shared" si="39"/>
        <v>0</v>
      </c>
      <c r="S78" s="255">
        <f t="shared" si="11"/>
        <v>1.7373175816539268E-2</v>
      </c>
      <c r="T78" s="255">
        <f t="shared" si="51"/>
        <v>1.707315796942863E-2</v>
      </c>
      <c r="U78" s="254">
        <f t="shared" si="13"/>
        <v>0</v>
      </c>
      <c r="V78" s="254">
        <f t="shared" si="40"/>
        <v>0</v>
      </c>
      <c r="W78" s="255">
        <f t="shared" si="14"/>
        <v>1.707315796942863E-2</v>
      </c>
      <c r="X78" s="255">
        <f t="shared" si="52"/>
        <v>1.7055379389507568E-2</v>
      </c>
      <c r="Y78" s="254">
        <f t="shared" si="16"/>
        <v>0</v>
      </c>
      <c r="Z78" s="254">
        <f t="shared" si="41"/>
        <v>0</v>
      </c>
      <c r="AA78" s="255">
        <f t="shared" si="17"/>
        <v>1.7055379389507568E-2</v>
      </c>
      <c r="AB78" s="255">
        <f t="shared" si="53"/>
        <v>1.7052986747768485E-2</v>
      </c>
      <c r="AC78" s="254">
        <f t="shared" si="19"/>
        <v>0</v>
      </c>
      <c r="AD78" s="254">
        <f t="shared" si="42"/>
        <v>0</v>
      </c>
      <c r="AE78" s="255">
        <f t="shared" si="20"/>
        <v>1.7052986747768485E-2</v>
      </c>
      <c r="AF78" s="255">
        <f t="shared" si="54"/>
        <v>1.7052842343219216E-2</v>
      </c>
      <c r="AG78" s="254">
        <f t="shared" si="22"/>
        <v>0</v>
      </c>
      <c r="AH78" s="254">
        <f t="shared" si="43"/>
        <v>0</v>
      </c>
      <c r="AI78" s="255">
        <f t="shared" si="23"/>
        <v>1.7052842343219216E-2</v>
      </c>
      <c r="AJ78" s="255">
        <f t="shared" si="55"/>
        <v>1.7052822886450672E-2</v>
      </c>
      <c r="AK78" s="254">
        <f t="shared" si="25"/>
        <v>0</v>
      </c>
      <c r="AL78" s="254">
        <f t="shared" si="44"/>
        <v>0</v>
      </c>
      <c r="AM78" s="255">
        <f t="shared" si="26"/>
        <v>1.7052822886450672E-2</v>
      </c>
      <c r="AN78" s="255">
        <f t="shared" si="56"/>
        <v>1.7052821711991309E-2</v>
      </c>
      <c r="AO78" s="254">
        <f t="shared" si="28"/>
        <v>0</v>
      </c>
      <c r="AP78" s="254">
        <f t="shared" si="45"/>
        <v>0</v>
      </c>
      <c r="AQ78" s="255">
        <f t="shared" si="29"/>
        <v>1.7052821711991309E-2</v>
      </c>
      <c r="AR78" s="255">
        <f t="shared" si="57"/>
        <v>1.7052821553745587E-2</v>
      </c>
      <c r="AS78" s="254">
        <f t="shared" si="31"/>
        <v>0</v>
      </c>
      <c r="AT78" s="254">
        <f t="shared" si="46"/>
        <v>0</v>
      </c>
      <c r="AU78" s="255">
        <f t="shared" si="32"/>
        <v>1.7052821553745587E-2</v>
      </c>
      <c r="AV78" s="255">
        <f t="shared" si="58"/>
        <v>1.7052821542817547E-2</v>
      </c>
      <c r="AW78" s="256">
        <f t="shared" si="59"/>
        <v>1.7052821542817544E-2</v>
      </c>
      <c r="AX78" s="257">
        <f t="shared" si="35"/>
        <v>346078.67438174761</v>
      </c>
      <c r="BC78" s="244">
        <f t="shared" si="60"/>
        <v>0</v>
      </c>
      <c r="BD78" s="244">
        <f t="shared" si="60"/>
        <v>1</v>
      </c>
      <c r="BF78" s="236">
        <f t="shared" si="37"/>
        <v>1</v>
      </c>
    </row>
    <row r="79" spans="2:58" x14ac:dyDescent="0.25">
      <c r="B79" s="245">
        <f t="shared" si="0"/>
        <v>49</v>
      </c>
      <c r="C79" s="246" t="str">
        <f>IF('מודל תמיכה חלוקת 20,294,511 שח'!G51="","",'מודל תמיכה חלוקת 20,294,511 שח'!G51)</f>
        <v>מכון פוע"ה - פוריות ורפואה עפ"י ההל</v>
      </c>
      <c r="D79" s="247">
        <f>IF(C79="","",'מודל תמיכה חלוקת 20,294,511 שח'!V51)</f>
        <v>253857.67755385686</v>
      </c>
      <c r="E79" s="248">
        <f t="shared" si="47"/>
        <v>1.2508686587908272E-2</v>
      </c>
      <c r="F79" s="249">
        <f>IF(C79="","",'מודל תמיכה חלוקת 20,294,511 שח'!W51)</f>
        <v>310461</v>
      </c>
      <c r="G79" s="248">
        <f t="shared" si="48"/>
        <v>1.545351151620381E-2</v>
      </c>
      <c r="H79" s="250">
        <v>1</v>
      </c>
      <c r="I79" s="251">
        <f t="shared" si="3"/>
        <v>0</v>
      </c>
      <c r="J79" s="252">
        <f t="shared" si="4"/>
        <v>0</v>
      </c>
      <c r="K79" s="253">
        <f t="shared" si="5"/>
        <v>1.2508686587908272E-2</v>
      </c>
      <c r="L79" s="253">
        <f t="shared" si="49"/>
        <v>1.2287122819042685E-2</v>
      </c>
      <c r="M79" s="254">
        <f t="shared" si="7"/>
        <v>1</v>
      </c>
      <c r="N79" s="254">
        <f t="shared" si="38"/>
        <v>1</v>
      </c>
      <c r="O79" s="255">
        <f t="shared" si="8"/>
        <v>1.2362809212963049E-2</v>
      </c>
      <c r="P79" s="255">
        <f t="shared" si="50"/>
        <v>1.2362809212963049E-2</v>
      </c>
      <c r="Q79" s="254">
        <f t="shared" si="10"/>
        <v>0</v>
      </c>
      <c r="R79" s="254">
        <f t="shared" si="39"/>
        <v>0</v>
      </c>
      <c r="S79" s="255">
        <f t="shared" si="11"/>
        <v>1.2362809212963049E-2</v>
      </c>
      <c r="T79" s="255">
        <f t="shared" si="51"/>
        <v>1.2149315523410809E-2</v>
      </c>
      <c r="U79" s="254">
        <f t="shared" si="13"/>
        <v>1</v>
      </c>
      <c r="V79" s="254">
        <f t="shared" si="40"/>
        <v>1</v>
      </c>
      <c r="W79" s="255">
        <f t="shared" si="14"/>
        <v>1.2362809212963049E-2</v>
      </c>
      <c r="X79" s="255">
        <f t="shared" si="52"/>
        <v>1.2362809212963049E-2</v>
      </c>
      <c r="Y79" s="254">
        <f t="shared" si="16"/>
        <v>0</v>
      </c>
      <c r="Z79" s="254">
        <f t="shared" si="41"/>
        <v>0</v>
      </c>
      <c r="AA79" s="255">
        <f t="shared" si="17"/>
        <v>1.2362809212963049E-2</v>
      </c>
      <c r="AB79" s="255">
        <f t="shared" si="53"/>
        <v>1.2361074876091399E-2</v>
      </c>
      <c r="AC79" s="254">
        <f t="shared" si="19"/>
        <v>1</v>
      </c>
      <c r="AD79" s="254">
        <f t="shared" si="42"/>
        <v>1</v>
      </c>
      <c r="AE79" s="255">
        <f t="shared" si="20"/>
        <v>1.2362809212963049E-2</v>
      </c>
      <c r="AF79" s="255">
        <f t="shared" si="54"/>
        <v>1.2362809212963049E-2</v>
      </c>
      <c r="AG79" s="254">
        <f t="shared" si="22"/>
        <v>0</v>
      </c>
      <c r="AH79" s="254">
        <f t="shared" si="43"/>
        <v>0</v>
      </c>
      <c r="AI79" s="255">
        <f t="shared" si="23"/>
        <v>1.2362809212963049E-2</v>
      </c>
      <c r="AJ79" s="255">
        <f t="shared" si="55"/>
        <v>1.2362795107378036E-2</v>
      </c>
      <c r="AK79" s="254">
        <f t="shared" si="25"/>
        <v>1</v>
      </c>
      <c r="AL79" s="254">
        <f t="shared" si="44"/>
        <v>1</v>
      </c>
      <c r="AM79" s="255">
        <f t="shared" si="26"/>
        <v>1.2362809212963049E-2</v>
      </c>
      <c r="AN79" s="255">
        <f t="shared" si="56"/>
        <v>1.2362809212963049E-2</v>
      </c>
      <c r="AO79" s="254">
        <f t="shared" si="28"/>
        <v>0</v>
      </c>
      <c r="AP79" s="254">
        <f t="shared" si="45"/>
        <v>0</v>
      </c>
      <c r="AQ79" s="255">
        <f t="shared" si="29"/>
        <v>1.2362809212963049E-2</v>
      </c>
      <c r="AR79" s="255">
        <f t="shared" si="57"/>
        <v>1.2362809098239416E-2</v>
      </c>
      <c r="AS79" s="254">
        <f t="shared" si="31"/>
        <v>1</v>
      </c>
      <c r="AT79" s="254">
        <f t="shared" si="46"/>
        <v>1</v>
      </c>
      <c r="AU79" s="255">
        <f t="shared" si="32"/>
        <v>1.2362809212963049E-2</v>
      </c>
      <c r="AV79" s="255">
        <f t="shared" si="58"/>
        <v>1.2362809212963049E-2</v>
      </c>
      <c r="AW79" s="256">
        <f t="shared" si="59"/>
        <v>1.2362809212963045E-2</v>
      </c>
      <c r="AX79" s="257">
        <f t="shared" si="35"/>
        <v>250897.16756337986</v>
      </c>
      <c r="BC79" s="244">
        <f t="shared" si="60"/>
        <v>0</v>
      </c>
      <c r="BD79" s="244">
        <f t="shared" si="60"/>
        <v>1</v>
      </c>
      <c r="BF79" s="236">
        <f t="shared" si="37"/>
        <v>1</v>
      </c>
    </row>
    <row r="80" spans="2:58" x14ac:dyDescent="0.25">
      <c r="B80" s="245">
        <f t="shared" si="0"/>
        <v>50</v>
      </c>
      <c r="C80" s="246" t="str">
        <f>IF('מודל תמיכה חלוקת 20,294,511 שח'!G52="","",'מודל תמיכה חלוקת 20,294,511 שח'!G52)</f>
        <v>מכון שלמה אומן ז"ל (ע"ר)</v>
      </c>
      <c r="D80" s="247">
        <f>IF(C80="","",'מודל תמיכה חלוקת 20,294,511 שח'!V52)</f>
        <v>564128.17234190414</v>
      </c>
      <c r="E80" s="248">
        <f t="shared" si="47"/>
        <v>2.7797081306462829E-2</v>
      </c>
      <c r="F80" s="249">
        <f>IF(C80="","",'מודל תמיכה חלוקת 20,294,511 שח'!W52)</f>
        <v>505401</v>
      </c>
      <c r="G80" s="248">
        <f t="shared" si="48"/>
        <v>2.5156847957717464E-2</v>
      </c>
      <c r="H80" s="250">
        <v>1</v>
      </c>
      <c r="I80" s="251">
        <f t="shared" si="3"/>
        <v>0</v>
      </c>
      <c r="J80" s="252">
        <f t="shared" si="4"/>
        <v>0</v>
      </c>
      <c r="K80" s="253">
        <f t="shared" si="5"/>
        <v>2.7797081306462829E-2</v>
      </c>
      <c r="L80" s="253">
        <f t="shared" si="49"/>
        <v>2.7304717375650413E-2</v>
      </c>
      <c r="M80" s="254">
        <f t="shared" si="7"/>
        <v>0</v>
      </c>
      <c r="N80" s="254">
        <f t="shared" si="38"/>
        <v>0</v>
      </c>
      <c r="O80" s="255">
        <f t="shared" si="8"/>
        <v>2.7797081306462829E-2</v>
      </c>
      <c r="P80" s="255">
        <f t="shared" si="50"/>
        <v>2.7348007979990319E-2</v>
      </c>
      <c r="Q80" s="254">
        <f t="shared" si="10"/>
        <v>0</v>
      </c>
      <c r="R80" s="254">
        <f t="shared" si="39"/>
        <v>0</v>
      </c>
      <c r="S80" s="255">
        <f t="shared" si="11"/>
        <v>2.7797081306462829E-2</v>
      </c>
      <c r="T80" s="255">
        <f t="shared" si="51"/>
        <v>2.731705275108581E-2</v>
      </c>
      <c r="U80" s="254">
        <f t="shared" si="13"/>
        <v>0</v>
      </c>
      <c r="V80" s="254">
        <f t="shared" si="40"/>
        <v>0</v>
      </c>
      <c r="W80" s="255">
        <f t="shared" si="14"/>
        <v>2.731705275108581E-2</v>
      </c>
      <c r="X80" s="255">
        <f t="shared" si="52"/>
        <v>2.7288607023212105E-2</v>
      </c>
      <c r="Y80" s="254">
        <f t="shared" si="16"/>
        <v>0</v>
      </c>
      <c r="Z80" s="254">
        <f t="shared" si="41"/>
        <v>0</v>
      </c>
      <c r="AA80" s="255">
        <f t="shared" si="17"/>
        <v>2.7288607023212105E-2</v>
      </c>
      <c r="AB80" s="255">
        <f t="shared" si="53"/>
        <v>2.7284778796429578E-2</v>
      </c>
      <c r="AC80" s="254">
        <f t="shared" si="19"/>
        <v>0</v>
      </c>
      <c r="AD80" s="254">
        <f t="shared" si="42"/>
        <v>0</v>
      </c>
      <c r="AE80" s="255">
        <f t="shared" si="20"/>
        <v>2.7284778796429578E-2</v>
      </c>
      <c r="AF80" s="255">
        <f t="shared" si="54"/>
        <v>2.7284547749150744E-2</v>
      </c>
      <c r="AG80" s="254">
        <f t="shared" si="22"/>
        <v>0</v>
      </c>
      <c r="AH80" s="254">
        <f t="shared" si="43"/>
        <v>0</v>
      </c>
      <c r="AI80" s="255">
        <f t="shared" si="23"/>
        <v>2.7284547749150744E-2</v>
      </c>
      <c r="AJ80" s="255">
        <f t="shared" si="55"/>
        <v>2.7284516618321073E-2</v>
      </c>
      <c r="AK80" s="254">
        <f t="shared" si="25"/>
        <v>0</v>
      </c>
      <c r="AL80" s="254">
        <f t="shared" si="44"/>
        <v>0</v>
      </c>
      <c r="AM80" s="255">
        <f t="shared" si="26"/>
        <v>2.7284516618321073E-2</v>
      </c>
      <c r="AN80" s="255">
        <f t="shared" si="56"/>
        <v>2.728451473918609E-2</v>
      </c>
      <c r="AO80" s="254">
        <f t="shared" si="28"/>
        <v>0</v>
      </c>
      <c r="AP80" s="254">
        <f t="shared" si="45"/>
        <v>0</v>
      </c>
      <c r="AQ80" s="255">
        <f t="shared" si="29"/>
        <v>2.728451473918609E-2</v>
      </c>
      <c r="AR80" s="255">
        <f t="shared" si="57"/>
        <v>2.7284514485992933E-2</v>
      </c>
      <c r="AS80" s="254">
        <f t="shared" si="31"/>
        <v>0</v>
      </c>
      <c r="AT80" s="254">
        <f t="shared" si="46"/>
        <v>0</v>
      </c>
      <c r="AU80" s="255">
        <f t="shared" si="32"/>
        <v>2.7284514485992933E-2</v>
      </c>
      <c r="AV80" s="255">
        <f t="shared" si="58"/>
        <v>2.7284514468508072E-2</v>
      </c>
      <c r="AW80" s="256">
        <f t="shared" si="59"/>
        <v>2.7284514468508065E-2</v>
      </c>
      <c r="AX80" s="257">
        <f t="shared" si="35"/>
        <v>553725.87901079608</v>
      </c>
      <c r="BC80" s="244">
        <f t="shared" si="60"/>
        <v>0</v>
      </c>
      <c r="BD80" s="244">
        <f t="shared" si="60"/>
        <v>1</v>
      </c>
      <c r="BF80" s="236">
        <f t="shared" si="37"/>
        <v>1</v>
      </c>
    </row>
    <row r="81" spans="2:58" x14ac:dyDescent="0.25">
      <c r="B81" s="245">
        <f t="shared" si="0"/>
        <v>51</v>
      </c>
      <c r="C81" s="246" t="str">
        <f>IF('מודל תמיכה חלוקת 20,294,511 שח'!G53="","",'מודל תמיכה חלוקת 20,294,511 שח'!G53)</f>
        <v>מכון שתילי זתים - לחקר מורשת תימן ע</v>
      </c>
      <c r="D81" s="247">
        <f>IF(C81="","",'מודל תמיכה חלוקת 20,294,511 שח'!V53)</f>
        <v>289115.68832522584</v>
      </c>
      <c r="E81" s="248">
        <f t="shared" si="47"/>
        <v>1.4246004169562197E-2</v>
      </c>
      <c r="F81" s="249">
        <f>IF(C81="","",'מודל תמיכה חלוקת 20,294,511 שח'!W53)</f>
        <v>274361</v>
      </c>
      <c r="G81" s="248">
        <f t="shared" si="48"/>
        <v>1.3656597360367949E-2</v>
      </c>
      <c r="H81" s="250">
        <v>1</v>
      </c>
      <c r="I81" s="251">
        <f t="shared" si="3"/>
        <v>0</v>
      </c>
      <c r="J81" s="252">
        <f t="shared" si="4"/>
        <v>0</v>
      </c>
      <c r="K81" s="253">
        <f t="shared" si="5"/>
        <v>1.4246004169562197E-2</v>
      </c>
      <c r="L81" s="253">
        <f t="shared" si="49"/>
        <v>1.3993667655020834E-2</v>
      </c>
      <c r="M81" s="254">
        <f t="shared" si="7"/>
        <v>0</v>
      </c>
      <c r="N81" s="254">
        <f t="shared" si="38"/>
        <v>0</v>
      </c>
      <c r="O81" s="255">
        <f t="shared" si="8"/>
        <v>1.4246004169562197E-2</v>
      </c>
      <c r="P81" s="255">
        <f t="shared" si="50"/>
        <v>1.4015854089745036E-2</v>
      </c>
      <c r="Q81" s="254">
        <f t="shared" si="10"/>
        <v>0</v>
      </c>
      <c r="R81" s="254">
        <f t="shared" si="39"/>
        <v>0</v>
      </c>
      <c r="S81" s="255">
        <f t="shared" si="11"/>
        <v>1.4246004169562197E-2</v>
      </c>
      <c r="T81" s="255">
        <f t="shared" si="51"/>
        <v>1.3999989534931475E-2</v>
      </c>
      <c r="U81" s="254">
        <f t="shared" si="13"/>
        <v>0</v>
      </c>
      <c r="V81" s="254">
        <f t="shared" si="40"/>
        <v>0</v>
      </c>
      <c r="W81" s="255">
        <f t="shared" si="14"/>
        <v>1.3999989534931475E-2</v>
      </c>
      <c r="X81" s="255">
        <f t="shared" si="52"/>
        <v>1.3985411099396203E-2</v>
      </c>
      <c r="Y81" s="254">
        <f t="shared" si="16"/>
        <v>0</v>
      </c>
      <c r="Z81" s="254">
        <f t="shared" si="41"/>
        <v>0</v>
      </c>
      <c r="AA81" s="255">
        <f t="shared" si="17"/>
        <v>1.3985411099396203E-2</v>
      </c>
      <c r="AB81" s="255">
        <f t="shared" si="53"/>
        <v>1.3983449133170156E-2</v>
      </c>
      <c r="AC81" s="254">
        <f t="shared" si="19"/>
        <v>0</v>
      </c>
      <c r="AD81" s="254">
        <f t="shared" si="42"/>
        <v>0</v>
      </c>
      <c r="AE81" s="255">
        <f t="shared" si="20"/>
        <v>1.3983449133170156E-2</v>
      </c>
      <c r="AF81" s="255">
        <f t="shared" si="54"/>
        <v>1.3983330721439754E-2</v>
      </c>
      <c r="AG81" s="254">
        <f t="shared" si="22"/>
        <v>0</v>
      </c>
      <c r="AH81" s="254">
        <f t="shared" si="43"/>
        <v>0</v>
      </c>
      <c r="AI81" s="255">
        <f t="shared" si="23"/>
        <v>1.3983330721439754E-2</v>
      </c>
      <c r="AJ81" s="255">
        <f t="shared" si="55"/>
        <v>1.3983314766889549E-2</v>
      </c>
      <c r="AK81" s="254">
        <f t="shared" si="25"/>
        <v>0</v>
      </c>
      <c r="AL81" s="254">
        <f t="shared" si="44"/>
        <v>0</v>
      </c>
      <c r="AM81" s="255">
        <f t="shared" si="26"/>
        <v>1.3983314766889549E-2</v>
      </c>
      <c r="AN81" s="255">
        <f t="shared" si="56"/>
        <v>1.3983313803832871E-2</v>
      </c>
      <c r="AO81" s="254">
        <f t="shared" si="28"/>
        <v>0</v>
      </c>
      <c r="AP81" s="254">
        <f t="shared" si="45"/>
        <v>0</v>
      </c>
      <c r="AQ81" s="255">
        <f t="shared" si="29"/>
        <v>1.3983313803832871E-2</v>
      </c>
      <c r="AR81" s="255">
        <f t="shared" si="57"/>
        <v>1.3983313674071379E-2</v>
      </c>
      <c r="AS81" s="254">
        <f t="shared" si="31"/>
        <v>0</v>
      </c>
      <c r="AT81" s="254">
        <f t="shared" si="46"/>
        <v>0</v>
      </c>
      <c r="AU81" s="255">
        <f t="shared" si="32"/>
        <v>1.3983313674071379E-2</v>
      </c>
      <c r="AV81" s="255">
        <f t="shared" si="58"/>
        <v>1.3983313665110388E-2</v>
      </c>
      <c r="AW81" s="256">
        <f t="shared" si="59"/>
        <v>1.3983313665110384E-2</v>
      </c>
      <c r="AX81" s="257">
        <f t="shared" si="35"/>
        <v>283784.51299303299</v>
      </c>
      <c r="BC81" s="244">
        <f t="shared" si="60"/>
        <v>0</v>
      </c>
      <c r="BD81" s="244">
        <f t="shared" si="60"/>
        <v>1</v>
      </c>
      <c r="BF81" s="236">
        <f t="shared" si="37"/>
        <v>1</v>
      </c>
    </row>
    <row r="82" spans="2:58" x14ac:dyDescent="0.25">
      <c r="B82" s="245">
        <f t="shared" si="0"/>
        <v>52</v>
      </c>
      <c r="C82" s="246" t="str">
        <f>IF('מודל תמיכה חלוקת 20,294,511 שח'!G54="","",'מודל תמיכה חלוקת 20,294,511 שח'!G54)</f>
        <v>מעמק חברון- מכון חקר תורני (ע"ר)</v>
      </c>
      <c r="D82" s="247">
        <f>IF(C82="","",'מודל תמיכה חלוקת 20,294,511 שח'!V54)</f>
        <v>133980.44093120223</v>
      </c>
      <c r="E82" s="248">
        <f t="shared" si="47"/>
        <v>6.6018068102849216E-3</v>
      </c>
      <c r="F82" s="249">
        <f>IF(C82="","",'מודל תמיכה חלוקת 20,294,511 שח'!W54)</f>
        <v>129961</v>
      </c>
      <c r="G82" s="248">
        <f t="shared" si="48"/>
        <v>6.4689407370244999E-3</v>
      </c>
      <c r="H82" s="250">
        <v>1</v>
      </c>
      <c r="I82" s="251">
        <f t="shared" si="3"/>
        <v>0</v>
      </c>
      <c r="J82" s="252">
        <f t="shared" si="4"/>
        <v>0</v>
      </c>
      <c r="K82" s="253">
        <f t="shared" si="5"/>
        <v>6.6018068102849216E-3</v>
      </c>
      <c r="L82" s="253">
        <f t="shared" si="49"/>
        <v>6.4848703767169721E-3</v>
      </c>
      <c r="M82" s="254">
        <f t="shared" si="7"/>
        <v>0</v>
      </c>
      <c r="N82" s="254">
        <f t="shared" si="38"/>
        <v>0</v>
      </c>
      <c r="O82" s="255">
        <f t="shared" si="8"/>
        <v>6.6018068102849216E-3</v>
      </c>
      <c r="P82" s="255">
        <f t="shared" si="50"/>
        <v>6.4951518952477E-3</v>
      </c>
      <c r="Q82" s="254">
        <f t="shared" si="10"/>
        <v>0</v>
      </c>
      <c r="R82" s="254">
        <f t="shared" si="39"/>
        <v>0</v>
      </c>
      <c r="S82" s="255">
        <f t="shared" si="11"/>
        <v>6.6018068102849216E-3</v>
      </c>
      <c r="T82" s="255">
        <f t="shared" si="51"/>
        <v>6.4878000283828795E-3</v>
      </c>
      <c r="U82" s="254">
        <f t="shared" si="13"/>
        <v>0</v>
      </c>
      <c r="V82" s="254">
        <f t="shared" si="40"/>
        <v>0</v>
      </c>
      <c r="W82" s="255">
        <f t="shared" si="14"/>
        <v>6.4878000283828795E-3</v>
      </c>
      <c r="X82" s="255">
        <f t="shared" si="52"/>
        <v>6.4810441680128754E-3</v>
      </c>
      <c r="Y82" s="254">
        <f t="shared" si="16"/>
        <v>0</v>
      </c>
      <c r="Z82" s="254">
        <f t="shared" si="41"/>
        <v>0</v>
      </c>
      <c r="AA82" s="255">
        <f t="shared" si="17"/>
        <v>6.4810441680128754E-3</v>
      </c>
      <c r="AB82" s="255">
        <f t="shared" si="53"/>
        <v>6.480134964152025E-3</v>
      </c>
      <c r="AC82" s="254">
        <f t="shared" si="19"/>
        <v>0</v>
      </c>
      <c r="AD82" s="254">
        <f t="shared" si="42"/>
        <v>0</v>
      </c>
      <c r="AE82" s="255">
        <f t="shared" si="20"/>
        <v>6.480134964152025E-3</v>
      </c>
      <c r="AF82" s="255">
        <f t="shared" si="54"/>
        <v>6.4800800904233017E-3</v>
      </c>
      <c r="AG82" s="254">
        <f t="shared" si="22"/>
        <v>0</v>
      </c>
      <c r="AH82" s="254">
        <f t="shared" si="43"/>
        <v>0</v>
      </c>
      <c r="AI82" s="255">
        <f t="shared" si="23"/>
        <v>6.4800800904233017E-3</v>
      </c>
      <c r="AJ82" s="255">
        <f t="shared" si="55"/>
        <v>6.4800726968512554E-3</v>
      </c>
      <c r="AK82" s="254">
        <f t="shared" si="25"/>
        <v>0</v>
      </c>
      <c r="AL82" s="254">
        <f t="shared" si="44"/>
        <v>0</v>
      </c>
      <c r="AM82" s="255">
        <f t="shared" si="26"/>
        <v>6.4800726968512554E-3</v>
      </c>
      <c r="AN82" s="255">
        <f t="shared" si="56"/>
        <v>6.4800722505566968E-3</v>
      </c>
      <c r="AO82" s="254">
        <f t="shared" si="28"/>
        <v>0</v>
      </c>
      <c r="AP82" s="254">
        <f t="shared" si="45"/>
        <v>0</v>
      </c>
      <c r="AQ82" s="255">
        <f t="shared" si="29"/>
        <v>6.4800722505566968E-3</v>
      </c>
      <c r="AR82" s="255">
        <f t="shared" si="57"/>
        <v>6.480072190423322E-3</v>
      </c>
      <c r="AS82" s="254">
        <f t="shared" si="31"/>
        <v>0</v>
      </c>
      <c r="AT82" s="254">
        <f t="shared" si="46"/>
        <v>0</v>
      </c>
      <c r="AU82" s="255">
        <f t="shared" si="32"/>
        <v>6.480072190423322E-3</v>
      </c>
      <c r="AV82" s="255">
        <f t="shared" si="58"/>
        <v>6.4800721862706681E-3</v>
      </c>
      <c r="AW82" s="256">
        <f t="shared" si="59"/>
        <v>6.4800721862706663E-3</v>
      </c>
      <c r="AX82" s="257">
        <f t="shared" si="35"/>
        <v>131509.89626506408</v>
      </c>
      <c r="BC82" s="244">
        <f t="shared" si="60"/>
        <v>0</v>
      </c>
      <c r="BD82" s="244">
        <f t="shared" si="60"/>
        <v>1</v>
      </c>
      <c r="BF82" s="236">
        <f t="shared" si="37"/>
        <v>1</v>
      </c>
    </row>
    <row r="83" spans="2:58" x14ac:dyDescent="0.25">
      <c r="B83" s="245">
        <f t="shared" si="0"/>
        <v>53</v>
      </c>
      <c r="C83" s="246" t="str">
        <f>IF('מודל תמיכה חלוקת 20,294,511 שח'!G55="","",'מודל תמיכה חלוקת 20,294,511 שח'!G55)</f>
        <v>מרחבים - מרכז תורני ליהדות וחינוך (</v>
      </c>
      <c r="D83" s="247">
        <f>IF(C83="","",'מודל תמיכה חלוקת 20,294,511 שח'!V55)</f>
        <v>239754.47324530926</v>
      </c>
      <c r="E83" s="248">
        <f t="shared" si="47"/>
        <v>1.1813759555246703E-2</v>
      </c>
      <c r="F83" s="249">
        <f>IF(C83="","",'מודל תמיכה חלוקת 20,294,511 שח'!W55)</f>
        <v>0</v>
      </c>
      <c r="G83" s="248">
        <f t="shared" si="48"/>
        <v>0</v>
      </c>
      <c r="H83" s="250">
        <v>1</v>
      </c>
      <c r="I83" s="251">
        <f t="shared" si="3"/>
        <v>0</v>
      </c>
      <c r="J83" s="252">
        <f t="shared" si="4"/>
        <v>0</v>
      </c>
      <c r="K83" s="253">
        <f t="shared" si="5"/>
        <v>1.1813759555246703E-2</v>
      </c>
      <c r="L83" s="253">
        <f t="shared" si="49"/>
        <v>1.1604504884651425E-2</v>
      </c>
      <c r="M83" s="254">
        <f t="shared" si="7"/>
        <v>0</v>
      </c>
      <c r="N83" s="254">
        <f t="shared" si="38"/>
        <v>0</v>
      </c>
      <c r="O83" s="255">
        <f t="shared" si="8"/>
        <v>1.1813759555246703E-2</v>
      </c>
      <c r="P83" s="255">
        <f t="shared" si="50"/>
        <v>1.1622903391495885E-2</v>
      </c>
      <c r="Q83" s="254">
        <f t="shared" si="10"/>
        <v>0</v>
      </c>
      <c r="R83" s="254">
        <f t="shared" si="39"/>
        <v>0</v>
      </c>
      <c r="S83" s="255">
        <f t="shared" si="11"/>
        <v>1.1813759555246703E-2</v>
      </c>
      <c r="T83" s="255">
        <f t="shared" si="51"/>
        <v>1.1609747419211469E-2</v>
      </c>
      <c r="U83" s="254">
        <f t="shared" si="13"/>
        <v>0</v>
      </c>
      <c r="V83" s="254">
        <f t="shared" si="40"/>
        <v>0</v>
      </c>
      <c r="W83" s="255">
        <f t="shared" si="14"/>
        <v>1.1609747419211469E-2</v>
      </c>
      <c r="X83" s="255">
        <f t="shared" si="52"/>
        <v>1.1597657984865145E-2</v>
      </c>
      <c r="Y83" s="254">
        <f t="shared" si="16"/>
        <v>0</v>
      </c>
      <c r="Z83" s="254">
        <f t="shared" si="41"/>
        <v>0</v>
      </c>
      <c r="AA83" s="255">
        <f t="shared" si="17"/>
        <v>1.1597657984865145E-2</v>
      </c>
      <c r="AB83" s="255">
        <f t="shared" si="53"/>
        <v>1.159603098848257E-2</v>
      </c>
      <c r="AC83" s="254">
        <f t="shared" si="19"/>
        <v>0</v>
      </c>
      <c r="AD83" s="254">
        <f t="shared" si="42"/>
        <v>0</v>
      </c>
      <c r="AE83" s="255">
        <f t="shared" si="20"/>
        <v>1.159603098848257E-2</v>
      </c>
      <c r="AF83" s="255">
        <f t="shared" si="54"/>
        <v>1.1595932793389066E-2</v>
      </c>
      <c r="AG83" s="254">
        <f t="shared" si="22"/>
        <v>0</v>
      </c>
      <c r="AH83" s="254">
        <f t="shared" si="43"/>
        <v>0</v>
      </c>
      <c r="AI83" s="255">
        <f t="shared" si="23"/>
        <v>1.1595932793389066E-2</v>
      </c>
      <c r="AJ83" s="255">
        <f t="shared" si="55"/>
        <v>1.1595919562786456E-2</v>
      </c>
      <c r="AK83" s="254">
        <f t="shared" si="25"/>
        <v>0</v>
      </c>
      <c r="AL83" s="254">
        <f t="shared" si="44"/>
        <v>0</v>
      </c>
      <c r="AM83" s="255">
        <f t="shared" si="26"/>
        <v>1.1595919562786456E-2</v>
      </c>
      <c r="AN83" s="255">
        <f t="shared" si="56"/>
        <v>1.1595918764154087E-2</v>
      </c>
      <c r="AO83" s="254">
        <f t="shared" si="28"/>
        <v>0</v>
      </c>
      <c r="AP83" s="254">
        <f t="shared" si="45"/>
        <v>0</v>
      </c>
      <c r="AQ83" s="255">
        <f t="shared" si="29"/>
        <v>1.1595918764154087E-2</v>
      </c>
      <c r="AR83" s="255">
        <f t="shared" si="57"/>
        <v>1.1595918656546996E-2</v>
      </c>
      <c r="AS83" s="254">
        <f t="shared" si="31"/>
        <v>0</v>
      </c>
      <c r="AT83" s="254">
        <f t="shared" si="46"/>
        <v>0</v>
      </c>
      <c r="AU83" s="255">
        <f t="shared" si="32"/>
        <v>1.1595918656546996E-2</v>
      </c>
      <c r="AV83" s="255">
        <f t="shared" si="58"/>
        <v>1.1595918649115931E-2</v>
      </c>
      <c r="AW83" s="256">
        <f t="shared" si="59"/>
        <v>1.159591864911593E-2</v>
      </c>
      <c r="AX83" s="257">
        <f t="shared" si="35"/>
        <v>235333.49857958837</v>
      </c>
      <c r="BC83" s="244">
        <f t="shared" si="60"/>
        <v>0</v>
      </c>
      <c r="BD83" s="244">
        <f t="shared" si="60"/>
        <v>1</v>
      </c>
      <c r="BF83" s="236">
        <f t="shared" si="37"/>
        <v>1</v>
      </c>
    </row>
    <row r="84" spans="2:58" x14ac:dyDescent="0.25">
      <c r="B84" s="245">
        <f t="shared" si="0"/>
        <v>54</v>
      </c>
      <c r="C84" s="246" t="str">
        <f>IF('מודל תמיכה חלוקת 20,294,511 שח'!G56="","",'מודל תמיכה חלוקת 20,294,511 שח'!G56)</f>
        <v>מרכז להפצת תורה ויראה בנגב</v>
      </c>
      <c r="D84" s="247">
        <f>IF(C84="","",'מודל תמיכה חלוקת 20,294,511 שח'!V56)</f>
        <v>204496.46247394022</v>
      </c>
      <c r="E84" s="248">
        <f t="shared" si="47"/>
        <v>1.0076441973592774E-2</v>
      </c>
      <c r="F84" s="249">
        <f>IF(C84="","",'מודל תמיכה חלוקת 20,294,511 שח'!W56)</f>
        <v>267140</v>
      </c>
      <c r="G84" s="248">
        <f t="shared" si="48"/>
        <v>1.3297164753185379E-2</v>
      </c>
      <c r="H84" s="250">
        <v>1</v>
      </c>
      <c r="I84" s="251">
        <f t="shared" si="3"/>
        <v>1</v>
      </c>
      <c r="J84" s="252">
        <f t="shared" si="4"/>
        <v>1</v>
      </c>
      <c r="K84" s="253">
        <f t="shared" si="5"/>
        <v>1.0637731802548303E-2</v>
      </c>
      <c r="L84" s="253">
        <f t="shared" si="49"/>
        <v>1.0637731802548303E-2</v>
      </c>
      <c r="M84" s="254">
        <f t="shared" si="7"/>
        <v>0</v>
      </c>
      <c r="N84" s="254">
        <f t="shared" si="38"/>
        <v>0</v>
      </c>
      <c r="O84" s="255">
        <f t="shared" si="8"/>
        <v>1.0637731802548303E-2</v>
      </c>
      <c r="P84" s="255">
        <f t="shared" si="50"/>
        <v>1.0465874852747531E-2</v>
      </c>
      <c r="Q84" s="254">
        <f t="shared" si="10"/>
        <v>1</v>
      </c>
      <c r="R84" s="254">
        <f t="shared" si="39"/>
        <v>1</v>
      </c>
      <c r="S84" s="255">
        <f t="shared" si="11"/>
        <v>1.0637731802548303E-2</v>
      </c>
      <c r="T84" s="255">
        <f t="shared" si="51"/>
        <v>1.0637731802548303E-2</v>
      </c>
      <c r="U84" s="254">
        <f t="shared" si="13"/>
        <v>0</v>
      </c>
      <c r="V84" s="254">
        <f t="shared" si="40"/>
        <v>0</v>
      </c>
      <c r="W84" s="255">
        <f t="shared" si="14"/>
        <v>1.0637731802548303E-2</v>
      </c>
      <c r="X84" s="255">
        <f t="shared" si="52"/>
        <v>1.0626654545173359E-2</v>
      </c>
      <c r="Y84" s="254">
        <f t="shared" si="16"/>
        <v>1</v>
      </c>
      <c r="Z84" s="254">
        <f t="shared" si="41"/>
        <v>1</v>
      </c>
      <c r="AA84" s="255">
        <f t="shared" si="17"/>
        <v>1.0637731802548303E-2</v>
      </c>
      <c r="AB84" s="255">
        <f t="shared" si="53"/>
        <v>1.0637731802548303E-2</v>
      </c>
      <c r="AC84" s="254">
        <f t="shared" si="19"/>
        <v>0</v>
      </c>
      <c r="AD84" s="254">
        <f t="shared" si="42"/>
        <v>0</v>
      </c>
      <c r="AE84" s="255">
        <f t="shared" si="20"/>
        <v>1.0637731802548303E-2</v>
      </c>
      <c r="AF84" s="255">
        <f t="shared" si="54"/>
        <v>1.0637641722324297E-2</v>
      </c>
      <c r="AG84" s="254">
        <f t="shared" si="22"/>
        <v>1</v>
      </c>
      <c r="AH84" s="254">
        <f t="shared" si="43"/>
        <v>1</v>
      </c>
      <c r="AI84" s="255">
        <f t="shared" si="23"/>
        <v>1.0637731802548303E-2</v>
      </c>
      <c r="AJ84" s="255">
        <f t="shared" si="55"/>
        <v>1.0637731802548303E-2</v>
      </c>
      <c r="AK84" s="254">
        <f t="shared" si="25"/>
        <v>0</v>
      </c>
      <c r="AL84" s="254">
        <f t="shared" si="44"/>
        <v>0</v>
      </c>
      <c r="AM84" s="255">
        <f t="shared" si="26"/>
        <v>1.0637731802548303E-2</v>
      </c>
      <c r="AN84" s="255">
        <f t="shared" si="56"/>
        <v>1.0637731069908094E-2</v>
      </c>
      <c r="AO84" s="254">
        <f t="shared" si="28"/>
        <v>1</v>
      </c>
      <c r="AP84" s="254">
        <f t="shared" si="45"/>
        <v>1</v>
      </c>
      <c r="AQ84" s="255">
        <f t="shared" si="29"/>
        <v>1.0637731802548303E-2</v>
      </c>
      <c r="AR84" s="255">
        <f t="shared" si="57"/>
        <v>1.0637731802548303E-2</v>
      </c>
      <c r="AS84" s="254">
        <f t="shared" si="31"/>
        <v>1</v>
      </c>
      <c r="AT84" s="254">
        <f t="shared" si="46"/>
        <v>1</v>
      </c>
      <c r="AU84" s="255">
        <f t="shared" si="32"/>
        <v>1.0637731802548303E-2</v>
      </c>
      <c r="AV84" s="255">
        <f t="shared" si="58"/>
        <v>1.0637731802548303E-2</v>
      </c>
      <c r="AW84" s="256">
        <f t="shared" si="59"/>
        <v>1.0637731802548301E-2</v>
      </c>
      <c r="AX84" s="257">
        <f t="shared" si="35"/>
        <v>215887.56508186634</v>
      </c>
      <c r="BC84" s="244">
        <f t="shared" si="60"/>
        <v>0</v>
      </c>
      <c r="BD84" s="244">
        <f t="shared" si="60"/>
        <v>1</v>
      </c>
      <c r="BF84" s="236">
        <f t="shared" si="37"/>
        <v>1</v>
      </c>
    </row>
    <row r="85" spans="2:58" x14ac:dyDescent="0.25">
      <c r="B85" s="245">
        <f t="shared" si="0"/>
        <v>55</v>
      </c>
      <c r="C85" s="246" t="str">
        <f>IF('מודל תמיכה חלוקת 20,294,511 שח'!G57="","",'מודל תמיכה חלוקת 20,294,511 שח'!G57)</f>
        <v>מרכז מורשת הרב ניסים הראשון לציון ה</v>
      </c>
      <c r="D85" s="247">
        <f>IF(C85="","",'מודל תמיכה חלוקת 20,294,511 שח'!V57)</f>
        <v>317322.09694232105</v>
      </c>
      <c r="E85" s="248">
        <f t="shared" si="47"/>
        <v>1.5635858234885339E-2</v>
      </c>
      <c r="F85" s="249">
        <f>IF(C85="","",'מודל תמיכה חלוקת 20,294,511 שח'!W57)</f>
        <v>0</v>
      </c>
      <c r="G85" s="248">
        <f t="shared" si="48"/>
        <v>0</v>
      </c>
      <c r="H85" s="250">
        <v>1</v>
      </c>
      <c r="I85" s="251">
        <f t="shared" si="3"/>
        <v>0</v>
      </c>
      <c r="J85" s="252">
        <f t="shared" si="4"/>
        <v>0</v>
      </c>
      <c r="K85" s="253">
        <f t="shared" si="5"/>
        <v>1.5635858234885339E-2</v>
      </c>
      <c r="L85" s="253">
        <f t="shared" si="49"/>
        <v>1.5358903523803353E-2</v>
      </c>
      <c r="M85" s="254">
        <f t="shared" si="7"/>
        <v>0</v>
      </c>
      <c r="N85" s="254">
        <f t="shared" si="38"/>
        <v>0</v>
      </c>
      <c r="O85" s="255">
        <f t="shared" si="8"/>
        <v>1.5635858234885339E-2</v>
      </c>
      <c r="P85" s="255">
        <f t="shared" si="50"/>
        <v>1.5383254488744552E-2</v>
      </c>
      <c r="Q85" s="254">
        <f t="shared" si="10"/>
        <v>0</v>
      </c>
      <c r="R85" s="254">
        <f t="shared" si="39"/>
        <v>0</v>
      </c>
      <c r="S85" s="255">
        <f t="shared" si="11"/>
        <v>1.5635858234885339E-2</v>
      </c>
      <c r="T85" s="255">
        <f t="shared" si="51"/>
        <v>1.5365842172485765E-2</v>
      </c>
      <c r="U85" s="254">
        <f t="shared" si="13"/>
        <v>0</v>
      </c>
      <c r="V85" s="254">
        <f t="shared" si="40"/>
        <v>0</v>
      </c>
      <c r="W85" s="255">
        <f t="shared" si="14"/>
        <v>1.5365842172485765E-2</v>
      </c>
      <c r="X85" s="255">
        <f t="shared" si="52"/>
        <v>1.5349841450556807E-2</v>
      </c>
      <c r="Y85" s="254">
        <f t="shared" si="16"/>
        <v>0</v>
      </c>
      <c r="Z85" s="254">
        <f t="shared" si="41"/>
        <v>0</v>
      </c>
      <c r="AA85" s="255">
        <f t="shared" si="17"/>
        <v>1.5349841450556807E-2</v>
      </c>
      <c r="AB85" s="255">
        <f t="shared" si="53"/>
        <v>1.5347688072991635E-2</v>
      </c>
      <c r="AC85" s="254">
        <f t="shared" si="19"/>
        <v>0</v>
      </c>
      <c r="AD85" s="254">
        <f t="shared" si="42"/>
        <v>0</v>
      </c>
      <c r="AE85" s="255">
        <f t="shared" si="20"/>
        <v>1.5347688072991635E-2</v>
      </c>
      <c r="AF85" s="255">
        <f t="shared" si="54"/>
        <v>1.5347558108897289E-2</v>
      </c>
      <c r="AG85" s="254">
        <f t="shared" si="22"/>
        <v>0</v>
      </c>
      <c r="AH85" s="254">
        <f t="shared" si="43"/>
        <v>0</v>
      </c>
      <c r="AI85" s="255">
        <f t="shared" si="23"/>
        <v>1.5347558108897289E-2</v>
      </c>
      <c r="AJ85" s="255">
        <f t="shared" si="55"/>
        <v>1.53475405978056E-2</v>
      </c>
      <c r="AK85" s="254">
        <f t="shared" si="25"/>
        <v>0</v>
      </c>
      <c r="AL85" s="254">
        <f t="shared" si="44"/>
        <v>0</v>
      </c>
      <c r="AM85" s="255">
        <f t="shared" si="26"/>
        <v>1.53475405978056E-2</v>
      </c>
      <c r="AN85" s="255">
        <f t="shared" si="56"/>
        <v>1.534753954079217E-2</v>
      </c>
      <c r="AO85" s="254">
        <f t="shared" si="28"/>
        <v>0</v>
      </c>
      <c r="AP85" s="254">
        <f t="shared" si="45"/>
        <v>0</v>
      </c>
      <c r="AQ85" s="255">
        <f t="shared" si="29"/>
        <v>1.534753954079217E-2</v>
      </c>
      <c r="AR85" s="255">
        <f t="shared" si="57"/>
        <v>1.5347539398371019E-2</v>
      </c>
      <c r="AS85" s="254">
        <f t="shared" si="31"/>
        <v>0</v>
      </c>
      <c r="AT85" s="254">
        <f t="shared" si="46"/>
        <v>0</v>
      </c>
      <c r="AU85" s="255">
        <f t="shared" si="32"/>
        <v>1.5347539398371019E-2</v>
      </c>
      <c r="AV85" s="255">
        <f t="shared" si="58"/>
        <v>1.5347539388535785E-2</v>
      </c>
      <c r="AW85" s="256">
        <f t="shared" si="59"/>
        <v>1.5347539388535782E-2</v>
      </c>
      <c r="AX85" s="257">
        <f t="shared" si="35"/>
        <v>311470.80694357271</v>
      </c>
      <c r="BC85" s="244">
        <f t="shared" si="60"/>
        <v>0</v>
      </c>
      <c r="BD85" s="244">
        <f t="shared" si="60"/>
        <v>1</v>
      </c>
      <c r="BF85" s="236">
        <f t="shared" si="37"/>
        <v>1</v>
      </c>
    </row>
    <row r="86" spans="2:58" x14ac:dyDescent="0.25">
      <c r="B86" s="245">
        <f t="shared" si="0"/>
        <v>56</v>
      </c>
      <c r="C86" s="246" t="str">
        <f>IF('מודל תמיכה חלוקת 20,294,511 שח'!G58="","",'מודל תמיכה חלוקת 20,294,511 שח'!G58)</f>
        <v>מתוקים מדבש - מאור מאיר (ע"ר)</v>
      </c>
      <c r="D86" s="247">
        <f>IF(C86="","",'מודל תמיכה חלוקת 20,294,511 שח'!V58)</f>
        <v>0</v>
      </c>
      <c r="E86" s="248">
        <f t="shared" si="47"/>
        <v>0</v>
      </c>
      <c r="F86" s="249">
        <f>IF(C86="","",'מודל תמיכה חלוקת 20,294,511 שח'!W58)</f>
        <v>0</v>
      </c>
      <c r="G86" s="248">
        <f t="shared" si="48"/>
        <v>0</v>
      </c>
      <c r="H86" s="250">
        <v>1</v>
      </c>
      <c r="I86" s="251">
        <f t="shared" si="3"/>
        <v>0</v>
      </c>
      <c r="J86" s="252">
        <f t="shared" si="4"/>
        <v>0</v>
      </c>
      <c r="K86" s="253">
        <f t="shared" si="5"/>
        <v>0</v>
      </c>
      <c r="L86" s="253">
        <f t="shared" si="49"/>
        <v>0</v>
      </c>
      <c r="M86" s="254">
        <f t="shared" si="7"/>
        <v>0</v>
      </c>
      <c r="N86" s="254">
        <f t="shared" si="38"/>
        <v>0</v>
      </c>
      <c r="O86" s="255">
        <f t="shared" si="8"/>
        <v>0</v>
      </c>
      <c r="P86" s="255">
        <f t="shared" si="50"/>
        <v>0</v>
      </c>
      <c r="Q86" s="254">
        <f t="shared" si="10"/>
        <v>0</v>
      </c>
      <c r="R86" s="254">
        <f t="shared" si="39"/>
        <v>0</v>
      </c>
      <c r="S86" s="255">
        <f t="shared" si="11"/>
        <v>0</v>
      </c>
      <c r="T86" s="255">
        <f t="shared" si="51"/>
        <v>0</v>
      </c>
      <c r="U86" s="254">
        <f t="shared" si="13"/>
        <v>0</v>
      </c>
      <c r="V86" s="254">
        <f t="shared" si="40"/>
        <v>0</v>
      </c>
      <c r="W86" s="255">
        <f t="shared" si="14"/>
        <v>0</v>
      </c>
      <c r="X86" s="255">
        <f t="shared" si="52"/>
        <v>0</v>
      </c>
      <c r="Y86" s="254">
        <f t="shared" si="16"/>
        <v>0</v>
      </c>
      <c r="Z86" s="254">
        <f t="shared" si="41"/>
        <v>0</v>
      </c>
      <c r="AA86" s="255">
        <f t="shared" si="17"/>
        <v>0</v>
      </c>
      <c r="AB86" s="255">
        <f t="shared" si="53"/>
        <v>0</v>
      </c>
      <c r="AC86" s="254">
        <f t="shared" si="19"/>
        <v>0</v>
      </c>
      <c r="AD86" s="254">
        <f t="shared" si="42"/>
        <v>0</v>
      </c>
      <c r="AE86" s="255">
        <f t="shared" si="20"/>
        <v>0</v>
      </c>
      <c r="AF86" s="255">
        <f t="shared" si="54"/>
        <v>0</v>
      </c>
      <c r="AG86" s="254">
        <f t="shared" si="22"/>
        <v>0</v>
      </c>
      <c r="AH86" s="254">
        <f t="shared" si="43"/>
        <v>0</v>
      </c>
      <c r="AI86" s="255">
        <f t="shared" si="23"/>
        <v>0</v>
      </c>
      <c r="AJ86" s="255">
        <f t="shared" si="55"/>
        <v>0</v>
      </c>
      <c r="AK86" s="254">
        <f t="shared" si="25"/>
        <v>0</v>
      </c>
      <c r="AL86" s="254">
        <f t="shared" si="44"/>
        <v>0</v>
      </c>
      <c r="AM86" s="255">
        <f t="shared" si="26"/>
        <v>0</v>
      </c>
      <c r="AN86" s="255">
        <f t="shared" si="56"/>
        <v>0</v>
      </c>
      <c r="AO86" s="254">
        <f t="shared" si="28"/>
        <v>0</v>
      </c>
      <c r="AP86" s="254">
        <f t="shared" si="45"/>
        <v>0</v>
      </c>
      <c r="AQ86" s="255">
        <f t="shared" si="29"/>
        <v>0</v>
      </c>
      <c r="AR86" s="255">
        <f t="shared" si="57"/>
        <v>0</v>
      </c>
      <c r="AS86" s="254">
        <f t="shared" si="31"/>
        <v>0</v>
      </c>
      <c r="AT86" s="254">
        <f t="shared" si="46"/>
        <v>0</v>
      </c>
      <c r="AU86" s="255">
        <f t="shared" si="32"/>
        <v>0</v>
      </c>
      <c r="AV86" s="255">
        <f t="shared" si="58"/>
        <v>0</v>
      </c>
      <c r="AW86" s="256">
        <f t="shared" si="59"/>
        <v>0</v>
      </c>
      <c r="AX86" s="257">
        <f t="shared" si="35"/>
        <v>0</v>
      </c>
      <c r="BC86" s="244">
        <f t="shared" si="60"/>
        <v>0</v>
      </c>
      <c r="BD86" s="244">
        <f t="shared" si="60"/>
        <v>1</v>
      </c>
      <c r="BF86" s="236">
        <f t="shared" si="37"/>
        <v>1</v>
      </c>
    </row>
    <row r="87" spans="2:58" x14ac:dyDescent="0.25">
      <c r="B87" s="245">
        <f t="shared" si="0"/>
        <v>57</v>
      </c>
      <c r="C87" s="246" t="str">
        <f>IF('מודל תמיכה חלוקת 20,294,511 שח'!G59="","",'מודל תמיכה חלוקת 20,294,511 שח'!G59)</f>
        <v>סולמות - יהדות חינוך וחוויה (ע"ר)</v>
      </c>
      <c r="D87" s="247">
        <f>IF(C87="","",'מודל תמיכה חלוקת 20,294,511 שח'!V59)</f>
        <v>310270.49478804722</v>
      </c>
      <c r="E87" s="248">
        <f t="shared" si="47"/>
        <v>1.5288394718554553E-2</v>
      </c>
      <c r="F87" s="249">
        <f>IF(C87="","",'מודל תמיכה חלוקת 20,294,511 שח'!W59)</f>
        <v>368221</v>
      </c>
      <c r="G87" s="248">
        <f t="shared" si="48"/>
        <v>1.8328574165541189E-2</v>
      </c>
      <c r="H87" s="250">
        <v>1</v>
      </c>
      <c r="I87" s="251">
        <f t="shared" si="3"/>
        <v>0</v>
      </c>
      <c r="J87" s="252">
        <f t="shared" si="4"/>
        <v>0</v>
      </c>
      <c r="K87" s="253">
        <f t="shared" si="5"/>
        <v>1.5288394718554553E-2</v>
      </c>
      <c r="L87" s="253">
        <f t="shared" si="49"/>
        <v>1.5017594556607722E-2</v>
      </c>
      <c r="M87" s="254">
        <f t="shared" si="7"/>
        <v>0</v>
      </c>
      <c r="N87" s="254">
        <f t="shared" si="38"/>
        <v>0</v>
      </c>
      <c r="O87" s="255">
        <f t="shared" si="8"/>
        <v>1.5288394718554553E-2</v>
      </c>
      <c r="P87" s="255">
        <f t="shared" si="50"/>
        <v>1.5041404388994673E-2</v>
      </c>
      <c r="Q87" s="254">
        <f t="shared" si="10"/>
        <v>0</v>
      </c>
      <c r="R87" s="254">
        <f t="shared" si="39"/>
        <v>0</v>
      </c>
      <c r="S87" s="255">
        <f t="shared" si="11"/>
        <v>1.5288394718554553E-2</v>
      </c>
      <c r="T87" s="255">
        <f t="shared" si="51"/>
        <v>1.5024379013097191E-2</v>
      </c>
      <c r="U87" s="254">
        <f t="shared" si="13"/>
        <v>0</v>
      </c>
      <c r="V87" s="254">
        <f t="shared" si="40"/>
        <v>0</v>
      </c>
      <c r="W87" s="255">
        <f t="shared" si="14"/>
        <v>1.5024379013097191E-2</v>
      </c>
      <c r="X87" s="255">
        <f t="shared" si="52"/>
        <v>1.5008733862766655E-2</v>
      </c>
      <c r="Y87" s="254">
        <f t="shared" si="16"/>
        <v>0</v>
      </c>
      <c r="Z87" s="254">
        <f t="shared" si="41"/>
        <v>0</v>
      </c>
      <c r="AA87" s="255">
        <f t="shared" si="17"/>
        <v>1.5008733862766655E-2</v>
      </c>
      <c r="AB87" s="255">
        <f t="shared" si="53"/>
        <v>1.5006628338036265E-2</v>
      </c>
      <c r="AC87" s="254">
        <f t="shared" si="19"/>
        <v>0</v>
      </c>
      <c r="AD87" s="254">
        <f t="shared" si="42"/>
        <v>0</v>
      </c>
      <c r="AE87" s="255">
        <f t="shared" si="20"/>
        <v>1.5006628338036265E-2</v>
      </c>
      <c r="AF87" s="255">
        <f t="shared" si="54"/>
        <v>1.5006501262032908E-2</v>
      </c>
      <c r="AG87" s="254">
        <f t="shared" si="22"/>
        <v>0</v>
      </c>
      <c r="AH87" s="254">
        <f t="shared" si="43"/>
        <v>0</v>
      </c>
      <c r="AI87" s="255">
        <f t="shared" si="23"/>
        <v>1.5006501262032908E-2</v>
      </c>
      <c r="AJ87" s="255">
        <f t="shared" si="55"/>
        <v>1.5006484140076591E-2</v>
      </c>
      <c r="AK87" s="254">
        <f t="shared" si="25"/>
        <v>0</v>
      </c>
      <c r="AL87" s="254">
        <f t="shared" si="44"/>
        <v>0</v>
      </c>
      <c r="AM87" s="255">
        <f t="shared" si="26"/>
        <v>1.5006484140076591E-2</v>
      </c>
      <c r="AN87" s="255">
        <f t="shared" si="56"/>
        <v>1.500648310655235E-2</v>
      </c>
      <c r="AO87" s="254">
        <f t="shared" si="28"/>
        <v>0</v>
      </c>
      <c r="AP87" s="254">
        <f t="shared" si="45"/>
        <v>0</v>
      </c>
      <c r="AQ87" s="255">
        <f t="shared" si="29"/>
        <v>1.500648310655235E-2</v>
      </c>
      <c r="AR87" s="255">
        <f t="shared" si="57"/>
        <v>1.5006482967296113E-2</v>
      </c>
      <c r="AS87" s="254">
        <f t="shared" si="31"/>
        <v>0</v>
      </c>
      <c r="AT87" s="254">
        <f t="shared" si="46"/>
        <v>0</v>
      </c>
      <c r="AU87" s="255">
        <f t="shared" si="32"/>
        <v>1.5006482967296113E-2</v>
      </c>
      <c r="AV87" s="255">
        <f t="shared" si="58"/>
        <v>1.5006482957679439E-2</v>
      </c>
      <c r="AW87" s="256">
        <f t="shared" si="59"/>
        <v>1.5006482957679436E-2</v>
      </c>
      <c r="AX87" s="257">
        <f t="shared" si="35"/>
        <v>304549.23345593782</v>
      </c>
      <c r="BC87" s="244">
        <f t="shared" si="60"/>
        <v>0</v>
      </c>
      <c r="BD87" s="244">
        <f t="shared" si="60"/>
        <v>1</v>
      </c>
      <c r="BF87" s="236">
        <f t="shared" si="37"/>
        <v>1</v>
      </c>
    </row>
    <row r="88" spans="2:58" x14ac:dyDescent="0.25">
      <c r="B88" s="245">
        <f t="shared" si="0"/>
        <v>58</v>
      </c>
      <c r="C88" s="246" t="str">
        <f>IF('מודל תמיכה חלוקת 20,294,511 שח'!G60="","",'מודל תמיכה חלוקת 20,294,511 שח'!G60)</f>
        <v>עטרת ירושלים (ע"ר)</v>
      </c>
      <c r="D88" s="247">
        <f>IF(C88="","",'מודל תמיכה חלוקת 20,294,511 שח'!V60)</f>
        <v>232702.87109103543</v>
      </c>
      <c r="E88" s="248">
        <f t="shared" si="47"/>
        <v>1.1466296038915915E-2</v>
      </c>
      <c r="F88" s="249">
        <f>IF(C88="","",'מודל תמיכה חלוקת 20,294,511 שח'!W60)</f>
        <v>254000</v>
      </c>
      <c r="G88" s="248">
        <f t="shared" si="48"/>
        <v>1.2643107910867283E-2</v>
      </c>
      <c r="H88" s="250">
        <v>1</v>
      </c>
      <c r="I88" s="251">
        <f t="shared" si="3"/>
        <v>0</v>
      </c>
      <c r="J88" s="252">
        <f t="shared" si="4"/>
        <v>0</v>
      </c>
      <c r="K88" s="253">
        <f t="shared" si="5"/>
        <v>1.1466296038915915E-2</v>
      </c>
      <c r="L88" s="253">
        <f t="shared" si="49"/>
        <v>1.1263195917455792E-2</v>
      </c>
      <c r="M88" s="254">
        <f t="shared" si="7"/>
        <v>0</v>
      </c>
      <c r="N88" s="254">
        <f t="shared" si="38"/>
        <v>0</v>
      </c>
      <c r="O88" s="255">
        <f t="shared" si="8"/>
        <v>1.1466296038915915E-2</v>
      </c>
      <c r="P88" s="255">
        <f t="shared" si="50"/>
        <v>1.1281053291746003E-2</v>
      </c>
      <c r="Q88" s="254">
        <f t="shared" si="10"/>
        <v>0</v>
      </c>
      <c r="R88" s="254">
        <f t="shared" si="39"/>
        <v>0</v>
      </c>
      <c r="S88" s="255">
        <f t="shared" si="11"/>
        <v>1.1466296038915915E-2</v>
      </c>
      <c r="T88" s="255">
        <f t="shared" si="51"/>
        <v>1.1268284259822894E-2</v>
      </c>
      <c r="U88" s="254">
        <f t="shared" si="13"/>
        <v>0</v>
      </c>
      <c r="V88" s="254">
        <f t="shared" si="40"/>
        <v>0</v>
      </c>
      <c r="W88" s="255">
        <f t="shared" si="14"/>
        <v>1.1268284259822894E-2</v>
      </c>
      <c r="X88" s="255">
        <f t="shared" si="52"/>
        <v>1.1256550397074992E-2</v>
      </c>
      <c r="Y88" s="254">
        <f t="shared" si="16"/>
        <v>0</v>
      </c>
      <c r="Z88" s="254">
        <f t="shared" si="41"/>
        <v>0</v>
      </c>
      <c r="AA88" s="255">
        <f t="shared" si="17"/>
        <v>1.1256550397074992E-2</v>
      </c>
      <c r="AB88" s="255">
        <f t="shared" si="53"/>
        <v>1.1254971253527198E-2</v>
      </c>
      <c r="AC88" s="254">
        <f t="shared" si="19"/>
        <v>0</v>
      </c>
      <c r="AD88" s="254">
        <f t="shared" si="42"/>
        <v>0</v>
      </c>
      <c r="AE88" s="255">
        <f t="shared" si="20"/>
        <v>1.1254971253527198E-2</v>
      </c>
      <c r="AF88" s="255">
        <f t="shared" si="54"/>
        <v>1.1254875946524679E-2</v>
      </c>
      <c r="AG88" s="254">
        <f t="shared" si="22"/>
        <v>0</v>
      </c>
      <c r="AH88" s="254">
        <f t="shared" si="43"/>
        <v>0</v>
      </c>
      <c r="AI88" s="255">
        <f t="shared" si="23"/>
        <v>1.1254875946524679E-2</v>
      </c>
      <c r="AJ88" s="255">
        <f t="shared" si="55"/>
        <v>1.1254863105057441E-2</v>
      </c>
      <c r="AK88" s="254">
        <f t="shared" si="25"/>
        <v>0</v>
      </c>
      <c r="AL88" s="254">
        <f t="shared" si="44"/>
        <v>0</v>
      </c>
      <c r="AM88" s="255">
        <f t="shared" si="26"/>
        <v>1.1254863105057441E-2</v>
      </c>
      <c r="AN88" s="255">
        <f t="shared" si="56"/>
        <v>1.125486232991426E-2</v>
      </c>
      <c r="AO88" s="254">
        <f t="shared" si="28"/>
        <v>0</v>
      </c>
      <c r="AP88" s="254">
        <f t="shared" si="45"/>
        <v>0</v>
      </c>
      <c r="AQ88" s="255">
        <f t="shared" si="29"/>
        <v>1.125486232991426E-2</v>
      </c>
      <c r="AR88" s="255">
        <f t="shared" si="57"/>
        <v>1.1254862225472083E-2</v>
      </c>
      <c r="AS88" s="254">
        <f t="shared" si="31"/>
        <v>0</v>
      </c>
      <c r="AT88" s="254">
        <f t="shared" si="46"/>
        <v>0</v>
      </c>
      <c r="AU88" s="255">
        <f t="shared" si="32"/>
        <v>1.1254862225472083E-2</v>
      </c>
      <c r="AV88" s="255">
        <f t="shared" si="58"/>
        <v>1.1254862218259578E-2</v>
      </c>
      <c r="AW88" s="256">
        <f t="shared" si="59"/>
        <v>1.1254862218259576E-2</v>
      </c>
      <c r="AX88" s="257">
        <f t="shared" si="35"/>
        <v>228411.92509195337</v>
      </c>
      <c r="BC88" s="244">
        <f t="shared" si="60"/>
        <v>0</v>
      </c>
      <c r="BD88" s="244">
        <f t="shared" si="60"/>
        <v>1</v>
      </c>
      <c r="BF88" s="236">
        <f t="shared" si="37"/>
        <v>1</v>
      </c>
    </row>
    <row r="89" spans="2:58" x14ac:dyDescent="0.25">
      <c r="B89" s="245">
        <f t="shared" si="0"/>
        <v>59</v>
      </c>
      <c r="C89" s="246" t="str">
        <f>IF('מודל תמיכה חלוקת 20,294,511 שח'!G61="","",'מודל תמיכה חלוקת 20,294,511 שח'!G61)</f>
        <v>עמותת המכון הישראלי לפרסומים תלמודיים</v>
      </c>
      <c r="D89" s="247">
        <f>IF(C89="","",'מודל תמיכה חלוקת 20,294,511 שח'!V61)</f>
        <v>486560.54864489235</v>
      </c>
      <c r="E89" s="248">
        <f t="shared" si="47"/>
        <v>2.3974982626824192E-2</v>
      </c>
      <c r="F89" s="249">
        <f>IF(C89="","",'מודל תמיכה חלוקת 20,294,511 שח'!W61)</f>
        <v>375440</v>
      </c>
      <c r="G89" s="248">
        <f t="shared" si="48"/>
        <v>1.8687907220692964E-2</v>
      </c>
      <c r="H89" s="250">
        <v>1</v>
      </c>
      <c r="I89" s="251">
        <f t="shared" si="3"/>
        <v>0</v>
      </c>
      <c r="J89" s="252">
        <f t="shared" si="4"/>
        <v>0</v>
      </c>
      <c r="K89" s="253">
        <f t="shared" si="5"/>
        <v>2.3974982626824192E-2</v>
      </c>
      <c r="L89" s="253">
        <f t="shared" si="49"/>
        <v>2.3550318736498481E-2</v>
      </c>
      <c r="M89" s="254">
        <f t="shared" si="7"/>
        <v>0</v>
      </c>
      <c r="N89" s="254">
        <f t="shared" si="38"/>
        <v>0</v>
      </c>
      <c r="O89" s="255">
        <f t="shared" si="8"/>
        <v>2.3974982626824192E-2</v>
      </c>
      <c r="P89" s="255">
        <f t="shared" si="50"/>
        <v>2.3587656882741649E-2</v>
      </c>
      <c r="Q89" s="254">
        <f t="shared" si="10"/>
        <v>0</v>
      </c>
      <c r="R89" s="254">
        <f t="shared" si="39"/>
        <v>0</v>
      </c>
      <c r="S89" s="255">
        <f t="shared" si="11"/>
        <v>2.3974982626824192E-2</v>
      </c>
      <c r="T89" s="255">
        <f t="shared" si="51"/>
        <v>2.3560957997811511E-2</v>
      </c>
      <c r="U89" s="254">
        <f t="shared" si="13"/>
        <v>0</v>
      </c>
      <c r="V89" s="254">
        <f t="shared" si="40"/>
        <v>0</v>
      </c>
      <c r="W89" s="255">
        <f t="shared" si="14"/>
        <v>2.3560957997811511E-2</v>
      </c>
      <c r="X89" s="255">
        <f t="shared" si="52"/>
        <v>2.3536423557520444E-2</v>
      </c>
      <c r="Y89" s="254">
        <f t="shared" si="16"/>
        <v>0</v>
      </c>
      <c r="Z89" s="254">
        <f t="shared" si="41"/>
        <v>0</v>
      </c>
      <c r="AA89" s="255">
        <f t="shared" si="17"/>
        <v>2.3536423557520444E-2</v>
      </c>
      <c r="AB89" s="255">
        <f t="shared" si="53"/>
        <v>2.3533121711920513E-2</v>
      </c>
      <c r="AC89" s="254">
        <f t="shared" si="19"/>
        <v>0</v>
      </c>
      <c r="AD89" s="254">
        <f t="shared" si="42"/>
        <v>0</v>
      </c>
      <c r="AE89" s="255">
        <f t="shared" si="20"/>
        <v>2.3533121711920513E-2</v>
      </c>
      <c r="AF89" s="255">
        <f t="shared" si="54"/>
        <v>2.3532922433642519E-2</v>
      </c>
      <c r="AG89" s="254">
        <f t="shared" si="22"/>
        <v>0</v>
      </c>
      <c r="AH89" s="254">
        <f t="shared" si="43"/>
        <v>0</v>
      </c>
      <c r="AI89" s="255">
        <f t="shared" si="23"/>
        <v>2.3532922433642519E-2</v>
      </c>
      <c r="AJ89" s="255">
        <f t="shared" si="55"/>
        <v>2.3532895583301929E-2</v>
      </c>
      <c r="AK89" s="254">
        <f t="shared" si="25"/>
        <v>0</v>
      </c>
      <c r="AL89" s="254">
        <f t="shared" si="44"/>
        <v>0</v>
      </c>
      <c r="AM89" s="255">
        <f t="shared" si="26"/>
        <v>2.3532895583301929E-2</v>
      </c>
      <c r="AN89" s="255">
        <f t="shared" si="56"/>
        <v>2.3532893962548006E-2</v>
      </c>
      <c r="AO89" s="254">
        <f t="shared" si="28"/>
        <v>0</v>
      </c>
      <c r="AP89" s="254">
        <f t="shared" si="45"/>
        <v>0</v>
      </c>
      <c r="AQ89" s="255">
        <f t="shared" si="29"/>
        <v>2.3532893962548006E-2</v>
      </c>
      <c r="AR89" s="255">
        <f t="shared" si="57"/>
        <v>2.353289374416891E-2</v>
      </c>
      <c r="AS89" s="254">
        <f t="shared" si="31"/>
        <v>0</v>
      </c>
      <c r="AT89" s="254">
        <f t="shared" si="46"/>
        <v>0</v>
      </c>
      <c r="AU89" s="255">
        <f t="shared" si="32"/>
        <v>2.353289374416891E-2</v>
      </c>
      <c r="AV89" s="255">
        <f t="shared" si="58"/>
        <v>2.353289372908822E-2</v>
      </c>
      <c r="AW89" s="256">
        <f t="shared" si="59"/>
        <v>2.3532893729088213E-2</v>
      </c>
      <c r="AX89" s="257">
        <f t="shared" si="35"/>
        <v>477588.57064681174</v>
      </c>
      <c r="BC89" s="244">
        <f t="shared" si="60"/>
        <v>0</v>
      </c>
      <c r="BD89" s="244">
        <f t="shared" si="60"/>
        <v>1</v>
      </c>
      <c r="BF89" s="236">
        <f t="shared" si="37"/>
        <v>1</v>
      </c>
    </row>
    <row r="90" spans="2:58" x14ac:dyDescent="0.25">
      <c r="B90" s="245">
        <f t="shared" si="0"/>
        <v>60</v>
      </c>
      <c r="C90" s="246" t="str">
        <f>IF('מודל תמיכה חלוקת 20,294,511 שח'!G62="","",'מודל תמיכה חלוקת 20,294,511 שח'!G62)</f>
        <v>צומת-צוותי מדע ותורה</v>
      </c>
      <c r="D90" s="247">
        <f>IF(C90="","",'מודל תמיכה חלוקת 20,294,511 שח'!V62)</f>
        <v>408992.92494788044</v>
      </c>
      <c r="E90" s="248">
        <f t="shared" si="47"/>
        <v>2.0152883947185549E-2</v>
      </c>
      <c r="F90" s="249">
        <f>IF(C90="","",'מודל תמיכה חלוקת 20,294,511 שח'!W62)</f>
        <v>380358</v>
      </c>
      <c r="G90" s="248">
        <f t="shared" si="48"/>
        <v>1.8932705664415978E-2</v>
      </c>
      <c r="H90" s="250">
        <v>1</v>
      </c>
      <c r="I90" s="251">
        <f t="shared" si="3"/>
        <v>0</v>
      </c>
      <c r="J90" s="252">
        <f t="shared" si="4"/>
        <v>0</v>
      </c>
      <c r="K90" s="253">
        <f t="shared" si="5"/>
        <v>2.0152883947185549E-2</v>
      </c>
      <c r="L90" s="253">
        <f t="shared" si="49"/>
        <v>1.9795920097346546E-2</v>
      </c>
      <c r="M90" s="254">
        <f t="shared" si="7"/>
        <v>0</v>
      </c>
      <c r="N90" s="254">
        <f t="shared" si="38"/>
        <v>0</v>
      </c>
      <c r="O90" s="255">
        <f t="shared" si="8"/>
        <v>2.0152883947185549E-2</v>
      </c>
      <c r="P90" s="255">
        <f t="shared" si="50"/>
        <v>1.9827305785492976E-2</v>
      </c>
      <c r="Q90" s="254">
        <f t="shared" si="10"/>
        <v>0</v>
      </c>
      <c r="R90" s="254">
        <f t="shared" si="39"/>
        <v>0</v>
      </c>
      <c r="S90" s="255">
        <f t="shared" si="11"/>
        <v>2.0152883947185549E-2</v>
      </c>
      <c r="T90" s="255">
        <f t="shared" si="51"/>
        <v>1.9804863244537209E-2</v>
      </c>
      <c r="U90" s="254">
        <f t="shared" si="13"/>
        <v>0</v>
      </c>
      <c r="V90" s="254">
        <f t="shared" si="40"/>
        <v>0</v>
      </c>
      <c r="W90" s="255">
        <f t="shared" si="14"/>
        <v>1.9804863244537209E-2</v>
      </c>
      <c r="X90" s="255">
        <f t="shared" si="52"/>
        <v>1.9784240091828775E-2</v>
      </c>
      <c r="Y90" s="254">
        <f t="shared" si="16"/>
        <v>0</v>
      </c>
      <c r="Z90" s="254">
        <f t="shared" si="41"/>
        <v>0</v>
      </c>
      <c r="AA90" s="255">
        <f t="shared" si="17"/>
        <v>1.9784240091828775E-2</v>
      </c>
      <c r="AB90" s="255">
        <f t="shared" si="53"/>
        <v>1.9781464627411441E-2</v>
      </c>
      <c r="AC90" s="254">
        <f t="shared" si="19"/>
        <v>0</v>
      </c>
      <c r="AD90" s="254">
        <f t="shared" si="42"/>
        <v>0</v>
      </c>
      <c r="AE90" s="255">
        <f t="shared" si="20"/>
        <v>1.9781464627411441E-2</v>
      </c>
      <c r="AF90" s="255">
        <f t="shared" si="54"/>
        <v>1.9781297118134287E-2</v>
      </c>
      <c r="AG90" s="254">
        <f t="shared" si="22"/>
        <v>0</v>
      </c>
      <c r="AH90" s="254">
        <f t="shared" si="43"/>
        <v>0</v>
      </c>
      <c r="AI90" s="255">
        <f t="shared" si="23"/>
        <v>1.9781297118134287E-2</v>
      </c>
      <c r="AJ90" s="255">
        <f t="shared" si="55"/>
        <v>1.9781274548282778E-2</v>
      </c>
      <c r="AK90" s="254">
        <f t="shared" si="25"/>
        <v>0</v>
      </c>
      <c r="AL90" s="254">
        <f t="shared" si="44"/>
        <v>0</v>
      </c>
      <c r="AM90" s="255">
        <f t="shared" si="26"/>
        <v>1.9781274548282778E-2</v>
      </c>
      <c r="AN90" s="255">
        <f t="shared" si="56"/>
        <v>1.9781273185909914E-2</v>
      </c>
      <c r="AO90" s="254">
        <f t="shared" si="28"/>
        <v>0</v>
      </c>
      <c r="AP90" s="254">
        <f t="shared" si="45"/>
        <v>0</v>
      </c>
      <c r="AQ90" s="255">
        <f t="shared" si="29"/>
        <v>1.9781273185909914E-2</v>
      </c>
      <c r="AR90" s="255">
        <f t="shared" si="57"/>
        <v>1.9781273002344876E-2</v>
      </c>
      <c r="AS90" s="254">
        <f t="shared" si="31"/>
        <v>0</v>
      </c>
      <c r="AT90" s="254">
        <f t="shared" si="46"/>
        <v>0</v>
      </c>
      <c r="AU90" s="255">
        <f t="shared" si="32"/>
        <v>1.9781273002344876E-2</v>
      </c>
      <c r="AV90" s="255">
        <f t="shared" si="58"/>
        <v>1.9781272989668353E-2</v>
      </c>
      <c r="AW90" s="256">
        <f t="shared" si="59"/>
        <v>1.978127298966835E-2</v>
      </c>
      <c r="AX90" s="257">
        <f t="shared" si="35"/>
        <v>401451.26228282723</v>
      </c>
      <c r="BC90" s="244">
        <f t="shared" si="60"/>
        <v>0</v>
      </c>
      <c r="BD90" s="244">
        <f t="shared" si="60"/>
        <v>1</v>
      </c>
      <c r="BF90" s="236">
        <f t="shared" si="37"/>
        <v>1</v>
      </c>
    </row>
    <row r="91" spans="2:58" x14ac:dyDescent="0.25">
      <c r="B91" s="245">
        <f t="shared" si="0"/>
        <v>61</v>
      </c>
      <c r="C91" s="246" t="str">
        <f>IF('מודל תמיכה חלוקת 20,294,511 שח'!G63="","",'מודל תמיכה חלוקת 20,294,511 שח'!G63)</f>
        <v>קרן מורשת ספרד והמזרח (ע"ר)</v>
      </c>
      <c r="D91" s="247">
        <f>IF(C91="","",'מודל תמיכה חלוקת 20,294,511 שח'!V63)</f>
        <v>0</v>
      </c>
      <c r="E91" s="248">
        <f t="shared" si="47"/>
        <v>0</v>
      </c>
      <c r="F91" s="249">
        <f>IF(C91="","",'מודל תמיכה חלוקת 20,294,511 שח'!W63)</f>
        <v>0</v>
      </c>
      <c r="G91" s="248">
        <f t="shared" si="48"/>
        <v>0</v>
      </c>
      <c r="H91" s="250">
        <v>1</v>
      </c>
      <c r="I91" s="251">
        <f t="shared" si="3"/>
        <v>0</v>
      </c>
      <c r="J91" s="252">
        <f t="shared" si="4"/>
        <v>0</v>
      </c>
      <c r="K91" s="253">
        <f t="shared" si="5"/>
        <v>0</v>
      </c>
      <c r="L91" s="253">
        <f t="shared" si="49"/>
        <v>0</v>
      </c>
      <c r="M91" s="254">
        <f t="shared" si="7"/>
        <v>0</v>
      </c>
      <c r="N91" s="254">
        <f t="shared" si="38"/>
        <v>0</v>
      </c>
      <c r="O91" s="255">
        <f t="shared" si="8"/>
        <v>0</v>
      </c>
      <c r="P91" s="255">
        <f t="shared" si="50"/>
        <v>0</v>
      </c>
      <c r="Q91" s="254">
        <f t="shared" si="10"/>
        <v>0</v>
      </c>
      <c r="R91" s="254">
        <f t="shared" si="39"/>
        <v>0</v>
      </c>
      <c r="S91" s="255">
        <f t="shared" si="11"/>
        <v>0</v>
      </c>
      <c r="T91" s="255">
        <f t="shared" si="51"/>
        <v>0</v>
      </c>
      <c r="U91" s="254">
        <f t="shared" si="13"/>
        <v>0</v>
      </c>
      <c r="V91" s="254">
        <f t="shared" si="40"/>
        <v>0</v>
      </c>
      <c r="W91" s="255">
        <f t="shared" si="14"/>
        <v>0</v>
      </c>
      <c r="X91" s="255">
        <f t="shared" si="52"/>
        <v>0</v>
      </c>
      <c r="Y91" s="254">
        <f t="shared" si="16"/>
        <v>0</v>
      </c>
      <c r="Z91" s="254">
        <f t="shared" si="41"/>
        <v>0</v>
      </c>
      <c r="AA91" s="255">
        <f t="shared" si="17"/>
        <v>0</v>
      </c>
      <c r="AB91" s="255">
        <f t="shared" si="53"/>
        <v>0</v>
      </c>
      <c r="AC91" s="254">
        <f t="shared" si="19"/>
        <v>0</v>
      </c>
      <c r="AD91" s="254">
        <f t="shared" si="42"/>
        <v>0</v>
      </c>
      <c r="AE91" s="255">
        <f t="shared" si="20"/>
        <v>0</v>
      </c>
      <c r="AF91" s="255">
        <f t="shared" si="54"/>
        <v>0</v>
      </c>
      <c r="AG91" s="254">
        <f t="shared" si="22"/>
        <v>0</v>
      </c>
      <c r="AH91" s="254">
        <f t="shared" si="43"/>
        <v>0</v>
      </c>
      <c r="AI91" s="255">
        <f t="shared" si="23"/>
        <v>0</v>
      </c>
      <c r="AJ91" s="255">
        <f t="shared" si="55"/>
        <v>0</v>
      </c>
      <c r="AK91" s="254">
        <f t="shared" si="25"/>
        <v>0</v>
      </c>
      <c r="AL91" s="254">
        <f t="shared" si="44"/>
        <v>0</v>
      </c>
      <c r="AM91" s="255">
        <f t="shared" si="26"/>
        <v>0</v>
      </c>
      <c r="AN91" s="255">
        <f t="shared" si="56"/>
        <v>0</v>
      </c>
      <c r="AO91" s="254">
        <f t="shared" si="28"/>
        <v>0</v>
      </c>
      <c r="AP91" s="254">
        <f t="shared" si="45"/>
        <v>0</v>
      </c>
      <c r="AQ91" s="255">
        <f t="shared" si="29"/>
        <v>0</v>
      </c>
      <c r="AR91" s="255">
        <f t="shared" si="57"/>
        <v>0</v>
      </c>
      <c r="AS91" s="254">
        <f t="shared" si="31"/>
        <v>0</v>
      </c>
      <c r="AT91" s="254">
        <f t="shared" si="46"/>
        <v>0</v>
      </c>
      <c r="AU91" s="255">
        <f t="shared" si="32"/>
        <v>0</v>
      </c>
      <c r="AV91" s="255">
        <f t="shared" si="58"/>
        <v>0</v>
      </c>
      <c r="AW91" s="256">
        <f t="shared" si="59"/>
        <v>0</v>
      </c>
      <c r="AX91" s="257">
        <f t="shared" si="35"/>
        <v>0</v>
      </c>
      <c r="BC91" s="244">
        <f t="shared" si="60"/>
        <v>0</v>
      </c>
      <c r="BD91" s="244">
        <f t="shared" si="60"/>
        <v>1</v>
      </c>
      <c r="BF91" s="236">
        <f t="shared" si="37"/>
        <v>1</v>
      </c>
    </row>
    <row r="92" spans="2:58" x14ac:dyDescent="0.25">
      <c r="B92" s="245">
        <f t="shared" si="0"/>
        <v>62</v>
      </c>
      <c r="C92" s="246" t="str">
        <f>IF('מודל תמיכה חלוקת 20,294,511 שח'!G64="","",'מודל תמיכה חלוקת 20,294,511 שח'!G64)</f>
        <v>רשת כוללים ומוסדות תורה בן מלך (ע"ר</v>
      </c>
      <c r="D92" s="247">
        <f>IF(C92="","",'מודל תמיכה חלוקת 20,294,511 שח'!V64)</f>
        <v>267960.88186240447</v>
      </c>
      <c r="E92" s="248">
        <f t="shared" si="47"/>
        <v>1.3203613620569843E-2</v>
      </c>
      <c r="F92" s="249">
        <f>IF(C92="","",'מודל תמיכה חלוקת 20,294,511 שח'!W64)</f>
        <v>425981</v>
      </c>
      <c r="G92" s="248">
        <f t="shared" si="48"/>
        <v>2.1203636814878569E-2</v>
      </c>
      <c r="H92" s="250">
        <v>1</v>
      </c>
      <c r="I92" s="251">
        <f t="shared" si="3"/>
        <v>1</v>
      </c>
      <c r="J92" s="252">
        <f t="shared" si="4"/>
        <v>1</v>
      </c>
      <c r="K92" s="253">
        <f t="shared" si="5"/>
        <v>1.6962909451902857E-2</v>
      </c>
      <c r="L92" s="253">
        <f t="shared" si="49"/>
        <v>1.6962909451902857E-2</v>
      </c>
      <c r="M92" s="254">
        <f t="shared" si="7"/>
        <v>0</v>
      </c>
      <c r="N92" s="254">
        <f t="shared" si="38"/>
        <v>0</v>
      </c>
      <c r="O92" s="255">
        <f t="shared" si="8"/>
        <v>1.6962909451902857E-2</v>
      </c>
      <c r="P92" s="255">
        <f t="shared" si="50"/>
        <v>1.6688866645385363E-2</v>
      </c>
      <c r="Q92" s="254">
        <f t="shared" si="10"/>
        <v>1</v>
      </c>
      <c r="R92" s="254">
        <f t="shared" si="39"/>
        <v>1</v>
      </c>
      <c r="S92" s="255">
        <f t="shared" si="11"/>
        <v>1.6962909451902857E-2</v>
      </c>
      <c r="T92" s="255">
        <f t="shared" si="51"/>
        <v>1.6962909451902857E-2</v>
      </c>
      <c r="U92" s="254">
        <f t="shared" si="13"/>
        <v>0</v>
      </c>
      <c r="V92" s="254">
        <f t="shared" si="40"/>
        <v>0</v>
      </c>
      <c r="W92" s="255">
        <f t="shared" si="14"/>
        <v>1.6962909451902857E-2</v>
      </c>
      <c r="X92" s="255">
        <f t="shared" si="52"/>
        <v>1.6945245675703727E-2</v>
      </c>
      <c r="Y92" s="254">
        <f t="shared" si="16"/>
        <v>1</v>
      </c>
      <c r="Z92" s="254">
        <f t="shared" si="41"/>
        <v>1</v>
      </c>
      <c r="AA92" s="255">
        <f t="shared" si="17"/>
        <v>1.6962909451902857E-2</v>
      </c>
      <c r="AB92" s="255">
        <f t="shared" si="53"/>
        <v>1.6962909451902857E-2</v>
      </c>
      <c r="AC92" s="254">
        <f t="shared" si="19"/>
        <v>0</v>
      </c>
      <c r="AD92" s="254">
        <f t="shared" si="42"/>
        <v>0</v>
      </c>
      <c r="AE92" s="255">
        <f t="shared" si="20"/>
        <v>1.6962909451902857E-2</v>
      </c>
      <c r="AF92" s="255">
        <f t="shared" si="54"/>
        <v>1.6962765810127373E-2</v>
      </c>
      <c r="AG92" s="254">
        <f t="shared" si="22"/>
        <v>1</v>
      </c>
      <c r="AH92" s="254">
        <f t="shared" si="43"/>
        <v>1</v>
      </c>
      <c r="AI92" s="255">
        <f t="shared" si="23"/>
        <v>1.6962909451902857E-2</v>
      </c>
      <c r="AJ92" s="255">
        <f t="shared" si="55"/>
        <v>1.6962909451902857E-2</v>
      </c>
      <c r="AK92" s="254">
        <f t="shared" si="25"/>
        <v>0</v>
      </c>
      <c r="AL92" s="254">
        <f t="shared" si="44"/>
        <v>0</v>
      </c>
      <c r="AM92" s="255">
        <f t="shared" si="26"/>
        <v>1.6962909451902857E-2</v>
      </c>
      <c r="AN92" s="255">
        <f t="shared" si="56"/>
        <v>1.6962908283635995E-2</v>
      </c>
      <c r="AO92" s="254">
        <f t="shared" si="28"/>
        <v>1</v>
      </c>
      <c r="AP92" s="254">
        <f t="shared" si="45"/>
        <v>1</v>
      </c>
      <c r="AQ92" s="255">
        <f t="shared" si="29"/>
        <v>1.6962909451902857E-2</v>
      </c>
      <c r="AR92" s="255">
        <f t="shared" si="57"/>
        <v>1.6962909451902857E-2</v>
      </c>
      <c r="AS92" s="254">
        <f t="shared" si="31"/>
        <v>1</v>
      </c>
      <c r="AT92" s="254">
        <f t="shared" si="46"/>
        <v>1</v>
      </c>
      <c r="AU92" s="255">
        <f t="shared" si="32"/>
        <v>1.6962909451902857E-2</v>
      </c>
      <c r="AV92" s="255">
        <f t="shared" si="58"/>
        <v>1.6962909451902857E-2</v>
      </c>
      <c r="AW92" s="256">
        <f t="shared" si="59"/>
        <v>1.6962909451902854E-2</v>
      </c>
      <c r="AX92" s="257">
        <f t="shared" si="35"/>
        <v>344253.95246364642</v>
      </c>
      <c r="BC92" s="244">
        <f t="shared" si="60"/>
        <v>0</v>
      </c>
      <c r="BD92" s="244">
        <f t="shared" si="60"/>
        <v>1</v>
      </c>
      <c r="BF92" s="236">
        <f t="shared" si="37"/>
        <v>1</v>
      </c>
    </row>
    <row r="93" spans="2:58" x14ac:dyDescent="0.25">
      <c r="B93" s="245">
        <f t="shared" si="0"/>
        <v>63</v>
      </c>
      <c r="C93" s="246" t="str">
        <f>IF('מודל תמיכה חלוקת 20,294,511 שח'!G65="","",'מודל תמיכה חלוקת 20,294,511 שח'!G65)</f>
        <v>שערי ציון להפצת היהדות ברוח הציונות</v>
      </c>
      <c r="D93" s="247">
        <f>IF(C93="","",'מודל תמיכה חלוקת 20,294,511 שח'!V65)</f>
        <v>0</v>
      </c>
      <c r="E93" s="248">
        <f t="shared" si="47"/>
        <v>0</v>
      </c>
      <c r="F93" s="249">
        <f>IF(C93="","",'מודל תמיכה חלוקת 20,294,511 שח'!W65)</f>
        <v>0</v>
      </c>
      <c r="G93" s="248">
        <f t="shared" si="48"/>
        <v>0</v>
      </c>
      <c r="H93" s="250">
        <v>1</v>
      </c>
      <c r="I93" s="251">
        <f t="shared" si="3"/>
        <v>0</v>
      </c>
      <c r="J93" s="252">
        <f t="shared" si="4"/>
        <v>0</v>
      </c>
      <c r="K93" s="253">
        <f t="shared" si="5"/>
        <v>0</v>
      </c>
      <c r="L93" s="253">
        <f t="shared" si="49"/>
        <v>0</v>
      </c>
      <c r="M93" s="254">
        <f t="shared" si="7"/>
        <v>0</v>
      </c>
      <c r="N93" s="254">
        <f t="shared" si="38"/>
        <v>0</v>
      </c>
      <c r="O93" s="255">
        <f t="shared" si="8"/>
        <v>0</v>
      </c>
      <c r="P93" s="255">
        <f t="shared" si="50"/>
        <v>0</v>
      </c>
      <c r="Q93" s="254">
        <f t="shared" si="10"/>
        <v>0</v>
      </c>
      <c r="R93" s="254">
        <f t="shared" si="39"/>
        <v>0</v>
      </c>
      <c r="S93" s="255">
        <f t="shared" si="11"/>
        <v>0</v>
      </c>
      <c r="T93" s="255">
        <f t="shared" si="51"/>
        <v>0</v>
      </c>
      <c r="U93" s="254">
        <f t="shared" si="13"/>
        <v>0</v>
      </c>
      <c r="V93" s="254">
        <f t="shared" si="40"/>
        <v>0</v>
      </c>
      <c r="W93" s="255">
        <f t="shared" si="14"/>
        <v>0</v>
      </c>
      <c r="X93" s="255">
        <f t="shared" si="52"/>
        <v>0</v>
      </c>
      <c r="Y93" s="254">
        <f t="shared" si="16"/>
        <v>0</v>
      </c>
      <c r="Z93" s="254">
        <f t="shared" si="41"/>
        <v>0</v>
      </c>
      <c r="AA93" s="255">
        <f t="shared" si="17"/>
        <v>0</v>
      </c>
      <c r="AB93" s="255">
        <f t="shared" si="53"/>
        <v>0</v>
      </c>
      <c r="AC93" s="254">
        <f t="shared" si="19"/>
        <v>0</v>
      </c>
      <c r="AD93" s="254">
        <f t="shared" si="42"/>
        <v>0</v>
      </c>
      <c r="AE93" s="255">
        <f t="shared" si="20"/>
        <v>0</v>
      </c>
      <c r="AF93" s="255">
        <f t="shared" si="54"/>
        <v>0</v>
      </c>
      <c r="AG93" s="254">
        <f t="shared" si="22"/>
        <v>0</v>
      </c>
      <c r="AH93" s="254">
        <f t="shared" si="43"/>
        <v>0</v>
      </c>
      <c r="AI93" s="255">
        <f t="shared" si="23"/>
        <v>0</v>
      </c>
      <c r="AJ93" s="255">
        <f t="shared" si="55"/>
        <v>0</v>
      </c>
      <c r="AK93" s="254">
        <f t="shared" si="25"/>
        <v>0</v>
      </c>
      <c r="AL93" s="254">
        <f t="shared" si="44"/>
        <v>0</v>
      </c>
      <c r="AM93" s="255">
        <f t="shared" si="26"/>
        <v>0</v>
      </c>
      <c r="AN93" s="255">
        <f t="shared" si="56"/>
        <v>0</v>
      </c>
      <c r="AO93" s="254">
        <f t="shared" si="28"/>
        <v>0</v>
      </c>
      <c r="AP93" s="254">
        <f t="shared" si="45"/>
        <v>0</v>
      </c>
      <c r="AQ93" s="255">
        <f t="shared" si="29"/>
        <v>0</v>
      </c>
      <c r="AR93" s="255">
        <f t="shared" si="57"/>
        <v>0</v>
      </c>
      <c r="AS93" s="254">
        <f t="shared" si="31"/>
        <v>0</v>
      </c>
      <c r="AT93" s="254">
        <f t="shared" si="46"/>
        <v>0</v>
      </c>
      <c r="AU93" s="255">
        <f t="shared" si="32"/>
        <v>0</v>
      </c>
      <c r="AV93" s="255">
        <f t="shared" si="58"/>
        <v>0</v>
      </c>
      <c r="AW93" s="256">
        <f t="shared" si="59"/>
        <v>0</v>
      </c>
      <c r="AX93" s="257">
        <f t="shared" si="35"/>
        <v>0</v>
      </c>
      <c r="BC93" s="244">
        <f t="shared" si="60"/>
        <v>0</v>
      </c>
      <c r="BD93" s="244">
        <f t="shared" si="60"/>
        <v>1</v>
      </c>
      <c r="BF93" s="236">
        <f t="shared" si="37"/>
        <v>1</v>
      </c>
    </row>
    <row r="94" spans="2:58" x14ac:dyDescent="0.25">
      <c r="B94" s="245">
        <f t="shared" si="0"/>
        <v>64</v>
      </c>
      <c r="C94" s="246" t="str">
        <f>IF('מודל תמיכה חלוקת 20,294,511 שח'!G66="","",'מודל תמיכה חלוקת 20,294,511 שח'!G66)</f>
        <v>תורה ומדינה - מכון מחקר (ע"ר) (לשעבר 'שיחת דקלים')</v>
      </c>
      <c r="D94" s="247">
        <f>IF(C94="","",'מודל תמיכה חלוקת 20,294,511 שח'!V66)</f>
        <v>310270.49478804722</v>
      </c>
      <c r="E94" s="248">
        <f t="shared" si="47"/>
        <v>1.5288394718554553E-2</v>
      </c>
      <c r="F94" s="249">
        <f>IF(C94="","",'מודל תמיכה חלוקת 20,294,511 שח'!W66)</f>
        <v>288800</v>
      </c>
      <c r="G94" s="248">
        <f t="shared" si="48"/>
        <v>1.4375313246686896E-2</v>
      </c>
      <c r="H94" s="250">
        <v>1</v>
      </c>
      <c r="I94" s="251">
        <f t="shared" si="3"/>
        <v>0</v>
      </c>
      <c r="J94" s="252">
        <f t="shared" si="4"/>
        <v>0</v>
      </c>
      <c r="K94" s="253">
        <f t="shared" si="5"/>
        <v>1.5288394718554553E-2</v>
      </c>
      <c r="L94" s="253">
        <f t="shared" si="49"/>
        <v>1.5017594556607722E-2</v>
      </c>
      <c r="M94" s="254">
        <f t="shared" si="7"/>
        <v>0</v>
      </c>
      <c r="N94" s="254">
        <f t="shared" si="38"/>
        <v>0</v>
      </c>
      <c r="O94" s="255">
        <f t="shared" si="8"/>
        <v>1.5288394718554553E-2</v>
      </c>
      <c r="P94" s="255">
        <f t="shared" si="50"/>
        <v>1.5041404388994673E-2</v>
      </c>
      <c r="Q94" s="254">
        <f t="shared" si="10"/>
        <v>0</v>
      </c>
      <c r="R94" s="254">
        <f t="shared" si="39"/>
        <v>0</v>
      </c>
      <c r="S94" s="255">
        <f t="shared" si="11"/>
        <v>1.5288394718554553E-2</v>
      </c>
      <c r="T94" s="255">
        <f t="shared" si="51"/>
        <v>1.5024379013097191E-2</v>
      </c>
      <c r="U94" s="254">
        <f t="shared" si="13"/>
        <v>0</v>
      </c>
      <c r="V94" s="254">
        <f t="shared" si="40"/>
        <v>0</v>
      </c>
      <c r="W94" s="255">
        <f t="shared" si="14"/>
        <v>1.5024379013097191E-2</v>
      </c>
      <c r="X94" s="255">
        <f t="shared" si="52"/>
        <v>1.5008733862766655E-2</v>
      </c>
      <c r="Y94" s="254">
        <f t="shared" si="16"/>
        <v>0</v>
      </c>
      <c r="Z94" s="254">
        <f t="shared" si="41"/>
        <v>0</v>
      </c>
      <c r="AA94" s="255">
        <f t="shared" si="17"/>
        <v>1.5008733862766655E-2</v>
      </c>
      <c r="AB94" s="255">
        <f t="shared" si="53"/>
        <v>1.5006628338036265E-2</v>
      </c>
      <c r="AC94" s="254">
        <f t="shared" si="19"/>
        <v>0</v>
      </c>
      <c r="AD94" s="254">
        <f t="shared" si="42"/>
        <v>0</v>
      </c>
      <c r="AE94" s="255">
        <f t="shared" si="20"/>
        <v>1.5006628338036265E-2</v>
      </c>
      <c r="AF94" s="255">
        <f t="shared" si="54"/>
        <v>1.5006501262032908E-2</v>
      </c>
      <c r="AG94" s="254">
        <f t="shared" si="22"/>
        <v>0</v>
      </c>
      <c r="AH94" s="254">
        <f t="shared" si="43"/>
        <v>0</v>
      </c>
      <c r="AI94" s="255">
        <f t="shared" si="23"/>
        <v>1.5006501262032908E-2</v>
      </c>
      <c r="AJ94" s="255">
        <f t="shared" si="55"/>
        <v>1.5006484140076591E-2</v>
      </c>
      <c r="AK94" s="254">
        <f t="shared" si="25"/>
        <v>0</v>
      </c>
      <c r="AL94" s="254">
        <f t="shared" si="44"/>
        <v>0</v>
      </c>
      <c r="AM94" s="255">
        <f t="shared" si="26"/>
        <v>1.5006484140076591E-2</v>
      </c>
      <c r="AN94" s="255">
        <f t="shared" si="56"/>
        <v>1.500648310655235E-2</v>
      </c>
      <c r="AO94" s="254">
        <f t="shared" si="28"/>
        <v>0</v>
      </c>
      <c r="AP94" s="254">
        <f t="shared" si="45"/>
        <v>0</v>
      </c>
      <c r="AQ94" s="255">
        <f t="shared" si="29"/>
        <v>1.500648310655235E-2</v>
      </c>
      <c r="AR94" s="255">
        <f t="shared" si="57"/>
        <v>1.5006482967296113E-2</v>
      </c>
      <c r="AS94" s="254">
        <f t="shared" si="31"/>
        <v>0</v>
      </c>
      <c r="AT94" s="254">
        <f t="shared" si="46"/>
        <v>0</v>
      </c>
      <c r="AU94" s="255">
        <f t="shared" si="32"/>
        <v>1.5006482967296113E-2</v>
      </c>
      <c r="AV94" s="255">
        <f t="shared" si="58"/>
        <v>1.5006482957679439E-2</v>
      </c>
      <c r="AW94" s="256">
        <f t="shared" si="59"/>
        <v>1.5006482957679436E-2</v>
      </c>
      <c r="AX94" s="257">
        <f t="shared" si="35"/>
        <v>304549.23345593782</v>
      </c>
      <c r="BC94" s="244">
        <f t="shared" si="60"/>
        <v>0</v>
      </c>
      <c r="BD94" s="244">
        <f t="shared" si="60"/>
        <v>1</v>
      </c>
      <c r="BF94" s="236">
        <f t="shared" si="37"/>
        <v>1</v>
      </c>
    </row>
    <row r="95" spans="2:58" x14ac:dyDescent="0.25">
      <c r="B95" s="245">
        <f t="shared" ref="B95:B129" si="61">IF(C95="","",ROW()-30)</f>
        <v>65</v>
      </c>
      <c r="C95" s="246" t="str">
        <f>IF('מודל תמיכה חלוקת 20,294,511 שח'!G67="","",'מודל תמיכה חלוקת 20,294,511 שח'!G67)</f>
        <v>תורת חב"ד לבני הישיבות שעל ידי צעיר</v>
      </c>
      <c r="D95" s="247">
        <f>IF(C95="","",'מודל תמיכה חלוקת 20,294,511 שח'!V67)</f>
        <v>373734.91417651146</v>
      </c>
      <c r="E95" s="248">
        <f t="shared" ref="E95:E126" si="62">IFERROR(D95/$D$130,"")</f>
        <v>1.8415566365531624E-2</v>
      </c>
      <c r="F95" s="249">
        <f>IF(C95="","",'מודל תמיכה חלוקת 20,294,511 שח'!W67)</f>
        <v>346560</v>
      </c>
      <c r="G95" s="248">
        <f t="shared" ref="G95:G126" si="63">IF($C95="","",IFERROR(F95/$F$130,$BB$1))</f>
        <v>1.7250375896024274E-2</v>
      </c>
      <c r="H95" s="250">
        <v>1</v>
      </c>
      <c r="I95" s="251">
        <f t="shared" ref="I95:I129" si="64">IF($C95="","",IF(OR(E95="",G95="",BF95&lt;&gt;1),$BB$1,IF($E95&lt;$G95*$D$6,1,0)))</f>
        <v>0</v>
      </c>
      <c r="J95" s="252">
        <f t="shared" ref="J95:J129" si="65">IF($C95="","",IF(I95+$H95=2,1,0))</f>
        <v>0</v>
      </c>
      <c r="K95" s="253">
        <f t="shared" ref="K95:K129" si="66">IF($C95="","",IF(J95=1,$G95*$D$6,$E95))</f>
        <v>1.8415566365531624E-2</v>
      </c>
      <c r="L95" s="253">
        <f t="shared" ref="L95:L126" si="67">IF(I95="","",IF(J95=1,K95,K95/SUMIF(J$31:J$129,"&lt;&gt;1",K$31:K$129)*(1-SUMIF(J$31:J$129,"=1",K$31:K$129))))</f>
        <v>1.8089375261368397E-2</v>
      </c>
      <c r="M95" s="254">
        <f t="shared" ref="M95:M129" si="68">IF($C95="","",IF(L95&lt;$G95*$D$6,1,0))</f>
        <v>0</v>
      </c>
      <c r="N95" s="254">
        <f t="shared" si="38"/>
        <v>0</v>
      </c>
      <c r="O95" s="255">
        <f t="shared" ref="O95:O129" si="69">IF($C95="","",IF(N95=1,$G95*$D$6,$K95))</f>
        <v>1.8415566365531624E-2</v>
      </c>
      <c r="P95" s="255">
        <f t="shared" ref="P95:P126" si="70">IF(M95="","",IF(N95=1,O95,O95/SUMIF(N$31:N$129,"&lt;&gt;1",O$31:O$129)*(1-SUMIF(N$31:N$129,"=1",O$31:O$129))))</f>
        <v>1.8118055286743585E-2</v>
      </c>
      <c r="Q95" s="254">
        <f t="shared" ref="Q95:Q129" si="71">IF($C95="","",IF(P95&lt;$G95*$D$6,1,0))</f>
        <v>0</v>
      </c>
      <c r="R95" s="254">
        <f t="shared" si="39"/>
        <v>0</v>
      </c>
      <c r="S95" s="255">
        <f t="shared" ref="S95:S129" si="72">IF($C95="","",IF(R95=1,$G95*$D$6,$O95))</f>
        <v>1.8415566365531624E-2</v>
      </c>
      <c r="T95" s="255">
        <f t="shared" ref="T95:T126" si="73">IF(Q95="","",IF(R95=1,S95,S95/SUMIF(R$31:R$129,"&lt;&gt;1",S$31:S$129)*(1-SUMIF(R$31:R$129,"=1",S$31:S$129))))</f>
        <v>1.8097547447594349E-2</v>
      </c>
      <c r="U95" s="254">
        <f t="shared" ref="U95:U129" si="74">IF($C95="","",IF(T95&lt;$G95*$D$6,1,0))</f>
        <v>0</v>
      </c>
      <c r="V95" s="254">
        <f t="shared" si="40"/>
        <v>0</v>
      </c>
      <c r="W95" s="255">
        <f t="shared" ref="W95:W129" si="75">IF($C95="","",IF(V95=1,$G95*$D$6,T95))</f>
        <v>1.8097547447594349E-2</v>
      </c>
      <c r="X95" s="255">
        <f t="shared" ref="X95:X126" si="76">IF(U95="","",IF(V95=1,W95,W95/SUMIF(V$31:V$129,"&lt;&gt;1",W$31:W$129)*(1-SUMIF(V$31:V$129,"=1",W$31:W$129))))</f>
        <v>1.8078702152878021E-2</v>
      </c>
      <c r="Y95" s="254">
        <f t="shared" ref="Y95:Y129" si="77">IF($C95="","",IF(X95&lt;$G95*$D$6,1,0))</f>
        <v>0</v>
      </c>
      <c r="Z95" s="254">
        <f t="shared" si="41"/>
        <v>0</v>
      </c>
      <c r="AA95" s="255">
        <f t="shared" ref="AA95:AA129" si="78">IF($C95="","",IF(Z95=1,$G95*$D$6,X95))</f>
        <v>1.8078702152878021E-2</v>
      </c>
      <c r="AB95" s="255">
        <f t="shared" ref="AB95:AB126" si="79">IF(Y95="","",IF(Z95=1,AA95,AA95/SUMIF(Z$31:Z$129,"&lt;&gt;1",AA$31:AA$129)*(1-SUMIF(Z$31:Z$129,"=1",AA$31:AA$129))))</f>
        <v>1.8076165952634594E-2</v>
      </c>
      <c r="AC95" s="254">
        <f t="shared" ref="AC95:AC129" si="80">IF($C95="","",IF(AB95&lt;$G95*$D$6,1,0))</f>
        <v>0</v>
      </c>
      <c r="AD95" s="254">
        <f t="shared" si="42"/>
        <v>0</v>
      </c>
      <c r="AE95" s="255">
        <f t="shared" ref="AE95:AE129" si="81">IF($C95="","",IF(AD95=1,$G95*$D$6,AB95))</f>
        <v>1.8076165952634594E-2</v>
      </c>
      <c r="AF95" s="255">
        <f t="shared" ref="AF95:AF126" si="82">IF(AC95="","",IF(AD95=1,AE95,AE95/SUMIF(AD$31:AD$129,"&lt;&gt;1",AE$31:AE$129)*(1-SUMIF(AD$31:AD$129,"=1",AE$31:AE$129))))</f>
        <v>1.8076012883812366E-2</v>
      </c>
      <c r="AG95" s="254">
        <f t="shared" ref="AG95:AG129" si="83">IF($C95="","",IF(AF95&lt;$G95*$D$6,1,0))</f>
        <v>0</v>
      </c>
      <c r="AH95" s="254">
        <f t="shared" si="43"/>
        <v>0</v>
      </c>
      <c r="AI95" s="255">
        <f t="shared" ref="AI95:AI129" si="84">IF($C95="","",IF(AH95=1,$G95*$D$6,AF95))</f>
        <v>1.8076012883812366E-2</v>
      </c>
      <c r="AJ95" s="255">
        <f t="shared" ref="AJ95:AJ126" si="85">IF(AG95="","",IF(AH95=1,AI95,AI95/SUMIF(AH$31:AH$129,"&lt;&gt;1",AI$31:AI$129)*(1-SUMIF(AH$31:AH$129,"=1",AI$31:AI$129))))</f>
        <v>1.807599225963771E-2</v>
      </c>
      <c r="AK95" s="254">
        <f t="shared" ref="AK95:AK129" si="86">IF($C95="","",IF(AJ95&lt;$G95*$D$6,1,0))</f>
        <v>0</v>
      </c>
      <c r="AL95" s="254">
        <f t="shared" si="44"/>
        <v>0</v>
      </c>
      <c r="AM95" s="255">
        <f t="shared" ref="AM95:AM129" si="87">IF($C95="","",IF(AL95=1,$G95*$D$6,AJ95))</f>
        <v>1.807599225963771E-2</v>
      </c>
      <c r="AN95" s="255">
        <f t="shared" ref="AN95:AN126" si="88">IF(AK95="","",IF(AL95=1,AM95,AM95/SUMIF(AL$31:AL$129,"&lt;&gt;1",AM$31:AM$129)*(1-SUMIF(AL$31:AL$129,"=1",AM$31:AM$129))))</f>
        <v>1.8075991014710784E-2</v>
      </c>
      <c r="AO95" s="254">
        <f t="shared" ref="AO95:AO129" si="89">IF($C95="","",IF(AN95&lt;$G95*$D$6,1,0))</f>
        <v>0</v>
      </c>
      <c r="AP95" s="254">
        <f t="shared" si="45"/>
        <v>0</v>
      </c>
      <c r="AQ95" s="255">
        <f t="shared" ref="AQ95:AQ129" si="90">IF($C95="","",IF(AP95=1,$G95*$D$6,AN95))</f>
        <v>1.8075991014710784E-2</v>
      </c>
      <c r="AR95" s="255">
        <f t="shared" ref="AR95:AR126" si="91">IF(AO95="","",IF(AP95=1,AQ95,AQ95/SUMIF(AP$31:AP$129,"&lt;&gt;1",AQ$31:AQ$129)*(1-SUMIF(AP$31:AP$129,"=1",AQ$31:AQ$129))))</f>
        <v>1.807599084697032E-2</v>
      </c>
      <c r="AS95" s="254">
        <f t="shared" ref="AS95:AS129" si="92">IF($C95="","",IF(OR(AR95&lt;$G95*$D$6,AP95=1,AL95=1,AH95=1,AD95=1,Z95=1,V95=1,R95=1,N95=1,J95=1),1,0))</f>
        <v>0</v>
      </c>
      <c r="AT95" s="254">
        <f t="shared" si="46"/>
        <v>0</v>
      </c>
      <c r="AU95" s="255">
        <f t="shared" ref="AU95:AU129" si="93">IF($C95="","",IF(AT95=1,$G95*$D$6,AR95))</f>
        <v>1.807599084697032E-2</v>
      </c>
      <c r="AV95" s="255">
        <f t="shared" ref="AV95:AV126" si="94">IF(AS95="","",IFERROR(IF(AT95=1,AU95,AU95/SUMIF(AT$31:AT$129,"&lt;&gt;1",AU$31:AU$129)*(1-SUMIF(AT$31:AT$129,"=1",AU$31:AU$129))),0))</f>
        <v>1.80759908353866E-2</v>
      </c>
      <c r="AW95" s="256">
        <f t="shared" ref="AW95:AW126" si="95">IF(C95="","",IFERROR(AV95/SUM($AV$31:$AV$129),$BB$1))</f>
        <v>1.8075990835386597E-2</v>
      </c>
      <c r="AX95" s="257">
        <f t="shared" ref="AX95:AX129" si="96">IF(C95="","",IFERROR(AW95*$D$2,$BB$1))</f>
        <v>366843.3948446525</v>
      </c>
      <c r="BC95" s="244">
        <f t="shared" si="60"/>
        <v>0</v>
      </c>
      <c r="BD95" s="244">
        <f t="shared" si="60"/>
        <v>1</v>
      </c>
      <c r="BF95" s="236">
        <f t="shared" si="37"/>
        <v>1</v>
      </c>
    </row>
    <row r="96" spans="2:58" x14ac:dyDescent="0.25">
      <c r="B96" s="245" t="str">
        <f t="shared" si="61"/>
        <v/>
      </c>
      <c r="C96" s="246" t="str">
        <f>IF('מודל תמיכה חלוקת 20,294,511 שח'!G69="","",'מודל תמיכה חלוקת 20,294,511 שח'!G69)</f>
        <v/>
      </c>
      <c r="D96" s="247" t="str">
        <f>IF(C96="","",'מודל תמיכה חלוקת 20,294,511 שח'!V69)</f>
        <v/>
      </c>
      <c r="E96" s="248" t="str">
        <f t="shared" si="62"/>
        <v/>
      </c>
      <c r="F96" s="249" t="str">
        <f>IF(C96="","",'מודל תמיכה חלוקת 20,294,511 שח'!W69)</f>
        <v/>
      </c>
      <c r="G96" s="248" t="str">
        <f t="shared" si="63"/>
        <v/>
      </c>
      <c r="H96" s="250">
        <v>1</v>
      </c>
      <c r="I96" s="251" t="str">
        <f t="shared" si="64"/>
        <v/>
      </c>
      <c r="J96" s="252" t="str">
        <f t="shared" si="65"/>
        <v/>
      </c>
      <c r="K96" s="253" t="str">
        <f t="shared" si="66"/>
        <v/>
      </c>
      <c r="L96" s="253" t="str">
        <f t="shared" si="67"/>
        <v/>
      </c>
      <c r="M96" s="254" t="str">
        <f t="shared" si="68"/>
        <v/>
      </c>
      <c r="N96" s="254" t="str">
        <f t="shared" si="38"/>
        <v/>
      </c>
      <c r="O96" s="255" t="str">
        <f t="shared" si="69"/>
        <v/>
      </c>
      <c r="P96" s="255" t="str">
        <f t="shared" si="70"/>
        <v/>
      </c>
      <c r="Q96" s="254" t="str">
        <f t="shared" si="71"/>
        <v/>
      </c>
      <c r="R96" s="254" t="str">
        <f t="shared" si="39"/>
        <v/>
      </c>
      <c r="S96" s="255" t="str">
        <f t="shared" si="72"/>
        <v/>
      </c>
      <c r="T96" s="255" t="str">
        <f t="shared" si="73"/>
        <v/>
      </c>
      <c r="U96" s="254" t="str">
        <f t="shared" si="74"/>
        <v/>
      </c>
      <c r="V96" s="254" t="str">
        <f t="shared" si="40"/>
        <v/>
      </c>
      <c r="W96" s="255" t="str">
        <f t="shared" si="75"/>
        <v/>
      </c>
      <c r="X96" s="255" t="str">
        <f t="shared" si="76"/>
        <v/>
      </c>
      <c r="Y96" s="254" t="str">
        <f t="shared" si="77"/>
        <v/>
      </c>
      <c r="Z96" s="254" t="str">
        <f t="shared" si="41"/>
        <v/>
      </c>
      <c r="AA96" s="255" t="str">
        <f t="shared" si="78"/>
        <v/>
      </c>
      <c r="AB96" s="255" t="str">
        <f t="shared" si="79"/>
        <v/>
      </c>
      <c r="AC96" s="254" t="str">
        <f t="shared" si="80"/>
        <v/>
      </c>
      <c r="AD96" s="254" t="str">
        <f t="shared" si="42"/>
        <v/>
      </c>
      <c r="AE96" s="255" t="str">
        <f t="shared" si="81"/>
        <v/>
      </c>
      <c r="AF96" s="255" t="str">
        <f t="shared" si="82"/>
        <v/>
      </c>
      <c r="AG96" s="254" t="str">
        <f t="shared" si="83"/>
        <v/>
      </c>
      <c r="AH96" s="254" t="str">
        <f t="shared" si="43"/>
        <v/>
      </c>
      <c r="AI96" s="255" t="str">
        <f t="shared" si="84"/>
        <v/>
      </c>
      <c r="AJ96" s="255" t="str">
        <f t="shared" si="85"/>
        <v/>
      </c>
      <c r="AK96" s="254" t="str">
        <f t="shared" si="86"/>
        <v/>
      </c>
      <c r="AL96" s="254" t="str">
        <f t="shared" si="44"/>
        <v/>
      </c>
      <c r="AM96" s="255" t="str">
        <f t="shared" si="87"/>
        <v/>
      </c>
      <c r="AN96" s="255" t="str">
        <f t="shared" si="88"/>
        <v/>
      </c>
      <c r="AO96" s="254" t="str">
        <f t="shared" si="89"/>
        <v/>
      </c>
      <c r="AP96" s="254" t="str">
        <f t="shared" si="45"/>
        <v/>
      </c>
      <c r="AQ96" s="255" t="str">
        <f t="shared" si="90"/>
        <v/>
      </c>
      <c r="AR96" s="255" t="str">
        <f t="shared" si="91"/>
        <v/>
      </c>
      <c r="AS96" s="254" t="str">
        <f t="shared" si="92"/>
        <v/>
      </c>
      <c r="AT96" s="254" t="str">
        <f t="shared" si="46"/>
        <v/>
      </c>
      <c r="AU96" s="255" t="str">
        <f t="shared" si="93"/>
        <v/>
      </c>
      <c r="AV96" s="255" t="str">
        <f t="shared" si="94"/>
        <v/>
      </c>
      <c r="AW96" s="256" t="str">
        <f t="shared" si="95"/>
        <v/>
      </c>
      <c r="AX96" s="257" t="str">
        <f t="shared" si="96"/>
        <v/>
      </c>
      <c r="BC96" s="244" t="str">
        <f t="shared" ref="BC96:BD129" si="97">IF($C96="","",BC$30)</f>
        <v/>
      </c>
      <c r="BD96" s="244" t="str">
        <f t="shared" si="97"/>
        <v/>
      </c>
      <c r="BF96" s="236">
        <f t="shared" ref="BF96:BF129" si="98">IF(H96="",0,IF(ISERROR(MATCH(H96,$BC$30:$BD$30,0)),0,1))</f>
        <v>1</v>
      </c>
    </row>
    <row r="97" spans="2:58" x14ac:dyDescent="0.25">
      <c r="B97" s="245" t="str">
        <f t="shared" si="61"/>
        <v/>
      </c>
      <c r="C97" s="246" t="str">
        <f>IF('מודל תמיכה חלוקת 20,294,511 שח'!G70="","",'מודל תמיכה חלוקת 20,294,511 שח'!G70)</f>
        <v/>
      </c>
      <c r="D97" s="247" t="str">
        <f>IF(C97="","",'מודל תמיכה חלוקת 20,294,511 שח'!V70)</f>
        <v/>
      </c>
      <c r="E97" s="248" t="str">
        <f t="shared" si="62"/>
        <v/>
      </c>
      <c r="F97" s="249" t="str">
        <f>IF(C97="","",'מודל תמיכה חלוקת 20,294,511 שח'!W70)</f>
        <v/>
      </c>
      <c r="G97" s="248" t="str">
        <f t="shared" si="63"/>
        <v/>
      </c>
      <c r="H97" s="250">
        <v>1</v>
      </c>
      <c r="I97" s="251" t="str">
        <f t="shared" si="64"/>
        <v/>
      </c>
      <c r="J97" s="252" t="str">
        <f t="shared" si="65"/>
        <v/>
      </c>
      <c r="K97" s="253" t="str">
        <f t="shared" si="66"/>
        <v/>
      </c>
      <c r="L97" s="253" t="str">
        <f t="shared" si="67"/>
        <v/>
      </c>
      <c r="M97" s="254" t="str">
        <f t="shared" si="68"/>
        <v/>
      </c>
      <c r="N97" s="254" t="str">
        <f t="shared" si="38"/>
        <v/>
      </c>
      <c r="O97" s="255" t="str">
        <f t="shared" si="69"/>
        <v/>
      </c>
      <c r="P97" s="255" t="str">
        <f t="shared" si="70"/>
        <v/>
      </c>
      <c r="Q97" s="254" t="str">
        <f t="shared" si="71"/>
        <v/>
      </c>
      <c r="R97" s="254" t="str">
        <f t="shared" si="39"/>
        <v/>
      </c>
      <c r="S97" s="255" t="str">
        <f t="shared" si="72"/>
        <v/>
      </c>
      <c r="T97" s="255" t="str">
        <f t="shared" si="73"/>
        <v/>
      </c>
      <c r="U97" s="254" t="str">
        <f t="shared" si="74"/>
        <v/>
      </c>
      <c r="V97" s="254" t="str">
        <f t="shared" si="40"/>
        <v/>
      </c>
      <c r="W97" s="255" t="str">
        <f t="shared" si="75"/>
        <v/>
      </c>
      <c r="X97" s="255" t="str">
        <f t="shared" si="76"/>
        <v/>
      </c>
      <c r="Y97" s="254" t="str">
        <f t="shared" si="77"/>
        <v/>
      </c>
      <c r="Z97" s="254" t="str">
        <f t="shared" si="41"/>
        <v/>
      </c>
      <c r="AA97" s="255" t="str">
        <f t="shared" si="78"/>
        <v/>
      </c>
      <c r="AB97" s="255" t="str">
        <f t="shared" si="79"/>
        <v/>
      </c>
      <c r="AC97" s="254" t="str">
        <f t="shared" si="80"/>
        <v/>
      </c>
      <c r="AD97" s="254" t="str">
        <f t="shared" si="42"/>
        <v/>
      </c>
      <c r="AE97" s="255" t="str">
        <f t="shared" si="81"/>
        <v/>
      </c>
      <c r="AF97" s="255" t="str">
        <f t="shared" si="82"/>
        <v/>
      </c>
      <c r="AG97" s="254" t="str">
        <f t="shared" si="83"/>
        <v/>
      </c>
      <c r="AH97" s="254" t="str">
        <f t="shared" si="43"/>
        <v/>
      </c>
      <c r="AI97" s="255" t="str">
        <f t="shared" si="84"/>
        <v/>
      </c>
      <c r="AJ97" s="255" t="str">
        <f t="shared" si="85"/>
        <v/>
      </c>
      <c r="AK97" s="254" t="str">
        <f t="shared" si="86"/>
        <v/>
      </c>
      <c r="AL97" s="254" t="str">
        <f t="shared" si="44"/>
        <v/>
      </c>
      <c r="AM97" s="255" t="str">
        <f t="shared" si="87"/>
        <v/>
      </c>
      <c r="AN97" s="255" t="str">
        <f t="shared" si="88"/>
        <v/>
      </c>
      <c r="AO97" s="254" t="str">
        <f t="shared" si="89"/>
        <v/>
      </c>
      <c r="AP97" s="254" t="str">
        <f t="shared" si="45"/>
        <v/>
      </c>
      <c r="AQ97" s="255" t="str">
        <f t="shared" si="90"/>
        <v/>
      </c>
      <c r="AR97" s="255" t="str">
        <f t="shared" si="91"/>
        <v/>
      </c>
      <c r="AS97" s="254" t="str">
        <f t="shared" si="92"/>
        <v/>
      </c>
      <c r="AT97" s="254" t="str">
        <f t="shared" si="46"/>
        <v/>
      </c>
      <c r="AU97" s="255" t="str">
        <f t="shared" si="93"/>
        <v/>
      </c>
      <c r="AV97" s="255" t="str">
        <f t="shared" si="94"/>
        <v/>
      </c>
      <c r="AW97" s="256" t="str">
        <f t="shared" si="95"/>
        <v/>
      </c>
      <c r="AX97" s="257" t="str">
        <f t="shared" si="96"/>
        <v/>
      </c>
      <c r="BC97" s="244" t="str">
        <f t="shared" si="97"/>
        <v/>
      </c>
      <c r="BD97" s="244" t="str">
        <f t="shared" si="97"/>
        <v/>
      </c>
      <c r="BF97" s="236">
        <f t="shared" si="98"/>
        <v>1</v>
      </c>
    </row>
    <row r="98" spans="2:58" x14ac:dyDescent="0.25">
      <c r="B98" s="245" t="str">
        <f t="shared" si="61"/>
        <v/>
      </c>
      <c r="C98" s="246" t="str">
        <f>IF('מודל תמיכה חלוקת 20,294,511 שח'!G71="","",'מודל תמיכה חלוקת 20,294,511 שח'!G71)</f>
        <v/>
      </c>
      <c r="D98" s="247" t="str">
        <f>IF(C98="","",'מודל תמיכה חלוקת 20,294,511 שח'!V71)</f>
        <v/>
      </c>
      <c r="E98" s="248" t="str">
        <f t="shared" si="62"/>
        <v/>
      </c>
      <c r="F98" s="249" t="str">
        <f>IF(C98="","",'מודל תמיכה חלוקת 20,294,511 שח'!W71)</f>
        <v/>
      </c>
      <c r="G98" s="248" t="str">
        <f t="shared" si="63"/>
        <v/>
      </c>
      <c r="H98" s="250">
        <v>1</v>
      </c>
      <c r="I98" s="251" t="str">
        <f t="shared" si="64"/>
        <v/>
      </c>
      <c r="J98" s="252" t="str">
        <f t="shared" si="65"/>
        <v/>
      </c>
      <c r="K98" s="253" t="str">
        <f t="shared" si="66"/>
        <v/>
      </c>
      <c r="L98" s="253" t="str">
        <f t="shared" si="67"/>
        <v/>
      </c>
      <c r="M98" s="254" t="str">
        <f t="shared" si="68"/>
        <v/>
      </c>
      <c r="N98" s="254" t="str">
        <f t="shared" ref="N98:N129" si="99">IF($C98="","",IF(M98+$H98=2,1,0))</f>
        <v/>
      </c>
      <c r="O98" s="255" t="str">
        <f t="shared" si="69"/>
        <v/>
      </c>
      <c r="P98" s="255" t="str">
        <f t="shared" si="70"/>
        <v/>
      </c>
      <c r="Q98" s="254" t="str">
        <f t="shared" si="71"/>
        <v/>
      </c>
      <c r="R98" s="254" t="str">
        <f t="shared" ref="R98:R129" si="100">IF($C98="","",IF(Q98+$H98=2,1,0))</f>
        <v/>
      </c>
      <c r="S98" s="255" t="str">
        <f t="shared" si="72"/>
        <v/>
      </c>
      <c r="T98" s="255" t="str">
        <f t="shared" si="73"/>
        <v/>
      </c>
      <c r="U98" s="254" t="str">
        <f t="shared" si="74"/>
        <v/>
      </c>
      <c r="V98" s="254" t="str">
        <f t="shared" ref="V98:V129" si="101">IF($C98="","",IF(U98+$H98=2,1,0))</f>
        <v/>
      </c>
      <c r="W98" s="255" t="str">
        <f t="shared" si="75"/>
        <v/>
      </c>
      <c r="X98" s="255" t="str">
        <f t="shared" si="76"/>
        <v/>
      </c>
      <c r="Y98" s="254" t="str">
        <f t="shared" si="77"/>
        <v/>
      </c>
      <c r="Z98" s="254" t="str">
        <f t="shared" ref="Z98:Z129" si="102">IF($C98="","",IF(Y98+$H98=2,1,0))</f>
        <v/>
      </c>
      <c r="AA98" s="255" t="str">
        <f t="shared" si="78"/>
        <v/>
      </c>
      <c r="AB98" s="255" t="str">
        <f t="shared" si="79"/>
        <v/>
      </c>
      <c r="AC98" s="254" t="str">
        <f t="shared" si="80"/>
        <v/>
      </c>
      <c r="AD98" s="254" t="str">
        <f t="shared" ref="AD98:AD129" si="103">IF($C98="","",IF(AC98+$H98=2,1,0))</f>
        <v/>
      </c>
      <c r="AE98" s="255" t="str">
        <f t="shared" si="81"/>
        <v/>
      </c>
      <c r="AF98" s="255" t="str">
        <f t="shared" si="82"/>
        <v/>
      </c>
      <c r="AG98" s="254" t="str">
        <f t="shared" si="83"/>
        <v/>
      </c>
      <c r="AH98" s="254" t="str">
        <f t="shared" ref="AH98:AH129" si="104">IF($C98="","",IF(AG98+$H98=2,1,0))</f>
        <v/>
      </c>
      <c r="AI98" s="255" t="str">
        <f t="shared" si="84"/>
        <v/>
      </c>
      <c r="AJ98" s="255" t="str">
        <f t="shared" si="85"/>
        <v/>
      </c>
      <c r="AK98" s="254" t="str">
        <f t="shared" si="86"/>
        <v/>
      </c>
      <c r="AL98" s="254" t="str">
        <f t="shared" ref="AL98:AL129" si="105">IF($C98="","",IF(AK98+$H98=2,1,0))</f>
        <v/>
      </c>
      <c r="AM98" s="255" t="str">
        <f t="shared" si="87"/>
        <v/>
      </c>
      <c r="AN98" s="255" t="str">
        <f t="shared" si="88"/>
        <v/>
      </c>
      <c r="AO98" s="254" t="str">
        <f t="shared" si="89"/>
        <v/>
      </c>
      <c r="AP98" s="254" t="str">
        <f t="shared" ref="AP98:AP129" si="106">IF($C98="","",IF(AO98+$H98=2,1,0))</f>
        <v/>
      </c>
      <c r="AQ98" s="255" t="str">
        <f t="shared" si="90"/>
        <v/>
      </c>
      <c r="AR98" s="255" t="str">
        <f t="shared" si="91"/>
        <v/>
      </c>
      <c r="AS98" s="254" t="str">
        <f t="shared" si="92"/>
        <v/>
      </c>
      <c r="AT98" s="254" t="str">
        <f t="shared" ref="AT98:AT129" si="107">IF($C98="","",IF(AS98+$H98=2,1,0))</f>
        <v/>
      </c>
      <c r="AU98" s="255" t="str">
        <f t="shared" si="93"/>
        <v/>
      </c>
      <c r="AV98" s="255" t="str">
        <f t="shared" si="94"/>
        <v/>
      </c>
      <c r="AW98" s="256" t="str">
        <f t="shared" si="95"/>
        <v/>
      </c>
      <c r="AX98" s="257" t="str">
        <f t="shared" si="96"/>
        <v/>
      </c>
      <c r="BC98" s="244" t="str">
        <f t="shared" si="97"/>
        <v/>
      </c>
      <c r="BD98" s="244" t="str">
        <f t="shared" si="97"/>
        <v/>
      </c>
      <c r="BF98" s="236">
        <f t="shared" si="98"/>
        <v>1</v>
      </c>
    </row>
    <row r="99" spans="2:58" x14ac:dyDescent="0.25">
      <c r="B99" s="245" t="str">
        <f t="shared" si="61"/>
        <v/>
      </c>
      <c r="C99" s="246" t="str">
        <f>IF('מודל תמיכה חלוקת 20,294,511 שח'!G72="","",'מודל תמיכה חלוקת 20,294,511 שח'!G72)</f>
        <v/>
      </c>
      <c r="D99" s="247" t="str">
        <f>IF(C99="","",'מודל תמיכה חלוקת 20,294,511 שח'!V72)</f>
        <v/>
      </c>
      <c r="E99" s="248" t="str">
        <f t="shared" si="62"/>
        <v/>
      </c>
      <c r="F99" s="249" t="str">
        <f>IF(C99="","",'מודל תמיכה חלוקת 20,294,511 שח'!W72)</f>
        <v/>
      </c>
      <c r="G99" s="248" t="str">
        <f t="shared" si="63"/>
        <v/>
      </c>
      <c r="H99" s="250">
        <v>1</v>
      </c>
      <c r="I99" s="251" t="str">
        <f t="shared" si="64"/>
        <v/>
      </c>
      <c r="J99" s="252" t="str">
        <f t="shared" si="65"/>
        <v/>
      </c>
      <c r="K99" s="253" t="str">
        <f t="shared" si="66"/>
        <v/>
      </c>
      <c r="L99" s="253" t="str">
        <f t="shared" si="67"/>
        <v/>
      </c>
      <c r="M99" s="254" t="str">
        <f t="shared" si="68"/>
        <v/>
      </c>
      <c r="N99" s="254" t="str">
        <f t="shared" si="99"/>
        <v/>
      </c>
      <c r="O99" s="255" t="str">
        <f t="shared" si="69"/>
        <v/>
      </c>
      <c r="P99" s="255" t="str">
        <f t="shared" si="70"/>
        <v/>
      </c>
      <c r="Q99" s="254" t="str">
        <f t="shared" si="71"/>
        <v/>
      </c>
      <c r="R99" s="254" t="str">
        <f t="shared" si="100"/>
        <v/>
      </c>
      <c r="S99" s="255" t="str">
        <f t="shared" si="72"/>
        <v/>
      </c>
      <c r="T99" s="255" t="str">
        <f t="shared" si="73"/>
        <v/>
      </c>
      <c r="U99" s="254" t="str">
        <f t="shared" si="74"/>
        <v/>
      </c>
      <c r="V99" s="254" t="str">
        <f t="shared" si="101"/>
        <v/>
      </c>
      <c r="W99" s="255" t="str">
        <f t="shared" si="75"/>
        <v/>
      </c>
      <c r="X99" s="255" t="str">
        <f t="shared" si="76"/>
        <v/>
      </c>
      <c r="Y99" s="254" t="str">
        <f t="shared" si="77"/>
        <v/>
      </c>
      <c r="Z99" s="254" t="str">
        <f t="shared" si="102"/>
        <v/>
      </c>
      <c r="AA99" s="255" t="str">
        <f t="shared" si="78"/>
        <v/>
      </c>
      <c r="AB99" s="255" t="str">
        <f t="shared" si="79"/>
        <v/>
      </c>
      <c r="AC99" s="254" t="str">
        <f t="shared" si="80"/>
        <v/>
      </c>
      <c r="AD99" s="254" t="str">
        <f t="shared" si="103"/>
        <v/>
      </c>
      <c r="AE99" s="255" t="str">
        <f t="shared" si="81"/>
        <v/>
      </c>
      <c r="AF99" s="255" t="str">
        <f t="shared" si="82"/>
        <v/>
      </c>
      <c r="AG99" s="254" t="str">
        <f t="shared" si="83"/>
        <v/>
      </c>
      <c r="AH99" s="254" t="str">
        <f t="shared" si="104"/>
        <v/>
      </c>
      <c r="AI99" s="255" t="str">
        <f t="shared" si="84"/>
        <v/>
      </c>
      <c r="AJ99" s="255" t="str">
        <f t="shared" si="85"/>
        <v/>
      </c>
      <c r="AK99" s="254" t="str">
        <f t="shared" si="86"/>
        <v/>
      </c>
      <c r="AL99" s="254" t="str">
        <f t="shared" si="105"/>
        <v/>
      </c>
      <c r="AM99" s="255" t="str">
        <f t="shared" si="87"/>
        <v/>
      </c>
      <c r="AN99" s="255" t="str">
        <f t="shared" si="88"/>
        <v/>
      </c>
      <c r="AO99" s="254" t="str">
        <f t="shared" si="89"/>
        <v/>
      </c>
      <c r="AP99" s="254" t="str">
        <f t="shared" si="106"/>
        <v/>
      </c>
      <c r="AQ99" s="255" t="str">
        <f t="shared" si="90"/>
        <v/>
      </c>
      <c r="AR99" s="255" t="str">
        <f t="shared" si="91"/>
        <v/>
      </c>
      <c r="AS99" s="254" t="str">
        <f t="shared" si="92"/>
        <v/>
      </c>
      <c r="AT99" s="254" t="str">
        <f t="shared" si="107"/>
        <v/>
      </c>
      <c r="AU99" s="255" t="str">
        <f t="shared" si="93"/>
        <v/>
      </c>
      <c r="AV99" s="255" t="str">
        <f t="shared" si="94"/>
        <v/>
      </c>
      <c r="AW99" s="256" t="str">
        <f t="shared" si="95"/>
        <v/>
      </c>
      <c r="AX99" s="257" t="str">
        <f t="shared" si="96"/>
        <v/>
      </c>
      <c r="BC99" s="244" t="str">
        <f t="shared" si="97"/>
        <v/>
      </c>
      <c r="BD99" s="244" t="str">
        <f t="shared" si="97"/>
        <v/>
      </c>
      <c r="BF99" s="236">
        <f t="shared" si="98"/>
        <v>1</v>
      </c>
    </row>
    <row r="100" spans="2:58" x14ac:dyDescent="0.25">
      <c r="B100" s="245" t="str">
        <f t="shared" si="61"/>
        <v/>
      </c>
      <c r="C100" s="246" t="str">
        <f>IF('מודל תמיכה חלוקת 20,294,511 שח'!G73="","",'מודל תמיכה חלוקת 20,294,511 שח'!G73)</f>
        <v/>
      </c>
      <c r="D100" s="247" t="str">
        <f>IF(C100="","",'מודל תמיכה חלוקת 20,294,511 שח'!V73)</f>
        <v/>
      </c>
      <c r="E100" s="248" t="str">
        <f t="shared" si="62"/>
        <v/>
      </c>
      <c r="F100" s="249" t="str">
        <f>IF(C100="","",'מודל תמיכה חלוקת 20,294,511 שח'!W73)</f>
        <v/>
      </c>
      <c r="G100" s="248" t="str">
        <f t="shared" si="63"/>
        <v/>
      </c>
      <c r="H100" s="250">
        <v>1</v>
      </c>
      <c r="I100" s="251" t="str">
        <f t="shared" si="64"/>
        <v/>
      </c>
      <c r="J100" s="252" t="str">
        <f t="shared" si="65"/>
        <v/>
      </c>
      <c r="K100" s="253" t="str">
        <f t="shared" si="66"/>
        <v/>
      </c>
      <c r="L100" s="253" t="str">
        <f t="shared" si="67"/>
        <v/>
      </c>
      <c r="M100" s="254" t="str">
        <f t="shared" si="68"/>
        <v/>
      </c>
      <c r="N100" s="254" t="str">
        <f t="shared" si="99"/>
        <v/>
      </c>
      <c r="O100" s="255" t="str">
        <f t="shared" si="69"/>
        <v/>
      </c>
      <c r="P100" s="255" t="str">
        <f t="shared" si="70"/>
        <v/>
      </c>
      <c r="Q100" s="254" t="str">
        <f t="shared" si="71"/>
        <v/>
      </c>
      <c r="R100" s="254" t="str">
        <f t="shared" si="100"/>
        <v/>
      </c>
      <c r="S100" s="255" t="str">
        <f t="shared" si="72"/>
        <v/>
      </c>
      <c r="T100" s="255" t="str">
        <f t="shared" si="73"/>
        <v/>
      </c>
      <c r="U100" s="254" t="str">
        <f t="shared" si="74"/>
        <v/>
      </c>
      <c r="V100" s="254" t="str">
        <f t="shared" si="101"/>
        <v/>
      </c>
      <c r="W100" s="255" t="str">
        <f t="shared" si="75"/>
        <v/>
      </c>
      <c r="X100" s="255" t="str">
        <f t="shared" si="76"/>
        <v/>
      </c>
      <c r="Y100" s="254" t="str">
        <f t="shared" si="77"/>
        <v/>
      </c>
      <c r="Z100" s="254" t="str">
        <f t="shared" si="102"/>
        <v/>
      </c>
      <c r="AA100" s="255" t="str">
        <f t="shared" si="78"/>
        <v/>
      </c>
      <c r="AB100" s="255" t="str">
        <f t="shared" si="79"/>
        <v/>
      </c>
      <c r="AC100" s="254" t="str">
        <f t="shared" si="80"/>
        <v/>
      </c>
      <c r="AD100" s="254" t="str">
        <f t="shared" si="103"/>
        <v/>
      </c>
      <c r="AE100" s="255" t="str">
        <f t="shared" si="81"/>
        <v/>
      </c>
      <c r="AF100" s="255" t="str">
        <f t="shared" si="82"/>
        <v/>
      </c>
      <c r="AG100" s="254" t="str">
        <f t="shared" si="83"/>
        <v/>
      </c>
      <c r="AH100" s="254" t="str">
        <f t="shared" si="104"/>
        <v/>
      </c>
      <c r="AI100" s="255" t="str">
        <f t="shared" si="84"/>
        <v/>
      </c>
      <c r="AJ100" s="255" t="str">
        <f t="shared" si="85"/>
        <v/>
      </c>
      <c r="AK100" s="254" t="str">
        <f t="shared" si="86"/>
        <v/>
      </c>
      <c r="AL100" s="254" t="str">
        <f t="shared" si="105"/>
        <v/>
      </c>
      <c r="AM100" s="255" t="str">
        <f t="shared" si="87"/>
        <v/>
      </c>
      <c r="AN100" s="255" t="str">
        <f t="shared" si="88"/>
        <v/>
      </c>
      <c r="AO100" s="254" t="str">
        <f t="shared" si="89"/>
        <v/>
      </c>
      <c r="AP100" s="254" t="str">
        <f t="shared" si="106"/>
        <v/>
      </c>
      <c r="AQ100" s="255" t="str">
        <f t="shared" si="90"/>
        <v/>
      </c>
      <c r="AR100" s="255" t="str">
        <f t="shared" si="91"/>
        <v/>
      </c>
      <c r="AS100" s="254" t="str">
        <f t="shared" si="92"/>
        <v/>
      </c>
      <c r="AT100" s="254" t="str">
        <f t="shared" si="107"/>
        <v/>
      </c>
      <c r="AU100" s="255" t="str">
        <f t="shared" si="93"/>
        <v/>
      </c>
      <c r="AV100" s="255" t="str">
        <f t="shared" si="94"/>
        <v/>
      </c>
      <c r="AW100" s="256" t="str">
        <f t="shared" si="95"/>
        <v/>
      </c>
      <c r="AX100" s="257" t="str">
        <f t="shared" si="96"/>
        <v/>
      </c>
      <c r="BC100" s="244" t="str">
        <f t="shared" si="97"/>
        <v/>
      </c>
      <c r="BD100" s="244" t="str">
        <f t="shared" si="97"/>
        <v/>
      </c>
      <c r="BF100" s="236">
        <f t="shared" si="98"/>
        <v>1</v>
      </c>
    </row>
    <row r="101" spans="2:58" x14ac:dyDescent="0.25">
      <c r="B101" s="245" t="str">
        <f t="shared" si="61"/>
        <v/>
      </c>
      <c r="C101" s="246" t="str">
        <f>IF('מודל תמיכה חלוקת 20,294,511 שח'!G74="","",'מודל תמיכה חלוקת 20,294,511 שח'!G74)</f>
        <v/>
      </c>
      <c r="D101" s="247" t="str">
        <f>IF(C101="","",'מודל תמיכה חלוקת 20,294,511 שח'!V74)</f>
        <v/>
      </c>
      <c r="E101" s="248" t="str">
        <f t="shared" si="62"/>
        <v/>
      </c>
      <c r="F101" s="249" t="str">
        <f>IF(C101="","",'מודל תמיכה חלוקת 20,294,511 שח'!W74)</f>
        <v/>
      </c>
      <c r="G101" s="248" t="str">
        <f t="shared" si="63"/>
        <v/>
      </c>
      <c r="H101" s="250">
        <v>1</v>
      </c>
      <c r="I101" s="251" t="str">
        <f t="shared" si="64"/>
        <v/>
      </c>
      <c r="J101" s="252" t="str">
        <f t="shared" si="65"/>
        <v/>
      </c>
      <c r="K101" s="253" t="str">
        <f t="shared" si="66"/>
        <v/>
      </c>
      <c r="L101" s="253" t="str">
        <f t="shared" si="67"/>
        <v/>
      </c>
      <c r="M101" s="254" t="str">
        <f t="shared" si="68"/>
        <v/>
      </c>
      <c r="N101" s="254" t="str">
        <f t="shared" si="99"/>
        <v/>
      </c>
      <c r="O101" s="255" t="str">
        <f t="shared" si="69"/>
        <v/>
      </c>
      <c r="P101" s="255" t="str">
        <f t="shared" si="70"/>
        <v/>
      </c>
      <c r="Q101" s="254" t="str">
        <f t="shared" si="71"/>
        <v/>
      </c>
      <c r="R101" s="254" t="str">
        <f t="shared" si="100"/>
        <v/>
      </c>
      <c r="S101" s="255" t="str">
        <f t="shared" si="72"/>
        <v/>
      </c>
      <c r="T101" s="255" t="str">
        <f t="shared" si="73"/>
        <v/>
      </c>
      <c r="U101" s="254" t="str">
        <f t="shared" si="74"/>
        <v/>
      </c>
      <c r="V101" s="254" t="str">
        <f t="shared" si="101"/>
        <v/>
      </c>
      <c r="W101" s="255" t="str">
        <f t="shared" si="75"/>
        <v/>
      </c>
      <c r="X101" s="255" t="str">
        <f t="shared" si="76"/>
        <v/>
      </c>
      <c r="Y101" s="254" t="str">
        <f t="shared" si="77"/>
        <v/>
      </c>
      <c r="Z101" s="254" t="str">
        <f t="shared" si="102"/>
        <v/>
      </c>
      <c r="AA101" s="255" t="str">
        <f t="shared" si="78"/>
        <v/>
      </c>
      <c r="AB101" s="255" t="str">
        <f t="shared" si="79"/>
        <v/>
      </c>
      <c r="AC101" s="254" t="str">
        <f t="shared" si="80"/>
        <v/>
      </c>
      <c r="AD101" s="254" t="str">
        <f t="shared" si="103"/>
        <v/>
      </c>
      <c r="AE101" s="255" t="str">
        <f t="shared" si="81"/>
        <v/>
      </c>
      <c r="AF101" s="255" t="str">
        <f t="shared" si="82"/>
        <v/>
      </c>
      <c r="AG101" s="254" t="str">
        <f t="shared" si="83"/>
        <v/>
      </c>
      <c r="AH101" s="254" t="str">
        <f t="shared" si="104"/>
        <v/>
      </c>
      <c r="AI101" s="255" t="str">
        <f t="shared" si="84"/>
        <v/>
      </c>
      <c r="AJ101" s="255" t="str">
        <f t="shared" si="85"/>
        <v/>
      </c>
      <c r="AK101" s="254" t="str">
        <f t="shared" si="86"/>
        <v/>
      </c>
      <c r="AL101" s="254" t="str">
        <f t="shared" si="105"/>
        <v/>
      </c>
      <c r="AM101" s="255" t="str">
        <f t="shared" si="87"/>
        <v/>
      </c>
      <c r="AN101" s="255" t="str">
        <f t="shared" si="88"/>
        <v/>
      </c>
      <c r="AO101" s="254" t="str">
        <f t="shared" si="89"/>
        <v/>
      </c>
      <c r="AP101" s="254" t="str">
        <f t="shared" si="106"/>
        <v/>
      </c>
      <c r="AQ101" s="255" t="str">
        <f t="shared" si="90"/>
        <v/>
      </c>
      <c r="AR101" s="255" t="str">
        <f t="shared" si="91"/>
        <v/>
      </c>
      <c r="AS101" s="254" t="str">
        <f t="shared" si="92"/>
        <v/>
      </c>
      <c r="AT101" s="254" t="str">
        <f t="shared" si="107"/>
        <v/>
      </c>
      <c r="AU101" s="255" t="str">
        <f t="shared" si="93"/>
        <v/>
      </c>
      <c r="AV101" s="255" t="str">
        <f t="shared" si="94"/>
        <v/>
      </c>
      <c r="AW101" s="256" t="str">
        <f t="shared" si="95"/>
        <v/>
      </c>
      <c r="AX101" s="257" t="str">
        <f t="shared" si="96"/>
        <v/>
      </c>
      <c r="BC101" s="244" t="str">
        <f t="shared" si="97"/>
        <v/>
      </c>
      <c r="BD101" s="244" t="str">
        <f t="shared" si="97"/>
        <v/>
      </c>
      <c r="BF101" s="236">
        <f t="shared" si="98"/>
        <v>1</v>
      </c>
    </row>
    <row r="102" spans="2:58" x14ac:dyDescent="0.25">
      <c r="B102" s="245" t="str">
        <f t="shared" si="61"/>
        <v/>
      </c>
      <c r="C102" s="246" t="str">
        <f>IF('מודל תמיכה חלוקת 20,294,511 שח'!G75="","",'מודל תמיכה חלוקת 20,294,511 שח'!G75)</f>
        <v/>
      </c>
      <c r="D102" s="247" t="str">
        <f>IF(C102="","",'מודל תמיכה חלוקת 20,294,511 שח'!V75)</f>
        <v/>
      </c>
      <c r="E102" s="248" t="str">
        <f t="shared" si="62"/>
        <v/>
      </c>
      <c r="F102" s="249" t="str">
        <f>IF(C102="","",'מודל תמיכה חלוקת 20,294,511 שח'!W75)</f>
        <v/>
      </c>
      <c r="G102" s="248" t="str">
        <f t="shared" si="63"/>
        <v/>
      </c>
      <c r="H102" s="250">
        <v>1</v>
      </c>
      <c r="I102" s="251" t="str">
        <f t="shared" si="64"/>
        <v/>
      </c>
      <c r="J102" s="252" t="str">
        <f t="shared" si="65"/>
        <v/>
      </c>
      <c r="K102" s="253" t="str">
        <f t="shared" si="66"/>
        <v/>
      </c>
      <c r="L102" s="253" t="str">
        <f t="shared" si="67"/>
        <v/>
      </c>
      <c r="M102" s="254" t="str">
        <f t="shared" si="68"/>
        <v/>
      </c>
      <c r="N102" s="254" t="str">
        <f t="shared" si="99"/>
        <v/>
      </c>
      <c r="O102" s="255" t="str">
        <f t="shared" si="69"/>
        <v/>
      </c>
      <c r="P102" s="255" t="str">
        <f t="shared" si="70"/>
        <v/>
      </c>
      <c r="Q102" s="254" t="str">
        <f t="shared" si="71"/>
        <v/>
      </c>
      <c r="R102" s="254" t="str">
        <f t="shared" si="100"/>
        <v/>
      </c>
      <c r="S102" s="255" t="str">
        <f t="shared" si="72"/>
        <v/>
      </c>
      <c r="T102" s="255" t="str">
        <f t="shared" si="73"/>
        <v/>
      </c>
      <c r="U102" s="254" t="str">
        <f t="shared" si="74"/>
        <v/>
      </c>
      <c r="V102" s="254" t="str">
        <f t="shared" si="101"/>
        <v/>
      </c>
      <c r="W102" s="255" t="str">
        <f t="shared" si="75"/>
        <v/>
      </c>
      <c r="X102" s="255" t="str">
        <f t="shared" si="76"/>
        <v/>
      </c>
      <c r="Y102" s="254" t="str">
        <f t="shared" si="77"/>
        <v/>
      </c>
      <c r="Z102" s="254" t="str">
        <f t="shared" si="102"/>
        <v/>
      </c>
      <c r="AA102" s="255" t="str">
        <f t="shared" si="78"/>
        <v/>
      </c>
      <c r="AB102" s="255" t="str">
        <f t="shared" si="79"/>
        <v/>
      </c>
      <c r="AC102" s="254" t="str">
        <f t="shared" si="80"/>
        <v/>
      </c>
      <c r="AD102" s="254" t="str">
        <f t="shared" si="103"/>
        <v/>
      </c>
      <c r="AE102" s="255" t="str">
        <f t="shared" si="81"/>
        <v/>
      </c>
      <c r="AF102" s="255" t="str">
        <f t="shared" si="82"/>
        <v/>
      </c>
      <c r="AG102" s="254" t="str">
        <f t="shared" si="83"/>
        <v/>
      </c>
      <c r="AH102" s="254" t="str">
        <f t="shared" si="104"/>
        <v/>
      </c>
      <c r="AI102" s="255" t="str">
        <f t="shared" si="84"/>
        <v/>
      </c>
      <c r="AJ102" s="255" t="str">
        <f t="shared" si="85"/>
        <v/>
      </c>
      <c r="AK102" s="254" t="str">
        <f t="shared" si="86"/>
        <v/>
      </c>
      <c r="AL102" s="254" t="str">
        <f t="shared" si="105"/>
        <v/>
      </c>
      <c r="AM102" s="255" t="str">
        <f t="shared" si="87"/>
        <v/>
      </c>
      <c r="AN102" s="255" t="str">
        <f t="shared" si="88"/>
        <v/>
      </c>
      <c r="AO102" s="254" t="str">
        <f t="shared" si="89"/>
        <v/>
      </c>
      <c r="AP102" s="254" t="str">
        <f t="shared" si="106"/>
        <v/>
      </c>
      <c r="AQ102" s="255" t="str">
        <f t="shared" si="90"/>
        <v/>
      </c>
      <c r="AR102" s="255" t="str">
        <f t="shared" si="91"/>
        <v/>
      </c>
      <c r="AS102" s="254" t="str">
        <f t="shared" si="92"/>
        <v/>
      </c>
      <c r="AT102" s="254" t="str">
        <f t="shared" si="107"/>
        <v/>
      </c>
      <c r="AU102" s="255" t="str">
        <f t="shared" si="93"/>
        <v/>
      </c>
      <c r="AV102" s="255" t="str">
        <f t="shared" si="94"/>
        <v/>
      </c>
      <c r="AW102" s="256" t="str">
        <f t="shared" si="95"/>
        <v/>
      </c>
      <c r="AX102" s="257" t="str">
        <f t="shared" si="96"/>
        <v/>
      </c>
      <c r="BC102" s="244" t="str">
        <f t="shared" si="97"/>
        <v/>
      </c>
      <c r="BD102" s="244" t="str">
        <f t="shared" si="97"/>
        <v/>
      </c>
      <c r="BF102" s="236">
        <f t="shared" si="98"/>
        <v>1</v>
      </c>
    </row>
    <row r="103" spans="2:58" x14ac:dyDescent="0.25">
      <c r="B103" s="245" t="str">
        <f t="shared" si="61"/>
        <v/>
      </c>
      <c r="C103" s="246" t="str">
        <f>IF('מודל תמיכה חלוקת 20,294,511 שח'!G76="","",'מודל תמיכה חלוקת 20,294,511 שח'!G76)</f>
        <v/>
      </c>
      <c r="D103" s="247" t="str">
        <f>IF(C103="","",'מודל תמיכה חלוקת 20,294,511 שח'!V76)</f>
        <v/>
      </c>
      <c r="E103" s="248" t="str">
        <f t="shared" si="62"/>
        <v/>
      </c>
      <c r="F103" s="249" t="str">
        <f>IF(C103="","",'מודל תמיכה חלוקת 20,294,511 שח'!W76)</f>
        <v/>
      </c>
      <c r="G103" s="248" t="str">
        <f t="shared" si="63"/>
        <v/>
      </c>
      <c r="H103" s="250">
        <v>1</v>
      </c>
      <c r="I103" s="251" t="str">
        <f t="shared" si="64"/>
        <v/>
      </c>
      <c r="J103" s="252" t="str">
        <f t="shared" si="65"/>
        <v/>
      </c>
      <c r="K103" s="253" t="str">
        <f t="shared" si="66"/>
        <v/>
      </c>
      <c r="L103" s="253" t="str">
        <f t="shared" si="67"/>
        <v/>
      </c>
      <c r="M103" s="254" t="str">
        <f t="shared" si="68"/>
        <v/>
      </c>
      <c r="N103" s="254" t="str">
        <f t="shared" si="99"/>
        <v/>
      </c>
      <c r="O103" s="255" t="str">
        <f t="shared" si="69"/>
        <v/>
      </c>
      <c r="P103" s="255" t="str">
        <f t="shared" si="70"/>
        <v/>
      </c>
      <c r="Q103" s="254" t="str">
        <f t="shared" si="71"/>
        <v/>
      </c>
      <c r="R103" s="254" t="str">
        <f t="shared" si="100"/>
        <v/>
      </c>
      <c r="S103" s="255" t="str">
        <f t="shared" si="72"/>
        <v/>
      </c>
      <c r="T103" s="255" t="str">
        <f t="shared" si="73"/>
        <v/>
      </c>
      <c r="U103" s="254" t="str">
        <f t="shared" si="74"/>
        <v/>
      </c>
      <c r="V103" s="254" t="str">
        <f t="shared" si="101"/>
        <v/>
      </c>
      <c r="W103" s="255" t="str">
        <f t="shared" si="75"/>
        <v/>
      </c>
      <c r="X103" s="255" t="str">
        <f t="shared" si="76"/>
        <v/>
      </c>
      <c r="Y103" s="254" t="str">
        <f t="shared" si="77"/>
        <v/>
      </c>
      <c r="Z103" s="254" t="str">
        <f t="shared" si="102"/>
        <v/>
      </c>
      <c r="AA103" s="255" t="str">
        <f t="shared" si="78"/>
        <v/>
      </c>
      <c r="AB103" s="255" t="str">
        <f t="shared" si="79"/>
        <v/>
      </c>
      <c r="AC103" s="254" t="str">
        <f t="shared" si="80"/>
        <v/>
      </c>
      <c r="AD103" s="254" t="str">
        <f t="shared" si="103"/>
        <v/>
      </c>
      <c r="AE103" s="255" t="str">
        <f t="shared" si="81"/>
        <v/>
      </c>
      <c r="AF103" s="255" t="str">
        <f t="shared" si="82"/>
        <v/>
      </c>
      <c r="AG103" s="254" t="str">
        <f t="shared" si="83"/>
        <v/>
      </c>
      <c r="AH103" s="254" t="str">
        <f t="shared" si="104"/>
        <v/>
      </c>
      <c r="AI103" s="255" t="str">
        <f t="shared" si="84"/>
        <v/>
      </c>
      <c r="AJ103" s="255" t="str">
        <f t="shared" si="85"/>
        <v/>
      </c>
      <c r="AK103" s="254" t="str">
        <f t="shared" si="86"/>
        <v/>
      </c>
      <c r="AL103" s="254" t="str">
        <f t="shared" si="105"/>
        <v/>
      </c>
      <c r="AM103" s="255" t="str">
        <f t="shared" si="87"/>
        <v/>
      </c>
      <c r="AN103" s="255" t="str">
        <f t="shared" si="88"/>
        <v/>
      </c>
      <c r="AO103" s="254" t="str">
        <f t="shared" si="89"/>
        <v/>
      </c>
      <c r="AP103" s="254" t="str">
        <f t="shared" si="106"/>
        <v/>
      </c>
      <c r="AQ103" s="255" t="str">
        <f t="shared" si="90"/>
        <v/>
      </c>
      <c r="AR103" s="255" t="str">
        <f t="shared" si="91"/>
        <v/>
      </c>
      <c r="AS103" s="254" t="str">
        <f t="shared" si="92"/>
        <v/>
      </c>
      <c r="AT103" s="254" t="str">
        <f t="shared" si="107"/>
        <v/>
      </c>
      <c r="AU103" s="255" t="str">
        <f t="shared" si="93"/>
        <v/>
      </c>
      <c r="AV103" s="255" t="str">
        <f t="shared" si="94"/>
        <v/>
      </c>
      <c r="AW103" s="256" t="str">
        <f t="shared" si="95"/>
        <v/>
      </c>
      <c r="AX103" s="257" t="str">
        <f t="shared" si="96"/>
        <v/>
      </c>
      <c r="BC103" s="244" t="str">
        <f t="shared" si="97"/>
        <v/>
      </c>
      <c r="BD103" s="244" t="str">
        <f t="shared" si="97"/>
        <v/>
      </c>
      <c r="BF103" s="236">
        <f t="shared" si="98"/>
        <v>1</v>
      </c>
    </row>
    <row r="104" spans="2:58" x14ac:dyDescent="0.25">
      <c r="B104" s="245" t="str">
        <f t="shared" si="61"/>
        <v/>
      </c>
      <c r="C104" s="246" t="str">
        <f>IF('מודל תמיכה חלוקת 20,294,511 שח'!G77="","",'מודל תמיכה חלוקת 20,294,511 שח'!G77)</f>
        <v/>
      </c>
      <c r="D104" s="247" t="str">
        <f>IF(C104="","",'מודל תמיכה חלוקת 20,294,511 שח'!V77)</f>
        <v/>
      </c>
      <c r="E104" s="248" t="str">
        <f t="shared" si="62"/>
        <v/>
      </c>
      <c r="F104" s="249" t="str">
        <f>IF(C104="","",'מודל תמיכה חלוקת 20,294,511 שח'!W77)</f>
        <v/>
      </c>
      <c r="G104" s="248" t="str">
        <f t="shared" si="63"/>
        <v/>
      </c>
      <c r="H104" s="250">
        <v>1</v>
      </c>
      <c r="I104" s="251" t="str">
        <f t="shared" si="64"/>
        <v/>
      </c>
      <c r="J104" s="252" t="str">
        <f t="shared" si="65"/>
        <v/>
      </c>
      <c r="K104" s="253" t="str">
        <f t="shared" si="66"/>
        <v/>
      </c>
      <c r="L104" s="253" t="str">
        <f t="shared" si="67"/>
        <v/>
      </c>
      <c r="M104" s="254" t="str">
        <f t="shared" si="68"/>
        <v/>
      </c>
      <c r="N104" s="254" t="str">
        <f t="shared" si="99"/>
        <v/>
      </c>
      <c r="O104" s="255" t="str">
        <f t="shared" si="69"/>
        <v/>
      </c>
      <c r="P104" s="255" t="str">
        <f t="shared" si="70"/>
        <v/>
      </c>
      <c r="Q104" s="254" t="str">
        <f t="shared" si="71"/>
        <v/>
      </c>
      <c r="R104" s="254" t="str">
        <f t="shared" si="100"/>
        <v/>
      </c>
      <c r="S104" s="255" t="str">
        <f t="shared" si="72"/>
        <v/>
      </c>
      <c r="T104" s="255" t="str">
        <f t="shared" si="73"/>
        <v/>
      </c>
      <c r="U104" s="254" t="str">
        <f t="shared" si="74"/>
        <v/>
      </c>
      <c r="V104" s="254" t="str">
        <f t="shared" si="101"/>
        <v/>
      </c>
      <c r="W104" s="255" t="str">
        <f t="shared" si="75"/>
        <v/>
      </c>
      <c r="X104" s="255" t="str">
        <f t="shared" si="76"/>
        <v/>
      </c>
      <c r="Y104" s="254" t="str">
        <f t="shared" si="77"/>
        <v/>
      </c>
      <c r="Z104" s="254" t="str">
        <f t="shared" si="102"/>
        <v/>
      </c>
      <c r="AA104" s="255" t="str">
        <f t="shared" si="78"/>
        <v/>
      </c>
      <c r="AB104" s="255" t="str">
        <f t="shared" si="79"/>
        <v/>
      </c>
      <c r="AC104" s="254" t="str">
        <f t="shared" si="80"/>
        <v/>
      </c>
      <c r="AD104" s="254" t="str">
        <f t="shared" si="103"/>
        <v/>
      </c>
      <c r="AE104" s="255" t="str">
        <f t="shared" si="81"/>
        <v/>
      </c>
      <c r="AF104" s="255" t="str">
        <f t="shared" si="82"/>
        <v/>
      </c>
      <c r="AG104" s="254" t="str">
        <f t="shared" si="83"/>
        <v/>
      </c>
      <c r="AH104" s="254" t="str">
        <f t="shared" si="104"/>
        <v/>
      </c>
      <c r="AI104" s="255" t="str">
        <f t="shared" si="84"/>
        <v/>
      </c>
      <c r="AJ104" s="255" t="str">
        <f t="shared" si="85"/>
        <v/>
      </c>
      <c r="AK104" s="254" t="str">
        <f t="shared" si="86"/>
        <v/>
      </c>
      <c r="AL104" s="254" t="str">
        <f t="shared" si="105"/>
        <v/>
      </c>
      <c r="AM104" s="255" t="str">
        <f t="shared" si="87"/>
        <v/>
      </c>
      <c r="AN104" s="255" t="str">
        <f t="shared" si="88"/>
        <v/>
      </c>
      <c r="AO104" s="254" t="str">
        <f t="shared" si="89"/>
        <v/>
      </c>
      <c r="AP104" s="254" t="str">
        <f t="shared" si="106"/>
        <v/>
      </c>
      <c r="AQ104" s="255" t="str">
        <f t="shared" si="90"/>
        <v/>
      </c>
      <c r="AR104" s="255" t="str">
        <f t="shared" si="91"/>
        <v/>
      </c>
      <c r="AS104" s="254" t="str">
        <f t="shared" si="92"/>
        <v/>
      </c>
      <c r="AT104" s="254" t="str">
        <f t="shared" si="107"/>
        <v/>
      </c>
      <c r="AU104" s="255" t="str">
        <f t="shared" si="93"/>
        <v/>
      </c>
      <c r="AV104" s="255" t="str">
        <f t="shared" si="94"/>
        <v/>
      </c>
      <c r="AW104" s="256" t="str">
        <f t="shared" si="95"/>
        <v/>
      </c>
      <c r="AX104" s="257" t="str">
        <f t="shared" si="96"/>
        <v/>
      </c>
      <c r="BC104" s="244" t="str">
        <f t="shared" si="97"/>
        <v/>
      </c>
      <c r="BD104" s="244" t="str">
        <f t="shared" si="97"/>
        <v/>
      </c>
      <c r="BF104" s="236">
        <f t="shared" si="98"/>
        <v>1</v>
      </c>
    </row>
    <row r="105" spans="2:58" x14ac:dyDescent="0.25">
      <c r="B105" s="245" t="str">
        <f t="shared" si="61"/>
        <v/>
      </c>
      <c r="C105" s="246" t="str">
        <f>IF('מודל תמיכה חלוקת 20,294,511 שח'!G78="","",'מודל תמיכה חלוקת 20,294,511 שח'!G78)</f>
        <v/>
      </c>
      <c r="D105" s="247" t="str">
        <f>IF(C105="","",'מודל תמיכה חלוקת 20,294,511 שח'!V78)</f>
        <v/>
      </c>
      <c r="E105" s="248" t="str">
        <f t="shared" si="62"/>
        <v/>
      </c>
      <c r="F105" s="249" t="str">
        <f>IF(C105="","",'מודל תמיכה חלוקת 20,294,511 שח'!W78)</f>
        <v/>
      </c>
      <c r="G105" s="248" t="str">
        <f t="shared" si="63"/>
        <v/>
      </c>
      <c r="H105" s="250">
        <v>1</v>
      </c>
      <c r="I105" s="251" t="str">
        <f t="shared" si="64"/>
        <v/>
      </c>
      <c r="J105" s="252" t="str">
        <f t="shared" si="65"/>
        <v/>
      </c>
      <c r="K105" s="253" t="str">
        <f t="shared" si="66"/>
        <v/>
      </c>
      <c r="L105" s="253" t="str">
        <f t="shared" si="67"/>
        <v/>
      </c>
      <c r="M105" s="254" t="str">
        <f t="shared" si="68"/>
        <v/>
      </c>
      <c r="N105" s="254" t="str">
        <f t="shared" si="99"/>
        <v/>
      </c>
      <c r="O105" s="255" t="str">
        <f t="shared" si="69"/>
        <v/>
      </c>
      <c r="P105" s="255" t="str">
        <f t="shared" si="70"/>
        <v/>
      </c>
      <c r="Q105" s="254" t="str">
        <f t="shared" si="71"/>
        <v/>
      </c>
      <c r="R105" s="254" t="str">
        <f t="shared" si="100"/>
        <v/>
      </c>
      <c r="S105" s="255" t="str">
        <f t="shared" si="72"/>
        <v/>
      </c>
      <c r="T105" s="255" t="str">
        <f t="shared" si="73"/>
        <v/>
      </c>
      <c r="U105" s="254" t="str">
        <f t="shared" si="74"/>
        <v/>
      </c>
      <c r="V105" s="254" t="str">
        <f t="shared" si="101"/>
        <v/>
      </c>
      <c r="W105" s="255" t="str">
        <f t="shared" si="75"/>
        <v/>
      </c>
      <c r="X105" s="255" t="str">
        <f t="shared" si="76"/>
        <v/>
      </c>
      <c r="Y105" s="254" t="str">
        <f t="shared" si="77"/>
        <v/>
      </c>
      <c r="Z105" s="254" t="str">
        <f t="shared" si="102"/>
        <v/>
      </c>
      <c r="AA105" s="255" t="str">
        <f t="shared" si="78"/>
        <v/>
      </c>
      <c r="AB105" s="255" t="str">
        <f t="shared" si="79"/>
        <v/>
      </c>
      <c r="AC105" s="254" t="str">
        <f t="shared" si="80"/>
        <v/>
      </c>
      <c r="AD105" s="254" t="str">
        <f t="shared" si="103"/>
        <v/>
      </c>
      <c r="AE105" s="255" t="str">
        <f t="shared" si="81"/>
        <v/>
      </c>
      <c r="AF105" s="255" t="str">
        <f t="shared" si="82"/>
        <v/>
      </c>
      <c r="AG105" s="254" t="str">
        <f t="shared" si="83"/>
        <v/>
      </c>
      <c r="AH105" s="254" t="str">
        <f t="shared" si="104"/>
        <v/>
      </c>
      <c r="AI105" s="255" t="str">
        <f t="shared" si="84"/>
        <v/>
      </c>
      <c r="AJ105" s="255" t="str">
        <f t="shared" si="85"/>
        <v/>
      </c>
      <c r="AK105" s="254" t="str">
        <f t="shared" si="86"/>
        <v/>
      </c>
      <c r="AL105" s="254" t="str">
        <f t="shared" si="105"/>
        <v/>
      </c>
      <c r="AM105" s="255" t="str">
        <f t="shared" si="87"/>
        <v/>
      </c>
      <c r="AN105" s="255" t="str">
        <f t="shared" si="88"/>
        <v/>
      </c>
      <c r="AO105" s="254" t="str">
        <f t="shared" si="89"/>
        <v/>
      </c>
      <c r="AP105" s="254" t="str">
        <f t="shared" si="106"/>
        <v/>
      </c>
      <c r="AQ105" s="255" t="str">
        <f t="shared" si="90"/>
        <v/>
      </c>
      <c r="AR105" s="255" t="str">
        <f t="shared" si="91"/>
        <v/>
      </c>
      <c r="AS105" s="254" t="str">
        <f t="shared" si="92"/>
        <v/>
      </c>
      <c r="AT105" s="254" t="str">
        <f t="shared" si="107"/>
        <v/>
      </c>
      <c r="AU105" s="255" t="str">
        <f t="shared" si="93"/>
        <v/>
      </c>
      <c r="AV105" s="255" t="str">
        <f t="shared" si="94"/>
        <v/>
      </c>
      <c r="AW105" s="256" t="str">
        <f t="shared" si="95"/>
        <v/>
      </c>
      <c r="AX105" s="257" t="str">
        <f t="shared" si="96"/>
        <v/>
      </c>
      <c r="BC105" s="244" t="str">
        <f t="shared" si="97"/>
        <v/>
      </c>
      <c r="BD105" s="244" t="str">
        <f t="shared" si="97"/>
        <v/>
      </c>
      <c r="BF105" s="236">
        <f t="shared" si="98"/>
        <v>1</v>
      </c>
    </row>
    <row r="106" spans="2:58" x14ac:dyDescent="0.25">
      <c r="B106" s="245" t="str">
        <f t="shared" si="61"/>
        <v/>
      </c>
      <c r="C106" s="246" t="str">
        <f>IF('מודל תמיכה חלוקת 20,294,511 שח'!G79="","",'מודל תמיכה חלוקת 20,294,511 שח'!G79)</f>
        <v/>
      </c>
      <c r="D106" s="247" t="str">
        <f>IF(C106="","",'מודל תמיכה חלוקת 20,294,511 שח'!V79)</f>
        <v/>
      </c>
      <c r="E106" s="248" t="str">
        <f t="shared" si="62"/>
        <v/>
      </c>
      <c r="F106" s="249" t="str">
        <f>IF(C106="","",'מודל תמיכה חלוקת 20,294,511 שח'!W79)</f>
        <v/>
      </c>
      <c r="G106" s="248" t="str">
        <f t="shared" si="63"/>
        <v/>
      </c>
      <c r="H106" s="250">
        <v>1</v>
      </c>
      <c r="I106" s="251" t="str">
        <f t="shared" si="64"/>
        <v/>
      </c>
      <c r="J106" s="252" t="str">
        <f t="shared" si="65"/>
        <v/>
      </c>
      <c r="K106" s="253" t="str">
        <f t="shared" si="66"/>
        <v/>
      </c>
      <c r="L106" s="253" t="str">
        <f t="shared" si="67"/>
        <v/>
      </c>
      <c r="M106" s="254" t="str">
        <f t="shared" si="68"/>
        <v/>
      </c>
      <c r="N106" s="254" t="str">
        <f t="shared" si="99"/>
        <v/>
      </c>
      <c r="O106" s="255" t="str">
        <f t="shared" si="69"/>
        <v/>
      </c>
      <c r="P106" s="255" t="str">
        <f t="shared" si="70"/>
        <v/>
      </c>
      <c r="Q106" s="254" t="str">
        <f t="shared" si="71"/>
        <v/>
      </c>
      <c r="R106" s="254" t="str">
        <f t="shared" si="100"/>
        <v/>
      </c>
      <c r="S106" s="255" t="str">
        <f t="shared" si="72"/>
        <v/>
      </c>
      <c r="T106" s="255" t="str">
        <f t="shared" si="73"/>
        <v/>
      </c>
      <c r="U106" s="254" t="str">
        <f t="shared" si="74"/>
        <v/>
      </c>
      <c r="V106" s="254" t="str">
        <f t="shared" si="101"/>
        <v/>
      </c>
      <c r="W106" s="255" t="str">
        <f t="shared" si="75"/>
        <v/>
      </c>
      <c r="X106" s="255" t="str">
        <f t="shared" si="76"/>
        <v/>
      </c>
      <c r="Y106" s="254" t="str">
        <f t="shared" si="77"/>
        <v/>
      </c>
      <c r="Z106" s="254" t="str">
        <f t="shared" si="102"/>
        <v/>
      </c>
      <c r="AA106" s="255" t="str">
        <f t="shared" si="78"/>
        <v/>
      </c>
      <c r="AB106" s="255" t="str">
        <f t="shared" si="79"/>
        <v/>
      </c>
      <c r="AC106" s="254" t="str">
        <f t="shared" si="80"/>
        <v/>
      </c>
      <c r="AD106" s="254" t="str">
        <f t="shared" si="103"/>
        <v/>
      </c>
      <c r="AE106" s="255" t="str">
        <f t="shared" si="81"/>
        <v/>
      </c>
      <c r="AF106" s="255" t="str">
        <f t="shared" si="82"/>
        <v/>
      </c>
      <c r="AG106" s="254" t="str">
        <f t="shared" si="83"/>
        <v/>
      </c>
      <c r="AH106" s="254" t="str">
        <f t="shared" si="104"/>
        <v/>
      </c>
      <c r="AI106" s="255" t="str">
        <f t="shared" si="84"/>
        <v/>
      </c>
      <c r="AJ106" s="255" t="str">
        <f t="shared" si="85"/>
        <v/>
      </c>
      <c r="AK106" s="254" t="str">
        <f t="shared" si="86"/>
        <v/>
      </c>
      <c r="AL106" s="254" t="str">
        <f t="shared" si="105"/>
        <v/>
      </c>
      <c r="AM106" s="255" t="str">
        <f t="shared" si="87"/>
        <v/>
      </c>
      <c r="AN106" s="255" t="str">
        <f t="shared" si="88"/>
        <v/>
      </c>
      <c r="AO106" s="254" t="str">
        <f t="shared" si="89"/>
        <v/>
      </c>
      <c r="AP106" s="254" t="str">
        <f t="shared" si="106"/>
        <v/>
      </c>
      <c r="AQ106" s="255" t="str">
        <f t="shared" si="90"/>
        <v/>
      </c>
      <c r="AR106" s="255" t="str">
        <f t="shared" si="91"/>
        <v/>
      </c>
      <c r="AS106" s="254" t="str">
        <f t="shared" si="92"/>
        <v/>
      </c>
      <c r="AT106" s="254" t="str">
        <f t="shared" si="107"/>
        <v/>
      </c>
      <c r="AU106" s="255" t="str">
        <f t="shared" si="93"/>
        <v/>
      </c>
      <c r="AV106" s="255" t="str">
        <f t="shared" si="94"/>
        <v/>
      </c>
      <c r="AW106" s="256" t="str">
        <f t="shared" si="95"/>
        <v/>
      </c>
      <c r="AX106" s="257" t="str">
        <f t="shared" si="96"/>
        <v/>
      </c>
      <c r="BC106" s="244" t="str">
        <f t="shared" si="97"/>
        <v/>
      </c>
      <c r="BD106" s="244" t="str">
        <f t="shared" si="97"/>
        <v/>
      </c>
      <c r="BF106" s="236">
        <f t="shared" si="98"/>
        <v>1</v>
      </c>
    </row>
    <row r="107" spans="2:58" x14ac:dyDescent="0.25">
      <c r="B107" s="245" t="str">
        <f t="shared" si="61"/>
        <v/>
      </c>
      <c r="C107" s="246" t="str">
        <f>IF('מודל תמיכה חלוקת 20,294,511 שח'!G80="","",'מודל תמיכה חלוקת 20,294,511 שח'!G80)</f>
        <v/>
      </c>
      <c r="D107" s="247" t="str">
        <f>IF(C107="","",'מודל תמיכה חלוקת 20,294,511 שח'!V80)</f>
        <v/>
      </c>
      <c r="E107" s="248" t="str">
        <f t="shared" si="62"/>
        <v/>
      </c>
      <c r="F107" s="249" t="str">
        <f>IF(C107="","",'מודל תמיכה חלוקת 20,294,511 שח'!W80)</f>
        <v/>
      </c>
      <c r="G107" s="248" t="str">
        <f t="shared" si="63"/>
        <v/>
      </c>
      <c r="H107" s="250">
        <v>1</v>
      </c>
      <c r="I107" s="251" t="str">
        <f t="shared" si="64"/>
        <v/>
      </c>
      <c r="J107" s="252" t="str">
        <f t="shared" si="65"/>
        <v/>
      </c>
      <c r="K107" s="253" t="str">
        <f t="shared" si="66"/>
        <v/>
      </c>
      <c r="L107" s="253" t="str">
        <f t="shared" si="67"/>
        <v/>
      </c>
      <c r="M107" s="254" t="str">
        <f t="shared" si="68"/>
        <v/>
      </c>
      <c r="N107" s="254" t="str">
        <f t="shared" si="99"/>
        <v/>
      </c>
      <c r="O107" s="255" t="str">
        <f t="shared" si="69"/>
        <v/>
      </c>
      <c r="P107" s="255" t="str">
        <f t="shared" si="70"/>
        <v/>
      </c>
      <c r="Q107" s="254" t="str">
        <f t="shared" si="71"/>
        <v/>
      </c>
      <c r="R107" s="254" t="str">
        <f t="shared" si="100"/>
        <v/>
      </c>
      <c r="S107" s="255" t="str">
        <f t="shared" si="72"/>
        <v/>
      </c>
      <c r="T107" s="255" t="str">
        <f t="shared" si="73"/>
        <v/>
      </c>
      <c r="U107" s="254" t="str">
        <f t="shared" si="74"/>
        <v/>
      </c>
      <c r="V107" s="254" t="str">
        <f t="shared" si="101"/>
        <v/>
      </c>
      <c r="W107" s="255" t="str">
        <f t="shared" si="75"/>
        <v/>
      </c>
      <c r="X107" s="255" t="str">
        <f t="shared" si="76"/>
        <v/>
      </c>
      <c r="Y107" s="254" t="str">
        <f t="shared" si="77"/>
        <v/>
      </c>
      <c r="Z107" s="254" t="str">
        <f t="shared" si="102"/>
        <v/>
      </c>
      <c r="AA107" s="255" t="str">
        <f t="shared" si="78"/>
        <v/>
      </c>
      <c r="AB107" s="255" t="str">
        <f t="shared" si="79"/>
        <v/>
      </c>
      <c r="AC107" s="254" t="str">
        <f t="shared" si="80"/>
        <v/>
      </c>
      <c r="AD107" s="254" t="str">
        <f t="shared" si="103"/>
        <v/>
      </c>
      <c r="AE107" s="255" t="str">
        <f t="shared" si="81"/>
        <v/>
      </c>
      <c r="AF107" s="255" t="str">
        <f t="shared" si="82"/>
        <v/>
      </c>
      <c r="AG107" s="254" t="str">
        <f t="shared" si="83"/>
        <v/>
      </c>
      <c r="AH107" s="254" t="str">
        <f t="shared" si="104"/>
        <v/>
      </c>
      <c r="AI107" s="255" t="str">
        <f t="shared" si="84"/>
        <v/>
      </c>
      <c r="AJ107" s="255" t="str">
        <f t="shared" si="85"/>
        <v/>
      </c>
      <c r="AK107" s="254" t="str">
        <f t="shared" si="86"/>
        <v/>
      </c>
      <c r="AL107" s="254" t="str">
        <f t="shared" si="105"/>
        <v/>
      </c>
      <c r="AM107" s="255" t="str">
        <f t="shared" si="87"/>
        <v/>
      </c>
      <c r="AN107" s="255" t="str">
        <f t="shared" si="88"/>
        <v/>
      </c>
      <c r="AO107" s="254" t="str">
        <f t="shared" si="89"/>
        <v/>
      </c>
      <c r="AP107" s="254" t="str">
        <f t="shared" si="106"/>
        <v/>
      </c>
      <c r="AQ107" s="255" t="str">
        <f t="shared" si="90"/>
        <v/>
      </c>
      <c r="AR107" s="255" t="str">
        <f t="shared" si="91"/>
        <v/>
      </c>
      <c r="AS107" s="254" t="str">
        <f t="shared" si="92"/>
        <v/>
      </c>
      <c r="AT107" s="254" t="str">
        <f t="shared" si="107"/>
        <v/>
      </c>
      <c r="AU107" s="255" t="str">
        <f t="shared" si="93"/>
        <v/>
      </c>
      <c r="AV107" s="255" t="str">
        <f t="shared" si="94"/>
        <v/>
      </c>
      <c r="AW107" s="256" t="str">
        <f t="shared" si="95"/>
        <v/>
      </c>
      <c r="AX107" s="257" t="str">
        <f t="shared" si="96"/>
        <v/>
      </c>
      <c r="BC107" s="244" t="str">
        <f t="shared" si="97"/>
        <v/>
      </c>
      <c r="BD107" s="244" t="str">
        <f t="shared" si="97"/>
        <v/>
      </c>
      <c r="BF107" s="236">
        <f t="shared" si="98"/>
        <v>1</v>
      </c>
    </row>
    <row r="108" spans="2:58" x14ac:dyDescent="0.25">
      <c r="B108" s="245" t="str">
        <f t="shared" si="61"/>
        <v/>
      </c>
      <c r="C108" s="246" t="str">
        <f>IF('מודל תמיכה חלוקת 20,294,511 שח'!G81="","",'מודל תמיכה חלוקת 20,294,511 שח'!G81)</f>
        <v/>
      </c>
      <c r="D108" s="247" t="str">
        <f>IF(C108="","",'מודל תמיכה חלוקת 20,294,511 שח'!V81)</f>
        <v/>
      </c>
      <c r="E108" s="248" t="str">
        <f t="shared" si="62"/>
        <v/>
      </c>
      <c r="F108" s="249" t="str">
        <f>IF(C108="","",'מודל תמיכה חלוקת 20,294,511 שח'!W81)</f>
        <v/>
      </c>
      <c r="G108" s="248" t="str">
        <f t="shared" si="63"/>
        <v/>
      </c>
      <c r="H108" s="250">
        <v>1</v>
      </c>
      <c r="I108" s="251" t="str">
        <f t="shared" si="64"/>
        <v/>
      </c>
      <c r="J108" s="252" t="str">
        <f t="shared" si="65"/>
        <v/>
      </c>
      <c r="K108" s="253" t="str">
        <f t="shared" si="66"/>
        <v/>
      </c>
      <c r="L108" s="253" t="str">
        <f t="shared" si="67"/>
        <v/>
      </c>
      <c r="M108" s="254" t="str">
        <f t="shared" si="68"/>
        <v/>
      </c>
      <c r="N108" s="254" t="str">
        <f t="shared" si="99"/>
        <v/>
      </c>
      <c r="O108" s="255" t="str">
        <f t="shared" si="69"/>
        <v/>
      </c>
      <c r="P108" s="255" t="str">
        <f t="shared" si="70"/>
        <v/>
      </c>
      <c r="Q108" s="254" t="str">
        <f t="shared" si="71"/>
        <v/>
      </c>
      <c r="R108" s="254" t="str">
        <f t="shared" si="100"/>
        <v/>
      </c>
      <c r="S108" s="255" t="str">
        <f t="shared" si="72"/>
        <v/>
      </c>
      <c r="T108" s="255" t="str">
        <f t="shared" si="73"/>
        <v/>
      </c>
      <c r="U108" s="254" t="str">
        <f t="shared" si="74"/>
        <v/>
      </c>
      <c r="V108" s="254" t="str">
        <f t="shared" si="101"/>
        <v/>
      </c>
      <c r="W108" s="255" t="str">
        <f t="shared" si="75"/>
        <v/>
      </c>
      <c r="X108" s="255" t="str">
        <f t="shared" si="76"/>
        <v/>
      </c>
      <c r="Y108" s="254" t="str">
        <f t="shared" si="77"/>
        <v/>
      </c>
      <c r="Z108" s="254" t="str">
        <f t="shared" si="102"/>
        <v/>
      </c>
      <c r="AA108" s="255" t="str">
        <f t="shared" si="78"/>
        <v/>
      </c>
      <c r="AB108" s="255" t="str">
        <f t="shared" si="79"/>
        <v/>
      </c>
      <c r="AC108" s="254" t="str">
        <f t="shared" si="80"/>
        <v/>
      </c>
      <c r="AD108" s="254" t="str">
        <f t="shared" si="103"/>
        <v/>
      </c>
      <c r="AE108" s="255" t="str">
        <f t="shared" si="81"/>
        <v/>
      </c>
      <c r="AF108" s="255" t="str">
        <f t="shared" si="82"/>
        <v/>
      </c>
      <c r="AG108" s="254" t="str">
        <f t="shared" si="83"/>
        <v/>
      </c>
      <c r="AH108" s="254" t="str">
        <f t="shared" si="104"/>
        <v/>
      </c>
      <c r="AI108" s="255" t="str">
        <f t="shared" si="84"/>
        <v/>
      </c>
      <c r="AJ108" s="255" t="str">
        <f t="shared" si="85"/>
        <v/>
      </c>
      <c r="AK108" s="254" t="str">
        <f t="shared" si="86"/>
        <v/>
      </c>
      <c r="AL108" s="254" t="str">
        <f t="shared" si="105"/>
        <v/>
      </c>
      <c r="AM108" s="255" t="str">
        <f t="shared" si="87"/>
        <v/>
      </c>
      <c r="AN108" s="255" t="str">
        <f t="shared" si="88"/>
        <v/>
      </c>
      <c r="AO108" s="254" t="str">
        <f t="shared" si="89"/>
        <v/>
      </c>
      <c r="AP108" s="254" t="str">
        <f t="shared" si="106"/>
        <v/>
      </c>
      <c r="AQ108" s="255" t="str">
        <f t="shared" si="90"/>
        <v/>
      </c>
      <c r="AR108" s="255" t="str">
        <f t="shared" si="91"/>
        <v/>
      </c>
      <c r="AS108" s="254" t="str">
        <f t="shared" si="92"/>
        <v/>
      </c>
      <c r="AT108" s="254" t="str">
        <f t="shared" si="107"/>
        <v/>
      </c>
      <c r="AU108" s="255" t="str">
        <f t="shared" si="93"/>
        <v/>
      </c>
      <c r="AV108" s="255" t="str">
        <f t="shared" si="94"/>
        <v/>
      </c>
      <c r="AW108" s="256" t="str">
        <f t="shared" si="95"/>
        <v/>
      </c>
      <c r="AX108" s="257" t="str">
        <f t="shared" si="96"/>
        <v/>
      </c>
      <c r="BC108" s="244" t="str">
        <f t="shared" si="97"/>
        <v/>
      </c>
      <c r="BD108" s="244" t="str">
        <f t="shared" si="97"/>
        <v/>
      </c>
      <c r="BF108" s="236">
        <f t="shared" si="98"/>
        <v>1</v>
      </c>
    </row>
    <row r="109" spans="2:58" x14ac:dyDescent="0.25">
      <c r="B109" s="245" t="str">
        <f t="shared" si="61"/>
        <v/>
      </c>
      <c r="C109" s="246" t="str">
        <f>IF('מודל תמיכה חלוקת 20,294,511 שח'!G82="","",'מודל תמיכה חלוקת 20,294,511 שח'!G82)</f>
        <v/>
      </c>
      <c r="D109" s="247" t="str">
        <f>IF(C109="","",'מודל תמיכה חלוקת 20,294,511 שח'!V82)</f>
        <v/>
      </c>
      <c r="E109" s="248" t="str">
        <f t="shared" si="62"/>
        <v/>
      </c>
      <c r="F109" s="249" t="str">
        <f>IF(C109="","",'מודל תמיכה חלוקת 20,294,511 שח'!W82)</f>
        <v/>
      </c>
      <c r="G109" s="248" t="str">
        <f t="shared" si="63"/>
        <v/>
      </c>
      <c r="H109" s="250">
        <v>1</v>
      </c>
      <c r="I109" s="251" t="str">
        <f t="shared" si="64"/>
        <v/>
      </c>
      <c r="J109" s="252" t="str">
        <f t="shared" si="65"/>
        <v/>
      </c>
      <c r="K109" s="253" t="str">
        <f t="shared" si="66"/>
        <v/>
      </c>
      <c r="L109" s="253" t="str">
        <f t="shared" si="67"/>
        <v/>
      </c>
      <c r="M109" s="254" t="str">
        <f t="shared" si="68"/>
        <v/>
      </c>
      <c r="N109" s="254" t="str">
        <f t="shared" si="99"/>
        <v/>
      </c>
      <c r="O109" s="255" t="str">
        <f t="shared" si="69"/>
        <v/>
      </c>
      <c r="P109" s="255" t="str">
        <f t="shared" si="70"/>
        <v/>
      </c>
      <c r="Q109" s="254" t="str">
        <f t="shared" si="71"/>
        <v/>
      </c>
      <c r="R109" s="254" t="str">
        <f t="shared" si="100"/>
        <v/>
      </c>
      <c r="S109" s="255" t="str">
        <f t="shared" si="72"/>
        <v/>
      </c>
      <c r="T109" s="255" t="str">
        <f t="shared" si="73"/>
        <v/>
      </c>
      <c r="U109" s="254" t="str">
        <f t="shared" si="74"/>
        <v/>
      </c>
      <c r="V109" s="254" t="str">
        <f t="shared" si="101"/>
        <v/>
      </c>
      <c r="W109" s="255" t="str">
        <f t="shared" si="75"/>
        <v/>
      </c>
      <c r="X109" s="255" t="str">
        <f t="shared" si="76"/>
        <v/>
      </c>
      <c r="Y109" s="254" t="str">
        <f t="shared" si="77"/>
        <v/>
      </c>
      <c r="Z109" s="254" t="str">
        <f t="shared" si="102"/>
        <v/>
      </c>
      <c r="AA109" s="255" t="str">
        <f t="shared" si="78"/>
        <v/>
      </c>
      <c r="AB109" s="255" t="str">
        <f t="shared" si="79"/>
        <v/>
      </c>
      <c r="AC109" s="254" t="str">
        <f t="shared" si="80"/>
        <v/>
      </c>
      <c r="AD109" s="254" t="str">
        <f t="shared" si="103"/>
        <v/>
      </c>
      <c r="AE109" s="255" t="str">
        <f t="shared" si="81"/>
        <v/>
      </c>
      <c r="AF109" s="255" t="str">
        <f t="shared" si="82"/>
        <v/>
      </c>
      <c r="AG109" s="254" t="str">
        <f t="shared" si="83"/>
        <v/>
      </c>
      <c r="AH109" s="254" t="str">
        <f t="shared" si="104"/>
        <v/>
      </c>
      <c r="AI109" s="255" t="str">
        <f t="shared" si="84"/>
        <v/>
      </c>
      <c r="AJ109" s="255" t="str">
        <f t="shared" si="85"/>
        <v/>
      </c>
      <c r="AK109" s="254" t="str">
        <f t="shared" si="86"/>
        <v/>
      </c>
      <c r="AL109" s="254" t="str">
        <f t="shared" si="105"/>
        <v/>
      </c>
      <c r="AM109" s="255" t="str">
        <f t="shared" si="87"/>
        <v/>
      </c>
      <c r="AN109" s="255" t="str">
        <f t="shared" si="88"/>
        <v/>
      </c>
      <c r="AO109" s="254" t="str">
        <f t="shared" si="89"/>
        <v/>
      </c>
      <c r="AP109" s="254" t="str">
        <f t="shared" si="106"/>
        <v/>
      </c>
      <c r="AQ109" s="255" t="str">
        <f t="shared" si="90"/>
        <v/>
      </c>
      <c r="AR109" s="255" t="str">
        <f t="shared" si="91"/>
        <v/>
      </c>
      <c r="AS109" s="254" t="str">
        <f t="shared" si="92"/>
        <v/>
      </c>
      <c r="AT109" s="254" t="str">
        <f t="shared" si="107"/>
        <v/>
      </c>
      <c r="AU109" s="255" t="str">
        <f t="shared" si="93"/>
        <v/>
      </c>
      <c r="AV109" s="255" t="str">
        <f t="shared" si="94"/>
        <v/>
      </c>
      <c r="AW109" s="256" t="str">
        <f t="shared" si="95"/>
        <v/>
      </c>
      <c r="AX109" s="257" t="str">
        <f t="shared" si="96"/>
        <v/>
      </c>
      <c r="BC109" s="244" t="str">
        <f t="shared" si="97"/>
        <v/>
      </c>
      <c r="BD109" s="244" t="str">
        <f t="shared" si="97"/>
        <v/>
      </c>
      <c r="BF109" s="236">
        <f t="shared" si="98"/>
        <v>1</v>
      </c>
    </row>
    <row r="110" spans="2:58" x14ac:dyDescent="0.25">
      <c r="B110" s="245" t="str">
        <f t="shared" si="61"/>
        <v/>
      </c>
      <c r="C110" s="246" t="str">
        <f>IF('מודל תמיכה חלוקת 20,294,511 שח'!G83="","",'מודל תמיכה חלוקת 20,294,511 שח'!G83)</f>
        <v/>
      </c>
      <c r="D110" s="247" t="str">
        <f>IF(C110="","",'מודל תמיכה חלוקת 20,294,511 שח'!V83)</f>
        <v/>
      </c>
      <c r="E110" s="248" t="str">
        <f t="shared" si="62"/>
        <v/>
      </c>
      <c r="F110" s="249" t="str">
        <f>IF(C110="","",'מודל תמיכה חלוקת 20,294,511 שח'!W83)</f>
        <v/>
      </c>
      <c r="G110" s="248" t="str">
        <f t="shared" si="63"/>
        <v/>
      </c>
      <c r="H110" s="250">
        <v>1</v>
      </c>
      <c r="I110" s="251" t="str">
        <f t="shared" si="64"/>
        <v/>
      </c>
      <c r="J110" s="252" t="str">
        <f t="shared" si="65"/>
        <v/>
      </c>
      <c r="K110" s="253" t="str">
        <f t="shared" si="66"/>
        <v/>
      </c>
      <c r="L110" s="253" t="str">
        <f t="shared" si="67"/>
        <v/>
      </c>
      <c r="M110" s="254" t="str">
        <f t="shared" si="68"/>
        <v/>
      </c>
      <c r="N110" s="254" t="str">
        <f t="shared" si="99"/>
        <v/>
      </c>
      <c r="O110" s="255" t="str">
        <f t="shared" si="69"/>
        <v/>
      </c>
      <c r="P110" s="255" t="str">
        <f t="shared" si="70"/>
        <v/>
      </c>
      <c r="Q110" s="254" t="str">
        <f t="shared" si="71"/>
        <v/>
      </c>
      <c r="R110" s="254" t="str">
        <f t="shared" si="100"/>
        <v/>
      </c>
      <c r="S110" s="255" t="str">
        <f t="shared" si="72"/>
        <v/>
      </c>
      <c r="T110" s="255" t="str">
        <f t="shared" si="73"/>
        <v/>
      </c>
      <c r="U110" s="254" t="str">
        <f t="shared" si="74"/>
        <v/>
      </c>
      <c r="V110" s="254" t="str">
        <f t="shared" si="101"/>
        <v/>
      </c>
      <c r="W110" s="255" t="str">
        <f t="shared" si="75"/>
        <v/>
      </c>
      <c r="X110" s="255" t="str">
        <f t="shared" si="76"/>
        <v/>
      </c>
      <c r="Y110" s="254" t="str">
        <f t="shared" si="77"/>
        <v/>
      </c>
      <c r="Z110" s="254" t="str">
        <f t="shared" si="102"/>
        <v/>
      </c>
      <c r="AA110" s="255" t="str">
        <f t="shared" si="78"/>
        <v/>
      </c>
      <c r="AB110" s="255" t="str">
        <f t="shared" si="79"/>
        <v/>
      </c>
      <c r="AC110" s="254" t="str">
        <f t="shared" si="80"/>
        <v/>
      </c>
      <c r="AD110" s="254" t="str">
        <f t="shared" si="103"/>
        <v/>
      </c>
      <c r="AE110" s="255" t="str">
        <f t="shared" si="81"/>
        <v/>
      </c>
      <c r="AF110" s="255" t="str">
        <f t="shared" si="82"/>
        <v/>
      </c>
      <c r="AG110" s="254" t="str">
        <f t="shared" si="83"/>
        <v/>
      </c>
      <c r="AH110" s="254" t="str">
        <f t="shared" si="104"/>
        <v/>
      </c>
      <c r="AI110" s="255" t="str">
        <f t="shared" si="84"/>
        <v/>
      </c>
      <c r="AJ110" s="255" t="str">
        <f t="shared" si="85"/>
        <v/>
      </c>
      <c r="AK110" s="254" t="str">
        <f t="shared" si="86"/>
        <v/>
      </c>
      <c r="AL110" s="254" t="str">
        <f t="shared" si="105"/>
        <v/>
      </c>
      <c r="AM110" s="255" t="str">
        <f t="shared" si="87"/>
        <v/>
      </c>
      <c r="AN110" s="255" t="str">
        <f t="shared" si="88"/>
        <v/>
      </c>
      <c r="AO110" s="254" t="str">
        <f t="shared" si="89"/>
        <v/>
      </c>
      <c r="AP110" s="254" t="str">
        <f t="shared" si="106"/>
        <v/>
      </c>
      <c r="AQ110" s="255" t="str">
        <f t="shared" si="90"/>
        <v/>
      </c>
      <c r="AR110" s="255" t="str">
        <f t="shared" si="91"/>
        <v/>
      </c>
      <c r="AS110" s="254" t="str">
        <f t="shared" si="92"/>
        <v/>
      </c>
      <c r="AT110" s="254" t="str">
        <f t="shared" si="107"/>
        <v/>
      </c>
      <c r="AU110" s="255" t="str">
        <f t="shared" si="93"/>
        <v/>
      </c>
      <c r="AV110" s="255" t="str">
        <f t="shared" si="94"/>
        <v/>
      </c>
      <c r="AW110" s="256" t="str">
        <f t="shared" si="95"/>
        <v/>
      </c>
      <c r="AX110" s="257" t="str">
        <f t="shared" si="96"/>
        <v/>
      </c>
      <c r="BC110" s="244" t="str">
        <f t="shared" si="97"/>
        <v/>
      </c>
      <c r="BD110" s="244" t="str">
        <f t="shared" si="97"/>
        <v/>
      </c>
      <c r="BF110" s="236">
        <f t="shared" si="98"/>
        <v>1</v>
      </c>
    </row>
    <row r="111" spans="2:58" x14ac:dyDescent="0.25">
      <c r="B111" s="245" t="str">
        <f t="shared" si="61"/>
        <v/>
      </c>
      <c r="C111" s="246" t="str">
        <f>IF('מודל תמיכה חלוקת 20,294,511 שח'!G84="","",'מודל תמיכה חלוקת 20,294,511 שח'!G84)</f>
        <v/>
      </c>
      <c r="D111" s="247" t="str">
        <f>IF(C111="","",'מודל תמיכה חלוקת 20,294,511 שח'!V84)</f>
        <v/>
      </c>
      <c r="E111" s="248" t="str">
        <f t="shared" si="62"/>
        <v/>
      </c>
      <c r="F111" s="249" t="str">
        <f>IF(C111="","",'מודל תמיכה חלוקת 20,294,511 שח'!W84)</f>
        <v/>
      </c>
      <c r="G111" s="248" t="str">
        <f t="shared" si="63"/>
        <v/>
      </c>
      <c r="H111" s="250">
        <v>1</v>
      </c>
      <c r="I111" s="251" t="str">
        <f t="shared" si="64"/>
        <v/>
      </c>
      <c r="J111" s="252" t="str">
        <f t="shared" si="65"/>
        <v/>
      </c>
      <c r="K111" s="253" t="str">
        <f t="shared" si="66"/>
        <v/>
      </c>
      <c r="L111" s="253" t="str">
        <f t="shared" si="67"/>
        <v/>
      </c>
      <c r="M111" s="254" t="str">
        <f t="shared" si="68"/>
        <v/>
      </c>
      <c r="N111" s="254" t="str">
        <f t="shared" si="99"/>
        <v/>
      </c>
      <c r="O111" s="255" t="str">
        <f t="shared" si="69"/>
        <v/>
      </c>
      <c r="P111" s="255" t="str">
        <f t="shared" si="70"/>
        <v/>
      </c>
      <c r="Q111" s="254" t="str">
        <f t="shared" si="71"/>
        <v/>
      </c>
      <c r="R111" s="254" t="str">
        <f t="shared" si="100"/>
        <v/>
      </c>
      <c r="S111" s="255" t="str">
        <f t="shared" si="72"/>
        <v/>
      </c>
      <c r="T111" s="255" t="str">
        <f t="shared" si="73"/>
        <v/>
      </c>
      <c r="U111" s="254" t="str">
        <f t="shared" si="74"/>
        <v/>
      </c>
      <c r="V111" s="254" t="str">
        <f t="shared" si="101"/>
        <v/>
      </c>
      <c r="W111" s="255" t="str">
        <f t="shared" si="75"/>
        <v/>
      </c>
      <c r="X111" s="255" t="str">
        <f t="shared" si="76"/>
        <v/>
      </c>
      <c r="Y111" s="254" t="str">
        <f t="shared" si="77"/>
        <v/>
      </c>
      <c r="Z111" s="254" t="str">
        <f t="shared" si="102"/>
        <v/>
      </c>
      <c r="AA111" s="255" t="str">
        <f t="shared" si="78"/>
        <v/>
      </c>
      <c r="AB111" s="255" t="str">
        <f t="shared" si="79"/>
        <v/>
      </c>
      <c r="AC111" s="254" t="str">
        <f t="shared" si="80"/>
        <v/>
      </c>
      <c r="AD111" s="254" t="str">
        <f t="shared" si="103"/>
        <v/>
      </c>
      <c r="AE111" s="255" t="str">
        <f t="shared" si="81"/>
        <v/>
      </c>
      <c r="AF111" s="255" t="str">
        <f t="shared" si="82"/>
        <v/>
      </c>
      <c r="AG111" s="254" t="str">
        <f t="shared" si="83"/>
        <v/>
      </c>
      <c r="AH111" s="254" t="str">
        <f t="shared" si="104"/>
        <v/>
      </c>
      <c r="AI111" s="255" t="str">
        <f t="shared" si="84"/>
        <v/>
      </c>
      <c r="AJ111" s="255" t="str">
        <f t="shared" si="85"/>
        <v/>
      </c>
      <c r="AK111" s="254" t="str">
        <f t="shared" si="86"/>
        <v/>
      </c>
      <c r="AL111" s="254" t="str">
        <f t="shared" si="105"/>
        <v/>
      </c>
      <c r="AM111" s="255" t="str">
        <f t="shared" si="87"/>
        <v/>
      </c>
      <c r="AN111" s="255" t="str">
        <f t="shared" si="88"/>
        <v/>
      </c>
      <c r="AO111" s="254" t="str">
        <f t="shared" si="89"/>
        <v/>
      </c>
      <c r="AP111" s="254" t="str">
        <f t="shared" si="106"/>
        <v/>
      </c>
      <c r="AQ111" s="255" t="str">
        <f t="shared" si="90"/>
        <v/>
      </c>
      <c r="AR111" s="255" t="str">
        <f t="shared" si="91"/>
        <v/>
      </c>
      <c r="AS111" s="254" t="str">
        <f t="shared" si="92"/>
        <v/>
      </c>
      <c r="AT111" s="254" t="str">
        <f t="shared" si="107"/>
        <v/>
      </c>
      <c r="AU111" s="255" t="str">
        <f t="shared" si="93"/>
        <v/>
      </c>
      <c r="AV111" s="255" t="str">
        <f t="shared" si="94"/>
        <v/>
      </c>
      <c r="AW111" s="256" t="str">
        <f t="shared" si="95"/>
        <v/>
      </c>
      <c r="AX111" s="257" t="str">
        <f t="shared" si="96"/>
        <v/>
      </c>
      <c r="BC111" s="244" t="str">
        <f t="shared" si="97"/>
        <v/>
      </c>
      <c r="BD111" s="244" t="str">
        <f t="shared" si="97"/>
        <v/>
      </c>
      <c r="BF111" s="236">
        <f t="shared" si="98"/>
        <v>1</v>
      </c>
    </row>
    <row r="112" spans="2:58" x14ac:dyDescent="0.25">
      <c r="B112" s="245" t="str">
        <f t="shared" si="61"/>
        <v/>
      </c>
      <c r="C112" s="246" t="str">
        <f>IF('מודל תמיכה חלוקת 20,294,511 שח'!G85="","",'מודל תמיכה חלוקת 20,294,511 שח'!G85)</f>
        <v/>
      </c>
      <c r="D112" s="247" t="str">
        <f>IF(C112="","",'מודל תמיכה חלוקת 20,294,511 שח'!V85)</f>
        <v/>
      </c>
      <c r="E112" s="248" t="str">
        <f t="shared" si="62"/>
        <v/>
      </c>
      <c r="F112" s="249" t="str">
        <f>IF(C112="","",'מודל תמיכה חלוקת 20,294,511 שח'!W85)</f>
        <v/>
      </c>
      <c r="G112" s="248" t="str">
        <f t="shared" si="63"/>
        <v/>
      </c>
      <c r="H112" s="250">
        <v>1</v>
      </c>
      <c r="I112" s="251" t="str">
        <f t="shared" si="64"/>
        <v/>
      </c>
      <c r="J112" s="252" t="str">
        <f t="shared" si="65"/>
        <v/>
      </c>
      <c r="K112" s="253" t="str">
        <f t="shared" si="66"/>
        <v/>
      </c>
      <c r="L112" s="253" t="str">
        <f t="shared" si="67"/>
        <v/>
      </c>
      <c r="M112" s="254" t="str">
        <f t="shared" si="68"/>
        <v/>
      </c>
      <c r="N112" s="254" t="str">
        <f t="shared" si="99"/>
        <v/>
      </c>
      <c r="O112" s="255" t="str">
        <f t="shared" si="69"/>
        <v/>
      </c>
      <c r="P112" s="255" t="str">
        <f t="shared" si="70"/>
        <v/>
      </c>
      <c r="Q112" s="254" t="str">
        <f t="shared" si="71"/>
        <v/>
      </c>
      <c r="R112" s="254" t="str">
        <f t="shared" si="100"/>
        <v/>
      </c>
      <c r="S112" s="255" t="str">
        <f t="shared" si="72"/>
        <v/>
      </c>
      <c r="T112" s="255" t="str">
        <f t="shared" si="73"/>
        <v/>
      </c>
      <c r="U112" s="254" t="str">
        <f t="shared" si="74"/>
        <v/>
      </c>
      <c r="V112" s="254" t="str">
        <f t="shared" si="101"/>
        <v/>
      </c>
      <c r="W112" s="255" t="str">
        <f t="shared" si="75"/>
        <v/>
      </c>
      <c r="X112" s="255" t="str">
        <f t="shared" si="76"/>
        <v/>
      </c>
      <c r="Y112" s="254" t="str">
        <f t="shared" si="77"/>
        <v/>
      </c>
      <c r="Z112" s="254" t="str">
        <f t="shared" si="102"/>
        <v/>
      </c>
      <c r="AA112" s="255" t="str">
        <f t="shared" si="78"/>
        <v/>
      </c>
      <c r="AB112" s="255" t="str">
        <f t="shared" si="79"/>
        <v/>
      </c>
      <c r="AC112" s="254" t="str">
        <f t="shared" si="80"/>
        <v/>
      </c>
      <c r="AD112" s="254" t="str">
        <f t="shared" si="103"/>
        <v/>
      </c>
      <c r="AE112" s="255" t="str">
        <f t="shared" si="81"/>
        <v/>
      </c>
      <c r="AF112" s="255" t="str">
        <f t="shared" si="82"/>
        <v/>
      </c>
      <c r="AG112" s="254" t="str">
        <f t="shared" si="83"/>
        <v/>
      </c>
      <c r="AH112" s="254" t="str">
        <f t="shared" si="104"/>
        <v/>
      </c>
      <c r="AI112" s="255" t="str">
        <f t="shared" si="84"/>
        <v/>
      </c>
      <c r="AJ112" s="255" t="str">
        <f t="shared" si="85"/>
        <v/>
      </c>
      <c r="AK112" s="254" t="str">
        <f t="shared" si="86"/>
        <v/>
      </c>
      <c r="AL112" s="254" t="str">
        <f t="shared" si="105"/>
        <v/>
      </c>
      <c r="AM112" s="255" t="str">
        <f t="shared" si="87"/>
        <v/>
      </c>
      <c r="AN112" s="255" t="str">
        <f t="shared" si="88"/>
        <v/>
      </c>
      <c r="AO112" s="254" t="str">
        <f t="shared" si="89"/>
        <v/>
      </c>
      <c r="AP112" s="254" t="str">
        <f t="shared" si="106"/>
        <v/>
      </c>
      <c r="AQ112" s="255" t="str">
        <f t="shared" si="90"/>
        <v/>
      </c>
      <c r="AR112" s="255" t="str">
        <f t="shared" si="91"/>
        <v/>
      </c>
      <c r="AS112" s="254" t="str">
        <f t="shared" si="92"/>
        <v/>
      </c>
      <c r="AT112" s="254" t="str">
        <f t="shared" si="107"/>
        <v/>
      </c>
      <c r="AU112" s="255" t="str">
        <f t="shared" si="93"/>
        <v/>
      </c>
      <c r="AV112" s="255" t="str">
        <f t="shared" si="94"/>
        <v/>
      </c>
      <c r="AW112" s="256" t="str">
        <f t="shared" si="95"/>
        <v/>
      </c>
      <c r="AX112" s="257" t="str">
        <f t="shared" si="96"/>
        <v/>
      </c>
      <c r="BC112" s="244" t="str">
        <f t="shared" si="97"/>
        <v/>
      </c>
      <c r="BD112" s="244" t="str">
        <f t="shared" si="97"/>
        <v/>
      </c>
      <c r="BF112" s="236">
        <f t="shared" si="98"/>
        <v>1</v>
      </c>
    </row>
    <row r="113" spans="2:58" x14ac:dyDescent="0.25">
      <c r="B113" s="245" t="str">
        <f t="shared" si="61"/>
        <v/>
      </c>
      <c r="C113" s="246" t="str">
        <f>IF('מודל תמיכה חלוקת 20,294,511 שח'!G86="","",'מודל תמיכה חלוקת 20,294,511 שח'!G86)</f>
        <v/>
      </c>
      <c r="D113" s="247" t="str">
        <f>IF(C113="","",'מודל תמיכה חלוקת 20,294,511 שח'!V86)</f>
        <v/>
      </c>
      <c r="E113" s="248" t="str">
        <f t="shared" si="62"/>
        <v/>
      </c>
      <c r="F113" s="249" t="str">
        <f>IF(C113="","",'מודל תמיכה חלוקת 20,294,511 שח'!W86)</f>
        <v/>
      </c>
      <c r="G113" s="248" t="str">
        <f t="shared" si="63"/>
        <v/>
      </c>
      <c r="H113" s="250">
        <v>1</v>
      </c>
      <c r="I113" s="251" t="str">
        <f t="shared" si="64"/>
        <v/>
      </c>
      <c r="J113" s="252" t="str">
        <f t="shared" si="65"/>
        <v/>
      </c>
      <c r="K113" s="253" t="str">
        <f t="shared" si="66"/>
        <v/>
      </c>
      <c r="L113" s="253" t="str">
        <f t="shared" si="67"/>
        <v/>
      </c>
      <c r="M113" s="254" t="str">
        <f t="shared" si="68"/>
        <v/>
      </c>
      <c r="N113" s="254" t="str">
        <f t="shared" si="99"/>
        <v/>
      </c>
      <c r="O113" s="255" t="str">
        <f t="shared" si="69"/>
        <v/>
      </c>
      <c r="P113" s="255" t="str">
        <f t="shared" si="70"/>
        <v/>
      </c>
      <c r="Q113" s="254" t="str">
        <f t="shared" si="71"/>
        <v/>
      </c>
      <c r="R113" s="254" t="str">
        <f t="shared" si="100"/>
        <v/>
      </c>
      <c r="S113" s="255" t="str">
        <f t="shared" si="72"/>
        <v/>
      </c>
      <c r="T113" s="255" t="str">
        <f t="shared" si="73"/>
        <v/>
      </c>
      <c r="U113" s="254" t="str">
        <f t="shared" si="74"/>
        <v/>
      </c>
      <c r="V113" s="254" t="str">
        <f t="shared" si="101"/>
        <v/>
      </c>
      <c r="W113" s="255" t="str">
        <f t="shared" si="75"/>
        <v/>
      </c>
      <c r="X113" s="255" t="str">
        <f t="shared" si="76"/>
        <v/>
      </c>
      <c r="Y113" s="254" t="str">
        <f t="shared" si="77"/>
        <v/>
      </c>
      <c r="Z113" s="254" t="str">
        <f t="shared" si="102"/>
        <v/>
      </c>
      <c r="AA113" s="255" t="str">
        <f t="shared" si="78"/>
        <v/>
      </c>
      <c r="AB113" s="255" t="str">
        <f t="shared" si="79"/>
        <v/>
      </c>
      <c r="AC113" s="254" t="str">
        <f t="shared" si="80"/>
        <v/>
      </c>
      <c r="AD113" s="254" t="str">
        <f t="shared" si="103"/>
        <v/>
      </c>
      <c r="AE113" s="255" t="str">
        <f t="shared" si="81"/>
        <v/>
      </c>
      <c r="AF113" s="255" t="str">
        <f t="shared" si="82"/>
        <v/>
      </c>
      <c r="AG113" s="254" t="str">
        <f t="shared" si="83"/>
        <v/>
      </c>
      <c r="AH113" s="254" t="str">
        <f t="shared" si="104"/>
        <v/>
      </c>
      <c r="AI113" s="255" t="str">
        <f t="shared" si="84"/>
        <v/>
      </c>
      <c r="AJ113" s="255" t="str">
        <f t="shared" si="85"/>
        <v/>
      </c>
      <c r="AK113" s="254" t="str">
        <f t="shared" si="86"/>
        <v/>
      </c>
      <c r="AL113" s="254" t="str">
        <f t="shared" si="105"/>
        <v/>
      </c>
      <c r="AM113" s="255" t="str">
        <f t="shared" si="87"/>
        <v/>
      </c>
      <c r="AN113" s="255" t="str">
        <f t="shared" si="88"/>
        <v/>
      </c>
      <c r="AO113" s="254" t="str">
        <f t="shared" si="89"/>
        <v/>
      </c>
      <c r="AP113" s="254" t="str">
        <f t="shared" si="106"/>
        <v/>
      </c>
      <c r="AQ113" s="255" t="str">
        <f t="shared" si="90"/>
        <v/>
      </c>
      <c r="AR113" s="255" t="str">
        <f t="shared" si="91"/>
        <v/>
      </c>
      <c r="AS113" s="254" t="str">
        <f t="shared" si="92"/>
        <v/>
      </c>
      <c r="AT113" s="254" t="str">
        <f t="shared" si="107"/>
        <v/>
      </c>
      <c r="AU113" s="255" t="str">
        <f t="shared" si="93"/>
        <v/>
      </c>
      <c r="AV113" s="255" t="str">
        <f t="shared" si="94"/>
        <v/>
      </c>
      <c r="AW113" s="256" t="str">
        <f t="shared" si="95"/>
        <v/>
      </c>
      <c r="AX113" s="257" t="str">
        <f t="shared" si="96"/>
        <v/>
      </c>
      <c r="BC113" s="244" t="str">
        <f t="shared" si="97"/>
        <v/>
      </c>
      <c r="BD113" s="244" t="str">
        <f t="shared" si="97"/>
        <v/>
      </c>
      <c r="BF113" s="236">
        <f t="shared" si="98"/>
        <v>1</v>
      </c>
    </row>
    <row r="114" spans="2:58" x14ac:dyDescent="0.25">
      <c r="B114" s="245" t="str">
        <f t="shared" si="61"/>
        <v/>
      </c>
      <c r="C114" s="246" t="str">
        <f>IF('מודל תמיכה חלוקת 20,294,511 שח'!G87="","",'מודל תמיכה חלוקת 20,294,511 שח'!G87)</f>
        <v/>
      </c>
      <c r="D114" s="247" t="str">
        <f>IF(C114="","",'מודל תמיכה חלוקת 20,294,511 שח'!V87)</f>
        <v/>
      </c>
      <c r="E114" s="248" t="str">
        <f t="shared" si="62"/>
        <v/>
      </c>
      <c r="F114" s="249" t="str">
        <f>IF(C114="","",'מודל תמיכה חלוקת 20,294,511 שח'!W87)</f>
        <v/>
      </c>
      <c r="G114" s="248" t="str">
        <f t="shared" si="63"/>
        <v/>
      </c>
      <c r="H114" s="250">
        <v>1</v>
      </c>
      <c r="I114" s="251" t="str">
        <f t="shared" si="64"/>
        <v/>
      </c>
      <c r="J114" s="252" t="str">
        <f t="shared" si="65"/>
        <v/>
      </c>
      <c r="K114" s="253" t="str">
        <f t="shared" si="66"/>
        <v/>
      </c>
      <c r="L114" s="253" t="str">
        <f t="shared" si="67"/>
        <v/>
      </c>
      <c r="M114" s="254" t="str">
        <f t="shared" si="68"/>
        <v/>
      </c>
      <c r="N114" s="254" t="str">
        <f t="shared" si="99"/>
        <v/>
      </c>
      <c r="O114" s="255" t="str">
        <f t="shared" si="69"/>
        <v/>
      </c>
      <c r="P114" s="255" t="str">
        <f t="shared" si="70"/>
        <v/>
      </c>
      <c r="Q114" s="254" t="str">
        <f t="shared" si="71"/>
        <v/>
      </c>
      <c r="R114" s="254" t="str">
        <f t="shared" si="100"/>
        <v/>
      </c>
      <c r="S114" s="255" t="str">
        <f t="shared" si="72"/>
        <v/>
      </c>
      <c r="T114" s="255" t="str">
        <f t="shared" si="73"/>
        <v/>
      </c>
      <c r="U114" s="254" t="str">
        <f t="shared" si="74"/>
        <v/>
      </c>
      <c r="V114" s="254" t="str">
        <f t="shared" si="101"/>
        <v/>
      </c>
      <c r="W114" s="255" t="str">
        <f t="shared" si="75"/>
        <v/>
      </c>
      <c r="X114" s="255" t="str">
        <f t="shared" si="76"/>
        <v/>
      </c>
      <c r="Y114" s="254" t="str">
        <f t="shared" si="77"/>
        <v/>
      </c>
      <c r="Z114" s="254" t="str">
        <f t="shared" si="102"/>
        <v/>
      </c>
      <c r="AA114" s="255" t="str">
        <f t="shared" si="78"/>
        <v/>
      </c>
      <c r="AB114" s="255" t="str">
        <f t="shared" si="79"/>
        <v/>
      </c>
      <c r="AC114" s="254" t="str">
        <f t="shared" si="80"/>
        <v/>
      </c>
      <c r="AD114" s="254" t="str">
        <f t="shared" si="103"/>
        <v/>
      </c>
      <c r="AE114" s="255" t="str">
        <f t="shared" si="81"/>
        <v/>
      </c>
      <c r="AF114" s="255" t="str">
        <f t="shared" si="82"/>
        <v/>
      </c>
      <c r="AG114" s="254" t="str">
        <f t="shared" si="83"/>
        <v/>
      </c>
      <c r="AH114" s="254" t="str">
        <f t="shared" si="104"/>
        <v/>
      </c>
      <c r="AI114" s="255" t="str">
        <f t="shared" si="84"/>
        <v/>
      </c>
      <c r="AJ114" s="255" t="str">
        <f t="shared" si="85"/>
        <v/>
      </c>
      <c r="AK114" s="254" t="str">
        <f t="shared" si="86"/>
        <v/>
      </c>
      <c r="AL114" s="254" t="str">
        <f t="shared" si="105"/>
        <v/>
      </c>
      <c r="AM114" s="255" t="str">
        <f t="shared" si="87"/>
        <v/>
      </c>
      <c r="AN114" s="255" t="str">
        <f t="shared" si="88"/>
        <v/>
      </c>
      <c r="AO114" s="254" t="str">
        <f t="shared" si="89"/>
        <v/>
      </c>
      <c r="AP114" s="254" t="str">
        <f t="shared" si="106"/>
        <v/>
      </c>
      <c r="AQ114" s="255" t="str">
        <f t="shared" si="90"/>
        <v/>
      </c>
      <c r="AR114" s="255" t="str">
        <f t="shared" si="91"/>
        <v/>
      </c>
      <c r="AS114" s="254" t="str">
        <f t="shared" si="92"/>
        <v/>
      </c>
      <c r="AT114" s="254" t="str">
        <f t="shared" si="107"/>
        <v/>
      </c>
      <c r="AU114" s="255" t="str">
        <f t="shared" si="93"/>
        <v/>
      </c>
      <c r="AV114" s="255" t="str">
        <f t="shared" si="94"/>
        <v/>
      </c>
      <c r="AW114" s="256" t="str">
        <f t="shared" si="95"/>
        <v/>
      </c>
      <c r="AX114" s="257" t="str">
        <f t="shared" si="96"/>
        <v/>
      </c>
      <c r="BC114" s="244" t="str">
        <f t="shared" si="97"/>
        <v/>
      </c>
      <c r="BD114" s="244" t="str">
        <f t="shared" si="97"/>
        <v/>
      </c>
      <c r="BF114" s="236">
        <f t="shared" si="98"/>
        <v>1</v>
      </c>
    </row>
    <row r="115" spans="2:58" x14ac:dyDescent="0.25">
      <c r="B115" s="245" t="str">
        <f t="shared" si="61"/>
        <v/>
      </c>
      <c r="C115" s="246" t="str">
        <f>IF('מודל תמיכה חלוקת 20,294,511 שח'!G88="","",'מודל תמיכה חלוקת 20,294,511 שח'!G88)</f>
        <v/>
      </c>
      <c r="D115" s="247" t="str">
        <f>IF(C115="","",'מודל תמיכה חלוקת 20,294,511 שח'!V88)</f>
        <v/>
      </c>
      <c r="E115" s="248" t="str">
        <f t="shared" si="62"/>
        <v/>
      </c>
      <c r="F115" s="249" t="str">
        <f>IF(C115="","",'מודל תמיכה חלוקת 20,294,511 שח'!W88)</f>
        <v/>
      </c>
      <c r="G115" s="248" t="str">
        <f t="shared" si="63"/>
        <v/>
      </c>
      <c r="H115" s="250">
        <v>1</v>
      </c>
      <c r="I115" s="251" t="str">
        <f t="shared" si="64"/>
        <v/>
      </c>
      <c r="J115" s="252" t="str">
        <f t="shared" si="65"/>
        <v/>
      </c>
      <c r="K115" s="253" t="str">
        <f t="shared" si="66"/>
        <v/>
      </c>
      <c r="L115" s="253" t="str">
        <f t="shared" si="67"/>
        <v/>
      </c>
      <c r="M115" s="254" t="str">
        <f t="shared" si="68"/>
        <v/>
      </c>
      <c r="N115" s="254" t="str">
        <f t="shared" si="99"/>
        <v/>
      </c>
      <c r="O115" s="255" t="str">
        <f t="shared" si="69"/>
        <v/>
      </c>
      <c r="P115" s="255" t="str">
        <f t="shared" si="70"/>
        <v/>
      </c>
      <c r="Q115" s="254" t="str">
        <f t="shared" si="71"/>
        <v/>
      </c>
      <c r="R115" s="254" t="str">
        <f t="shared" si="100"/>
        <v/>
      </c>
      <c r="S115" s="255" t="str">
        <f t="shared" si="72"/>
        <v/>
      </c>
      <c r="T115" s="255" t="str">
        <f t="shared" si="73"/>
        <v/>
      </c>
      <c r="U115" s="254" t="str">
        <f t="shared" si="74"/>
        <v/>
      </c>
      <c r="V115" s="254" t="str">
        <f t="shared" si="101"/>
        <v/>
      </c>
      <c r="W115" s="255" t="str">
        <f t="shared" si="75"/>
        <v/>
      </c>
      <c r="X115" s="255" t="str">
        <f t="shared" si="76"/>
        <v/>
      </c>
      <c r="Y115" s="254" t="str">
        <f t="shared" si="77"/>
        <v/>
      </c>
      <c r="Z115" s="254" t="str">
        <f t="shared" si="102"/>
        <v/>
      </c>
      <c r="AA115" s="255" t="str">
        <f t="shared" si="78"/>
        <v/>
      </c>
      <c r="AB115" s="255" t="str">
        <f t="shared" si="79"/>
        <v/>
      </c>
      <c r="AC115" s="254" t="str">
        <f t="shared" si="80"/>
        <v/>
      </c>
      <c r="AD115" s="254" t="str">
        <f t="shared" si="103"/>
        <v/>
      </c>
      <c r="AE115" s="255" t="str">
        <f t="shared" si="81"/>
        <v/>
      </c>
      <c r="AF115" s="255" t="str">
        <f t="shared" si="82"/>
        <v/>
      </c>
      <c r="AG115" s="254" t="str">
        <f t="shared" si="83"/>
        <v/>
      </c>
      <c r="AH115" s="254" t="str">
        <f t="shared" si="104"/>
        <v/>
      </c>
      <c r="AI115" s="255" t="str">
        <f t="shared" si="84"/>
        <v/>
      </c>
      <c r="AJ115" s="255" t="str">
        <f t="shared" si="85"/>
        <v/>
      </c>
      <c r="AK115" s="254" t="str">
        <f t="shared" si="86"/>
        <v/>
      </c>
      <c r="AL115" s="254" t="str">
        <f t="shared" si="105"/>
        <v/>
      </c>
      <c r="AM115" s="255" t="str">
        <f t="shared" si="87"/>
        <v/>
      </c>
      <c r="AN115" s="255" t="str">
        <f t="shared" si="88"/>
        <v/>
      </c>
      <c r="AO115" s="254" t="str">
        <f t="shared" si="89"/>
        <v/>
      </c>
      <c r="AP115" s="254" t="str">
        <f t="shared" si="106"/>
        <v/>
      </c>
      <c r="AQ115" s="255" t="str">
        <f t="shared" si="90"/>
        <v/>
      </c>
      <c r="AR115" s="255" t="str">
        <f t="shared" si="91"/>
        <v/>
      </c>
      <c r="AS115" s="254" t="str">
        <f t="shared" si="92"/>
        <v/>
      </c>
      <c r="AT115" s="254" t="str">
        <f t="shared" si="107"/>
        <v/>
      </c>
      <c r="AU115" s="255" t="str">
        <f t="shared" si="93"/>
        <v/>
      </c>
      <c r="AV115" s="255" t="str">
        <f t="shared" si="94"/>
        <v/>
      </c>
      <c r="AW115" s="256" t="str">
        <f t="shared" si="95"/>
        <v/>
      </c>
      <c r="AX115" s="257" t="str">
        <f t="shared" si="96"/>
        <v/>
      </c>
      <c r="BC115" s="244" t="str">
        <f t="shared" si="97"/>
        <v/>
      </c>
      <c r="BD115" s="244" t="str">
        <f t="shared" si="97"/>
        <v/>
      </c>
      <c r="BF115" s="236">
        <f t="shared" si="98"/>
        <v>1</v>
      </c>
    </row>
    <row r="116" spans="2:58" x14ac:dyDescent="0.25">
      <c r="B116" s="245" t="str">
        <f t="shared" si="61"/>
        <v/>
      </c>
      <c r="C116" s="246" t="str">
        <f>IF('מודל תמיכה חלוקת 20,294,511 שח'!G89="","",'מודל תמיכה חלוקת 20,294,511 שח'!G89)</f>
        <v/>
      </c>
      <c r="D116" s="247" t="str">
        <f>IF(C116="","",'מודל תמיכה חלוקת 20,294,511 שח'!V89)</f>
        <v/>
      </c>
      <c r="E116" s="248" t="str">
        <f t="shared" si="62"/>
        <v/>
      </c>
      <c r="F116" s="249" t="str">
        <f>IF(C116="","",'מודל תמיכה חלוקת 20,294,511 שח'!W89)</f>
        <v/>
      </c>
      <c r="G116" s="248" t="str">
        <f t="shared" si="63"/>
        <v/>
      </c>
      <c r="H116" s="250">
        <v>1</v>
      </c>
      <c r="I116" s="251" t="str">
        <f t="shared" si="64"/>
        <v/>
      </c>
      <c r="J116" s="252" t="str">
        <f t="shared" si="65"/>
        <v/>
      </c>
      <c r="K116" s="253" t="str">
        <f t="shared" si="66"/>
        <v/>
      </c>
      <c r="L116" s="253" t="str">
        <f t="shared" si="67"/>
        <v/>
      </c>
      <c r="M116" s="254" t="str">
        <f t="shared" si="68"/>
        <v/>
      </c>
      <c r="N116" s="254" t="str">
        <f t="shared" si="99"/>
        <v/>
      </c>
      <c r="O116" s="255" t="str">
        <f t="shared" si="69"/>
        <v/>
      </c>
      <c r="P116" s="255" t="str">
        <f t="shared" si="70"/>
        <v/>
      </c>
      <c r="Q116" s="254" t="str">
        <f t="shared" si="71"/>
        <v/>
      </c>
      <c r="R116" s="254" t="str">
        <f t="shared" si="100"/>
        <v/>
      </c>
      <c r="S116" s="255" t="str">
        <f t="shared" si="72"/>
        <v/>
      </c>
      <c r="T116" s="255" t="str">
        <f t="shared" si="73"/>
        <v/>
      </c>
      <c r="U116" s="254" t="str">
        <f t="shared" si="74"/>
        <v/>
      </c>
      <c r="V116" s="254" t="str">
        <f t="shared" si="101"/>
        <v/>
      </c>
      <c r="W116" s="255" t="str">
        <f t="shared" si="75"/>
        <v/>
      </c>
      <c r="X116" s="255" t="str">
        <f t="shared" si="76"/>
        <v/>
      </c>
      <c r="Y116" s="254" t="str">
        <f t="shared" si="77"/>
        <v/>
      </c>
      <c r="Z116" s="254" t="str">
        <f t="shared" si="102"/>
        <v/>
      </c>
      <c r="AA116" s="255" t="str">
        <f t="shared" si="78"/>
        <v/>
      </c>
      <c r="AB116" s="255" t="str">
        <f t="shared" si="79"/>
        <v/>
      </c>
      <c r="AC116" s="254" t="str">
        <f t="shared" si="80"/>
        <v/>
      </c>
      <c r="AD116" s="254" t="str">
        <f t="shared" si="103"/>
        <v/>
      </c>
      <c r="AE116" s="255" t="str">
        <f t="shared" si="81"/>
        <v/>
      </c>
      <c r="AF116" s="255" t="str">
        <f t="shared" si="82"/>
        <v/>
      </c>
      <c r="AG116" s="254" t="str">
        <f t="shared" si="83"/>
        <v/>
      </c>
      <c r="AH116" s="254" t="str">
        <f t="shared" si="104"/>
        <v/>
      </c>
      <c r="AI116" s="255" t="str">
        <f t="shared" si="84"/>
        <v/>
      </c>
      <c r="AJ116" s="255" t="str">
        <f t="shared" si="85"/>
        <v/>
      </c>
      <c r="AK116" s="254" t="str">
        <f t="shared" si="86"/>
        <v/>
      </c>
      <c r="AL116" s="254" t="str">
        <f t="shared" si="105"/>
        <v/>
      </c>
      <c r="AM116" s="255" t="str">
        <f t="shared" si="87"/>
        <v/>
      </c>
      <c r="AN116" s="255" t="str">
        <f t="shared" si="88"/>
        <v/>
      </c>
      <c r="AO116" s="254" t="str">
        <f t="shared" si="89"/>
        <v/>
      </c>
      <c r="AP116" s="254" t="str">
        <f t="shared" si="106"/>
        <v/>
      </c>
      <c r="AQ116" s="255" t="str">
        <f t="shared" si="90"/>
        <v/>
      </c>
      <c r="AR116" s="255" t="str">
        <f t="shared" si="91"/>
        <v/>
      </c>
      <c r="AS116" s="254" t="str">
        <f t="shared" si="92"/>
        <v/>
      </c>
      <c r="AT116" s="254" t="str">
        <f t="shared" si="107"/>
        <v/>
      </c>
      <c r="AU116" s="255" t="str">
        <f t="shared" si="93"/>
        <v/>
      </c>
      <c r="AV116" s="255" t="str">
        <f t="shared" si="94"/>
        <v/>
      </c>
      <c r="AW116" s="256" t="str">
        <f t="shared" si="95"/>
        <v/>
      </c>
      <c r="AX116" s="257" t="str">
        <f t="shared" si="96"/>
        <v/>
      </c>
      <c r="BC116" s="244" t="str">
        <f t="shared" si="97"/>
        <v/>
      </c>
      <c r="BD116" s="244" t="str">
        <f t="shared" si="97"/>
        <v/>
      </c>
      <c r="BF116" s="236">
        <f t="shared" si="98"/>
        <v>1</v>
      </c>
    </row>
    <row r="117" spans="2:58" x14ac:dyDescent="0.25">
      <c r="B117" s="245" t="str">
        <f t="shared" si="61"/>
        <v/>
      </c>
      <c r="C117" s="246" t="str">
        <f>IF('מודל תמיכה חלוקת 20,294,511 שח'!G90="","",'מודל תמיכה חלוקת 20,294,511 שח'!G90)</f>
        <v/>
      </c>
      <c r="D117" s="247" t="str">
        <f>IF(C117="","",'מודל תמיכה חלוקת 20,294,511 שח'!V90)</f>
        <v/>
      </c>
      <c r="E117" s="248" t="str">
        <f t="shared" si="62"/>
        <v/>
      </c>
      <c r="F117" s="249" t="str">
        <f>IF(C117="","",'מודל תמיכה חלוקת 20,294,511 שח'!W90)</f>
        <v/>
      </c>
      <c r="G117" s="248" t="str">
        <f t="shared" si="63"/>
        <v/>
      </c>
      <c r="H117" s="250">
        <v>1</v>
      </c>
      <c r="I117" s="251" t="str">
        <f t="shared" si="64"/>
        <v/>
      </c>
      <c r="J117" s="252" t="str">
        <f t="shared" si="65"/>
        <v/>
      </c>
      <c r="K117" s="253" t="str">
        <f t="shared" si="66"/>
        <v/>
      </c>
      <c r="L117" s="253" t="str">
        <f t="shared" si="67"/>
        <v/>
      </c>
      <c r="M117" s="254" t="str">
        <f t="shared" si="68"/>
        <v/>
      </c>
      <c r="N117" s="254" t="str">
        <f t="shared" si="99"/>
        <v/>
      </c>
      <c r="O117" s="255" t="str">
        <f t="shared" si="69"/>
        <v/>
      </c>
      <c r="P117" s="255" t="str">
        <f t="shared" si="70"/>
        <v/>
      </c>
      <c r="Q117" s="254" t="str">
        <f t="shared" si="71"/>
        <v/>
      </c>
      <c r="R117" s="254" t="str">
        <f t="shared" si="100"/>
        <v/>
      </c>
      <c r="S117" s="255" t="str">
        <f t="shared" si="72"/>
        <v/>
      </c>
      <c r="T117" s="255" t="str">
        <f t="shared" si="73"/>
        <v/>
      </c>
      <c r="U117" s="254" t="str">
        <f t="shared" si="74"/>
        <v/>
      </c>
      <c r="V117" s="254" t="str">
        <f t="shared" si="101"/>
        <v/>
      </c>
      <c r="W117" s="255" t="str">
        <f t="shared" si="75"/>
        <v/>
      </c>
      <c r="X117" s="255" t="str">
        <f t="shared" si="76"/>
        <v/>
      </c>
      <c r="Y117" s="254" t="str">
        <f t="shared" si="77"/>
        <v/>
      </c>
      <c r="Z117" s="254" t="str">
        <f t="shared" si="102"/>
        <v/>
      </c>
      <c r="AA117" s="255" t="str">
        <f t="shared" si="78"/>
        <v/>
      </c>
      <c r="AB117" s="255" t="str">
        <f t="shared" si="79"/>
        <v/>
      </c>
      <c r="AC117" s="254" t="str">
        <f t="shared" si="80"/>
        <v/>
      </c>
      <c r="AD117" s="254" t="str">
        <f t="shared" si="103"/>
        <v/>
      </c>
      <c r="AE117" s="255" t="str">
        <f t="shared" si="81"/>
        <v/>
      </c>
      <c r="AF117" s="255" t="str">
        <f t="shared" si="82"/>
        <v/>
      </c>
      <c r="AG117" s="254" t="str">
        <f t="shared" si="83"/>
        <v/>
      </c>
      <c r="AH117" s="254" t="str">
        <f t="shared" si="104"/>
        <v/>
      </c>
      <c r="AI117" s="255" t="str">
        <f t="shared" si="84"/>
        <v/>
      </c>
      <c r="AJ117" s="255" t="str">
        <f t="shared" si="85"/>
        <v/>
      </c>
      <c r="AK117" s="254" t="str">
        <f t="shared" si="86"/>
        <v/>
      </c>
      <c r="AL117" s="254" t="str">
        <f t="shared" si="105"/>
        <v/>
      </c>
      <c r="AM117" s="255" t="str">
        <f t="shared" si="87"/>
        <v/>
      </c>
      <c r="AN117" s="255" t="str">
        <f t="shared" si="88"/>
        <v/>
      </c>
      <c r="AO117" s="254" t="str">
        <f t="shared" si="89"/>
        <v/>
      </c>
      <c r="AP117" s="254" t="str">
        <f t="shared" si="106"/>
        <v/>
      </c>
      <c r="AQ117" s="255" t="str">
        <f t="shared" si="90"/>
        <v/>
      </c>
      <c r="AR117" s="255" t="str">
        <f t="shared" si="91"/>
        <v/>
      </c>
      <c r="AS117" s="254" t="str">
        <f t="shared" si="92"/>
        <v/>
      </c>
      <c r="AT117" s="254" t="str">
        <f t="shared" si="107"/>
        <v/>
      </c>
      <c r="AU117" s="255" t="str">
        <f t="shared" si="93"/>
        <v/>
      </c>
      <c r="AV117" s="255" t="str">
        <f t="shared" si="94"/>
        <v/>
      </c>
      <c r="AW117" s="256" t="str">
        <f t="shared" si="95"/>
        <v/>
      </c>
      <c r="AX117" s="257" t="str">
        <f t="shared" si="96"/>
        <v/>
      </c>
      <c r="BC117" s="244" t="str">
        <f t="shared" si="97"/>
        <v/>
      </c>
      <c r="BD117" s="244" t="str">
        <f t="shared" si="97"/>
        <v/>
      </c>
      <c r="BF117" s="236">
        <f t="shared" si="98"/>
        <v>1</v>
      </c>
    </row>
    <row r="118" spans="2:58" x14ac:dyDescent="0.25">
      <c r="B118" s="245" t="str">
        <f t="shared" si="61"/>
        <v/>
      </c>
      <c r="C118" s="246" t="str">
        <f>IF('מודל תמיכה חלוקת 20,294,511 שח'!G91="","",'מודל תמיכה חלוקת 20,294,511 שח'!G91)</f>
        <v/>
      </c>
      <c r="D118" s="247" t="str">
        <f>IF(C118="","",'מודל תמיכה חלוקת 20,294,511 שח'!V91)</f>
        <v/>
      </c>
      <c r="E118" s="248" t="str">
        <f t="shared" si="62"/>
        <v/>
      </c>
      <c r="F118" s="249" t="str">
        <f>IF(C118="","",'מודל תמיכה חלוקת 20,294,511 שח'!W91)</f>
        <v/>
      </c>
      <c r="G118" s="248" t="str">
        <f t="shared" si="63"/>
        <v/>
      </c>
      <c r="H118" s="250">
        <v>1</v>
      </c>
      <c r="I118" s="251" t="str">
        <f t="shared" si="64"/>
        <v/>
      </c>
      <c r="J118" s="252" t="str">
        <f t="shared" si="65"/>
        <v/>
      </c>
      <c r="K118" s="253" t="str">
        <f t="shared" si="66"/>
        <v/>
      </c>
      <c r="L118" s="253" t="str">
        <f t="shared" si="67"/>
        <v/>
      </c>
      <c r="M118" s="254" t="str">
        <f t="shared" si="68"/>
        <v/>
      </c>
      <c r="N118" s="254" t="str">
        <f t="shared" si="99"/>
        <v/>
      </c>
      <c r="O118" s="255" t="str">
        <f t="shared" si="69"/>
        <v/>
      </c>
      <c r="P118" s="255" t="str">
        <f t="shared" si="70"/>
        <v/>
      </c>
      <c r="Q118" s="254" t="str">
        <f t="shared" si="71"/>
        <v/>
      </c>
      <c r="R118" s="254" t="str">
        <f t="shared" si="100"/>
        <v/>
      </c>
      <c r="S118" s="255" t="str">
        <f t="shared" si="72"/>
        <v/>
      </c>
      <c r="T118" s="255" t="str">
        <f t="shared" si="73"/>
        <v/>
      </c>
      <c r="U118" s="254" t="str">
        <f t="shared" si="74"/>
        <v/>
      </c>
      <c r="V118" s="254" t="str">
        <f t="shared" si="101"/>
        <v/>
      </c>
      <c r="W118" s="255" t="str">
        <f t="shared" si="75"/>
        <v/>
      </c>
      <c r="X118" s="255" t="str">
        <f t="shared" si="76"/>
        <v/>
      </c>
      <c r="Y118" s="254" t="str">
        <f t="shared" si="77"/>
        <v/>
      </c>
      <c r="Z118" s="254" t="str">
        <f t="shared" si="102"/>
        <v/>
      </c>
      <c r="AA118" s="255" t="str">
        <f t="shared" si="78"/>
        <v/>
      </c>
      <c r="AB118" s="255" t="str">
        <f t="shared" si="79"/>
        <v/>
      </c>
      <c r="AC118" s="254" t="str">
        <f t="shared" si="80"/>
        <v/>
      </c>
      <c r="AD118" s="254" t="str">
        <f t="shared" si="103"/>
        <v/>
      </c>
      <c r="AE118" s="255" t="str">
        <f t="shared" si="81"/>
        <v/>
      </c>
      <c r="AF118" s="255" t="str">
        <f t="shared" si="82"/>
        <v/>
      </c>
      <c r="AG118" s="254" t="str">
        <f t="shared" si="83"/>
        <v/>
      </c>
      <c r="AH118" s="254" t="str">
        <f t="shared" si="104"/>
        <v/>
      </c>
      <c r="AI118" s="255" t="str">
        <f t="shared" si="84"/>
        <v/>
      </c>
      <c r="AJ118" s="255" t="str">
        <f t="shared" si="85"/>
        <v/>
      </c>
      <c r="AK118" s="254" t="str">
        <f t="shared" si="86"/>
        <v/>
      </c>
      <c r="AL118" s="254" t="str">
        <f t="shared" si="105"/>
        <v/>
      </c>
      <c r="AM118" s="255" t="str">
        <f t="shared" si="87"/>
        <v/>
      </c>
      <c r="AN118" s="255" t="str">
        <f t="shared" si="88"/>
        <v/>
      </c>
      <c r="AO118" s="254" t="str">
        <f t="shared" si="89"/>
        <v/>
      </c>
      <c r="AP118" s="254" t="str">
        <f t="shared" si="106"/>
        <v/>
      </c>
      <c r="AQ118" s="255" t="str">
        <f t="shared" si="90"/>
        <v/>
      </c>
      <c r="AR118" s="255" t="str">
        <f t="shared" si="91"/>
        <v/>
      </c>
      <c r="AS118" s="254" t="str">
        <f t="shared" si="92"/>
        <v/>
      </c>
      <c r="AT118" s="254" t="str">
        <f t="shared" si="107"/>
        <v/>
      </c>
      <c r="AU118" s="255" t="str">
        <f t="shared" si="93"/>
        <v/>
      </c>
      <c r="AV118" s="255" t="str">
        <f t="shared" si="94"/>
        <v/>
      </c>
      <c r="AW118" s="256" t="str">
        <f t="shared" si="95"/>
        <v/>
      </c>
      <c r="AX118" s="257" t="str">
        <f t="shared" si="96"/>
        <v/>
      </c>
      <c r="BC118" s="244" t="str">
        <f t="shared" si="97"/>
        <v/>
      </c>
      <c r="BD118" s="244" t="str">
        <f t="shared" si="97"/>
        <v/>
      </c>
      <c r="BF118" s="236">
        <f t="shared" si="98"/>
        <v>1</v>
      </c>
    </row>
    <row r="119" spans="2:58" x14ac:dyDescent="0.25">
      <c r="B119" s="245" t="str">
        <f t="shared" si="61"/>
        <v/>
      </c>
      <c r="C119" s="246" t="str">
        <f>IF('מודל תמיכה חלוקת 20,294,511 שח'!G92="","",'מודל תמיכה חלוקת 20,294,511 שח'!G92)</f>
        <v/>
      </c>
      <c r="D119" s="247" t="str">
        <f>IF(C119="","",'מודל תמיכה חלוקת 20,294,511 שח'!V92)</f>
        <v/>
      </c>
      <c r="E119" s="248" t="str">
        <f t="shared" si="62"/>
        <v/>
      </c>
      <c r="F119" s="249" t="str">
        <f>IF(C119="","",'מודל תמיכה חלוקת 20,294,511 שח'!W92)</f>
        <v/>
      </c>
      <c r="G119" s="248" t="str">
        <f t="shared" si="63"/>
        <v/>
      </c>
      <c r="H119" s="250">
        <v>1</v>
      </c>
      <c r="I119" s="251" t="str">
        <f t="shared" si="64"/>
        <v/>
      </c>
      <c r="J119" s="252" t="str">
        <f t="shared" si="65"/>
        <v/>
      </c>
      <c r="K119" s="253" t="str">
        <f t="shared" si="66"/>
        <v/>
      </c>
      <c r="L119" s="253" t="str">
        <f t="shared" si="67"/>
        <v/>
      </c>
      <c r="M119" s="254" t="str">
        <f t="shared" si="68"/>
        <v/>
      </c>
      <c r="N119" s="254" t="str">
        <f t="shared" si="99"/>
        <v/>
      </c>
      <c r="O119" s="255" t="str">
        <f t="shared" si="69"/>
        <v/>
      </c>
      <c r="P119" s="255" t="str">
        <f t="shared" si="70"/>
        <v/>
      </c>
      <c r="Q119" s="254" t="str">
        <f t="shared" si="71"/>
        <v/>
      </c>
      <c r="R119" s="254" t="str">
        <f t="shared" si="100"/>
        <v/>
      </c>
      <c r="S119" s="255" t="str">
        <f t="shared" si="72"/>
        <v/>
      </c>
      <c r="T119" s="255" t="str">
        <f t="shared" si="73"/>
        <v/>
      </c>
      <c r="U119" s="254" t="str">
        <f t="shared" si="74"/>
        <v/>
      </c>
      <c r="V119" s="254" t="str">
        <f t="shared" si="101"/>
        <v/>
      </c>
      <c r="W119" s="255" t="str">
        <f t="shared" si="75"/>
        <v/>
      </c>
      <c r="X119" s="255" t="str">
        <f t="shared" si="76"/>
        <v/>
      </c>
      <c r="Y119" s="254" t="str">
        <f t="shared" si="77"/>
        <v/>
      </c>
      <c r="Z119" s="254" t="str">
        <f t="shared" si="102"/>
        <v/>
      </c>
      <c r="AA119" s="255" t="str">
        <f t="shared" si="78"/>
        <v/>
      </c>
      <c r="AB119" s="255" t="str">
        <f t="shared" si="79"/>
        <v/>
      </c>
      <c r="AC119" s="254" t="str">
        <f t="shared" si="80"/>
        <v/>
      </c>
      <c r="AD119" s="254" t="str">
        <f t="shared" si="103"/>
        <v/>
      </c>
      <c r="AE119" s="255" t="str">
        <f t="shared" si="81"/>
        <v/>
      </c>
      <c r="AF119" s="255" t="str">
        <f t="shared" si="82"/>
        <v/>
      </c>
      <c r="AG119" s="254" t="str">
        <f t="shared" si="83"/>
        <v/>
      </c>
      <c r="AH119" s="254" t="str">
        <f t="shared" si="104"/>
        <v/>
      </c>
      <c r="AI119" s="255" t="str">
        <f t="shared" si="84"/>
        <v/>
      </c>
      <c r="AJ119" s="255" t="str">
        <f t="shared" si="85"/>
        <v/>
      </c>
      <c r="AK119" s="254" t="str">
        <f t="shared" si="86"/>
        <v/>
      </c>
      <c r="AL119" s="254" t="str">
        <f t="shared" si="105"/>
        <v/>
      </c>
      <c r="AM119" s="255" t="str">
        <f t="shared" si="87"/>
        <v/>
      </c>
      <c r="AN119" s="255" t="str">
        <f t="shared" si="88"/>
        <v/>
      </c>
      <c r="AO119" s="254" t="str">
        <f t="shared" si="89"/>
        <v/>
      </c>
      <c r="AP119" s="254" t="str">
        <f t="shared" si="106"/>
        <v/>
      </c>
      <c r="AQ119" s="255" t="str">
        <f t="shared" si="90"/>
        <v/>
      </c>
      <c r="AR119" s="255" t="str">
        <f t="shared" si="91"/>
        <v/>
      </c>
      <c r="AS119" s="254" t="str">
        <f t="shared" si="92"/>
        <v/>
      </c>
      <c r="AT119" s="254" t="str">
        <f t="shared" si="107"/>
        <v/>
      </c>
      <c r="AU119" s="255" t="str">
        <f t="shared" si="93"/>
        <v/>
      </c>
      <c r="AV119" s="255" t="str">
        <f t="shared" si="94"/>
        <v/>
      </c>
      <c r="AW119" s="256" t="str">
        <f t="shared" si="95"/>
        <v/>
      </c>
      <c r="AX119" s="257" t="str">
        <f t="shared" si="96"/>
        <v/>
      </c>
      <c r="BC119" s="244" t="str">
        <f t="shared" si="97"/>
        <v/>
      </c>
      <c r="BD119" s="244" t="str">
        <f t="shared" si="97"/>
        <v/>
      </c>
      <c r="BF119" s="236">
        <f t="shared" si="98"/>
        <v>1</v>
      </c>
    </row>
    <row r="120" spans="2:58" x14ac:dyDescent="0.25">
      <c r="B120" s="245" t="str">
        <f t="shared" si="61"/>
        <v/>
      </c>
      <c r="C120" s="246" t="str">
        <f>IF('מודל תמיכה חלוקת 20,294,511 שח'!G93="","",'מודל תמיכה חלוקת 20,294,511 שח'!G93)</f>
        <v/>
      </c>
      <c r="D120" s="247" t="str">
        <f>IF(C120="","",'מודל תמיכה חלוקת 20,294,511 שח'!V93)</f>
        <v/>
      </c>
      <c r="E120" s="248" t="str">
        <f t="shared" si="62"/>
        <v/>
      </c>
      <c r="F120" s="249" t="str">
        <f>IF(C120="","",'מודל תמיכה חלוקת 20,294,511 שח'!W93)</f>
        <v/>
      </c>
      <c r="G120" s="248" t="str">
        <f t="shared" si="63"/>
        <v/>
      </c>
      <c r="H120" s="250">
        <v>1</v>
      </c>
      <c r="I120" s="251" t="str">
        <f t="shared" si="64"/>
        <v/>
      </c>
      <c r="J120" s="252" t="str">
        <f t="shared" si="65"/>
        <v/>
      </c>
      <c r="K120" s="253" t="str">
        <f t="shared" si="66"/>
        <v/>
      </c>
      <c r="L120" s="253" t="str">
        <f t="shared" si="67"/>
        <v/>
      </c>
      <c r="M120" s="254" t="str">
        <f t="shared" si="68"/>
        <v/>
      </c>
      <c r="N120" s="254" t="str">
        <f t="shared" si="99"/>
        <v/>
      </c>
      <c r="O120" s="255" t="str">
        <f t="shared" si="69"/>
        <v/>
      </c>
      <c r="P120" s="255" t="str">
        <f t="shared" si="70"/>
        <v/>
      </c>
      <c r="Q120" s="254" t="str">
        <f t="shared" si="71"/>
        <v/>
      </c>
      <c r="R120" s="254" t="str">
        <f t="shared" si="100"/>
        <v/>
      </c>
      <c r="S120" s="255" t="str">
        <f t="shared" si="72"/>
        <v/>
      </c>
      <c r="T120" s="255" t="str">
        <f t="shared" si="73"/>
        <v/>
      </c>
      <c r="U120" s="254" t="str">
        <f t="shared" si="74"/>
        <v/>
      </c>
      <c r="V120" s="254" t="str">
        <f t="shared" si="101"/>
        <v/>
      </c>
      <c r="W120" s="255" t="str">
        <f t="shared" si="75"/>
        <v/>
      </c>
      <c r="X120" s="255" t="str">
        <f t="shared" si="76"/>
        <v/>
      </c>
      <c r="Y120" s="254" t="str">
        <f t="shared" si="77"/>
        <v/>
      </c>
      <c r="Z120" s="254" t="str">
        <f t="shared" si="102"/>
        <v/>
      </c>
      <c r="AA120" s="255" t="str">
        <f t="shared" si="78"/>
        <v/>
      </c>
      <c r="AB120" s="255" t="str">
        <f t="shared" si="79"/>
        <v/>
      </c>
      <c r="AC120" s="254" t="str">
        <f t="shared" si="80"/>
        <v/>
      </c>
      <c r="AD120" s="254" t="str">
        <f t="shared" si="103"/>
        <v/>
      </c>
      <c r="AE120" s="255" t="str">
        <f t="shared" si="81"/>
        <v/>
      </c>
      <c r="AF120" s="255" t="str">
        <f t="shared" si="82"/>
        <v/>
      </c>
      <c r="AG120" s="254" t="str">
        <f t="shared" si="83"/>
        <v/>
      </c>
      <c r="AH120" s="254" t="str">
        <f t="shared" si="104"/>
        <v/>
      </c>
      <c r="AI120" s="255" t="str">
        <f t="shared" si="84"/>
        <v/>
      </c>
      <c r="AJ120" s="255" t="str">
        <f t="shared" si="85"/>
        <v/>
      </c>
      <c r="AK120" s="254" t="str">
        <f t="shared" si="86"/>
        <v/>
      </c>
      <c r="AL120" s="254" t="str">
        <f t="shared" si="105"/>
        <v/>
      </c>
      <c r="AM120" s="255" t="str">
        <f t="shared" si="87"/>
        <v/>
      </c>
      <c r="AN120" s="255" t="str">
        <f t="shared" si="88"/>
        <v/>
      </c>
      <c r="AO120" s="254" t="str">
        <f t="shared" si="89"/>
        <v/>
      </c>
      <c r="AP120" s="254" t="str">
        <f t="shared" si="106"/>
        <v/>
      </c>
      <c r="AQ120" s="255" t="str">
        <f t="shared" si="90"/>
        <v/>
      </c>
      <c r="AR120" s="255" t="str">
        <f t="shared" si="91"/>
        <v/>
      </c>
      <c r="AS120" s="254" t="str">
        <f t="shared" si="92"/>
        <v/>
      </c>
      <c r="AT120" s="254" t="str">
        <f t="shared" si="107"/>
        <v/>
      </c>
      <c r="AU120" s="255" t="str">
        <f t="shared" si="93"/>
        <v/>
      </c>
      <c r="AV120" s="255" t="str">
        <f t="shared" si="94"/>
        <v/>
      </c>
      <c r="AW120" s="256" t="str">
        <f t="shared" si="95"/>
        <v/>
      </c>
      <c r="AX120" s="257" t="str">
        <f t="shared" si="96"/>
        <v/>
      </c>
      <c r="BC120" s="244" t="str">
        <f t="shared" si="97"/>
        <v/>
      </c>
      <c r="BD120" s="244" t="str">
        <f t="shared" si="97"/>
        <v/>
      </c>
      <c r="BF120" s="236">
        <f t="shared" si="98"/>
        <v>1</v>
      </c>
    </row>
    <row r="121" spans="2:58" x14ac:dyDescent="0.25">
      <c r="B121" s="245" t="str">
        <f t="shared" si="61"/>
        <v/>
      </c>
      <c r="C121" s="246" t="str">
        <f>IF('מודל תמיכה חלוקת 20,294,511 שח'!G94="","",'מודל תמיכה חלוקת 20,294,511 שח'!G94)</f>
        <v/>
      </c>
      <c r="D121" s="247" t="str">
        <f>IF(C121="","",'מודל תמיכה חלוקת 20,294,511 שח'!V94)</f>
        <v/>
      </c>
      <c r="E121" s="248" t="str">
        <f t="shared" si="62"/>
        <v/>
      </c>
      <c r="F121" s="249" t="str">
        <f>IF(C121="","",'מודל תמיכה חלוקת 20,294,511 שח'!W94)</f>
        <v/>
      </c>
      <c r="G121" s="248" t="str">
        <f t="shared" si="63"/>
        <v/>
      </c>
      <c r="H121" s="250">
        <v>1</v>
      </c>
      <c r="I121" s="251" t="str">
        <f t="shared" si="64"/>
        <v/>
      </c>
      <c r="J121" s="252" t="str">
        <f t="shared" si="65"/>
        <v/>
      </c>
      <c r="K121" s="253" t="str">
        <f t="shared" si="66"/>
        <v/>
      </c>
      <c r="L121" s="253" t="str">
        <f t="shared" si="67"/>
        <v/>
      </c>
      <c r="M121" s="254" t="str">
        <f t="shared" si="68"/>
        <v/>
      </c>
      <c r="N121" s="254" t="str">
        <f t="shared" si="99"/>
        <v/>
      </c>
      <c r="O121" s="255" t="str">
        <f t="shared" si="69"/>
        <v/>
      </c>
      <c r="P121" s="255" t="str">
        <f t="shared" si="70"/>
        <v/>
      </c>
      <c r="Q121" s="254" t="str">
        <f t="shared" si="71"/>
        <v/>
      </c>
      <c r="R121" s="254" t="str">
        <f t="shared" si="100"/>
        <v/>
      </c>
      <c r="S121" s="255" t="str">
        <f t="shared" si="72"/>
        <v/>
      </c>
      <c r="T121" s="255" t="str">
        <f t="shared" si="73"/>
        <v/>
      </c>
      <c r="U121" s="254" t="str">
        <f t="shared" si="74"/>
        <v/>
      </c>
      <c r="V121" s="254" t="str">
        <f t="shared" si="101"/>
        <v/>
      </c>
      <c r="W121" s="255" t="str">
        <f t="shared" si="75"/>
        <v/>
      </c>
      <c r="X121" s="255" t="str">
        <f t="shared" si="76"/>
        <v/>
      </c>
      <c r="Y121" s="254" t="str">
        <f t="shared" si="77"/>
        <v/>
      </c>
      <c r="Z121" s="254" t="str">
        <f t="shared" si="102"/>
        <v/>
      </c>
      <c r="AA121" s="255" t="str">
        <f t="shared" si="78"/>
        <v/>
      </c>
      <c r="AB121" s="255" t="str">
        <f t="shared" si="79"/>
        <v/>
      </c>
      <c r="AC121" s="254" t="str">
        <f t="shared" si="80"/>
        <v/>
      </c>
      <c r="AD121" s="254" t="str">
        <f t="shared" si="103"/>
        <v/>
      </c>
      <c r="AE121" s="255" t="str">
        <f t="shared" si="81"/>
        <v/>
      </c>
      <c r="AF121" s="255" t="str">
        <f t="shared" si="82"/>
        <v/>
      </c>
      <c r="AG121" s="254" t="str">
        <f t="shared" si="83"/>
        <v/>
      </c>
      <c r="AH121" s="254" t="str">
        <f t="shared" si="104"/>
        <v/>
      </c>
      <c r="AI121" s="255" t="str">
        <f t="shared" si="84"/>
        <v/>
      </c>
      <c r="AJ121" s="255" t="str">
        <f t="shared" si="85"/>
        <v/>
      </c>
      <c r="AK121" s="254" t="str">
        <f t="shared" si="86"/>
        <v/>
      </c>
      <c r="AL121" s="254" t="str">
        <f t="shared" si="105"/>
        <v/>
      </c>
      <c r="AM121" s="255" t="str">
        <f t="shared" si="87"/>
        <v/>
      </c>
      <c r="AN121" s="255" t="str">
        <f t="shared" si="88"/>
        <v/>
      </c>
      <c r="AO121" s="254" t="str">
        <f t="shared" si="89"/>
        <v/>
      </c>
      <c r="AP121" s="254" t="str">
        <f t="shared" si="106"/>
        <v/>
      </c>
      <c r="AQ121" s="255" t="str">
        <f t="shared" si="90"/>
        <v/>
      </c>
      <c r="AR121" s="255" t="str">
        <f t="shared" si="91"/>
        <v/>
      </c>
      <c r="AS121" s="254" t="str">
        <f t="shared" si="92"/>
        <v/>
      </c>
      <c r="AT121" s="254" t="str">
        <f t="shared" si="107"/>
        <v/>
      </c>
      <c r="AU121" s="255" t="str">
        <f t="shared" si="93"/>
        <v/>
      </c>
      <c r="AV121" s="255" t="str">
        <f t="shared" si="94"/>
        <v/>
      </c>
      <c r="AW121" s="256" t="str">
        <f t="shared" si="95"/>
        <v/>
      </c>
      <c r="AX121" s="257" t="str">
        <f t="shared" si="96"/>
        <v/>
      </c>
      <c r="BC121" s="244" t="str">
        <f t="shared" si="97"/>
        <v/>
      </c>
      <c r="BD121" s="244" t="str">
        <f t="shared" si="97"/>
        <v/>
      </c>
      <c r="BF121" s="236">
        <f t="shared" si="98"/>
        <v>1</v>
      </c>
    </row>
    <row r="122" spans="2:58" x14ac:dyDescent="0.25">
      <c r="B122" s="245" t="str">
        <f t="shared" si="61"/>
        <v/>
      </c>
      <c r="C122" s="246" t="str">
        <f>IF('מודל תמיכה חלוקת 20,294,511 שח'!G95="","",'מודל תמיכה חלוקת 20,294,511 שח'!G95)</f>
        <v/>
      </c>
      <c r="D122" s="247" t="str">
        <f>IF(C122="","",'מודל תמיכה חלוקת 20,294,511 שח'!V95)</f>
        <v/>
      </c>
      <c r="E122" s="248" t="str">
        <f t="shared" si="62"/>
        <v/>
      </c>
      <c r="F122" s="249" t="str">
        <f>IF(C122="","",'מודל תמיכה חלוקת 20,294,511 שח'!W95)</f>
        <v/>
      </c>
      <c r="G122" s="248" t="str">
        <f t="shared" si="63"/>
        <v/>
      </c>
      <c r="H122" s="250">
        <v>1</v>
      </c>
      <c r="I122" s="251" t="str">
        <f t="shared" si="64"/>
        <v/>
      </c>
      <c r="J122" s="252" t="str">
        <f t="shared" si="65"/>
        <v/>
      </c>
      <c r="K122" s="253" t="str">
        <f t="shared" si="66"/>
        <v/>
      </c>
      <c r="L122" s="253" t="str">
        <f t="shared" si="67"/>
        <v/>
      </c>
      <c r="M122" s="254" t="str">
        <f t="shared" si="68"/>
        <v/>
      </c>
      <c r="N122" s="254" t="str">
        <f t="shared" si="99"/>
        <v/>
      </c>
      <c r="O122" s="255" t="str">
        <f t="shared" si="69"/>
        <v/>
      </c>
      <c r="P122" s="255" t="str">
        <f t="shared" si="70"/>
        <v/>
      </c>
      <c r="Q122" s="254" t="str">
        <f t="shared" si="71"/>
        <v/>
      </c>
      <c r="R122" s="254" t="str">
        <f t="shared" si="100"/>
        <v/>
      </c>
      <c r="S122" s="255" t="str">
        <f t="shared" si="72"/>
        <v/>
      </c>
      <c r="T122" s="255" t="str">
        <f t="shared" si="73"/>
        <v/>
      </c>
      <c r="U122" s="254" t="str">
        <f t="shared" si="74"/>
        <v/>
      </c>
      <c r="V122" s="254" t="str">
        <f t="shared" si="101"/>
        <v/>
      </c>
      <c r="W122" s="255" t="str">
        <f t="shared" si="75"/>
        <v/>
      </c>
      <c r="X122" s="255" t="str">
        <f t="shared" si="76"/>
        <v/>
      </c>
      <c r="Y122" s="254" t="str">
        <f t="shared" si="77"/>
        <v/>
      </c>
      <c r="Z122" s="254" t="str">
        <f t="shared" si="102"/>
        <v/>
      </c>
      <c r="AA122" s="255" t="str">
        <f t="shared" si="78"/>
        <v/>
      </c>
      <c r="AB122" s="255" t="str">
        <f t="shared" si="79"/>
        <v/>
      </c>
      <c r="AC122" s="254" t="str">
        <f t="shared" si="80"/>
        <v/>
      </c>
      <c r="AD122" s="254" t="str">
        <f t="shared" si="103"/>
        <v/>
      </c>
      <c r="AE122" s="255" t="str">
        <f t="shared" si="81"/>
        <v/>
      </c>
      <c r="AF122" s="255" t="str">
        <f t="shared" si="82"/>
        <v/>
      </c>
      <c r="AG122" s="254" t="str">
        <f t="shared" si="83"/>
        <v/>
      </c>
      <c r="AH122" s="254" t="str">
        <f t="shared" si="104"/>
        <v/>
      </c>
      <c r="AI122" s="255" t="str">
        <f t="shared" si="84"/>
        <v/>
      </c>
      <c r="AJ122" s="255" t="str">
        <f t="shared" si="85"/>
        <v/>
      </c>
      <c r="AK122" s="254" t="str">
        <f t="shared" si="86"/>
        <v/>
      </c>
      <c r="AL122" s="254" t="str">
        <f t="shared" si="105"/>
        <v/>
      </c>
      <c r="AM122" s="255" t="str">
        <f t="shared" si="87"/>
        <v/>
      </c>
      <c r="AN122" s="255" t="str">
        <f t="shared" si="88"/>
        <v/>
      </c>
      <c r="AO122" s="254" t="str">
        <f t="shared" si="89"/>
        <v/>
      </c>
      <c r="AP122" s="254" t="str">
        <f t="shared" si="106"/>
        <v/>
      </c>
      <c r="AQ122" s="255" t="str">
        <f t="shared" si="90"/>
        <v/>
      </c>
      <c r="AR122" s="255" t="str">
        <f t="shared" si="91"/>
        <v/>
      </c>
      <c r="AS122" s="254" t="str">
        <f t="shared" si="92"/>
        <v/>
      </c>
      <c r="AT122" s="254" t="str">
        <f t="shared" si="107"/>
        <v/>
      </c>
      <c r="AU122" s="255" t="str">
        <f t="shared" si="93"/>
        <v/>
      </c>
      <c r="AV122" s="255" t="str">
        <f t="shared" si="94"/>
        <v/>
      </c>
      <c r="AW122" s="256" t="str">
        <f t="shared" si="95"/>
        <v/>
      </c>
      <c r="AX122" s="257" t="str">
        <f t="shared" si="96"/>
        <v/>
      </c>
      <c r="BC122" s="244" t="str">
        <f t="shared" si="97"/>
        <v/>
      </c>
      <c r="BD122" s="244" t="str">
        <f t="shared" si="97"/>
        <v/>
      </c>
      <c r="BF122" s="236">
        <f t="shared" si="98"/>
        <v>1</v>
      </c>
    </row>
    <row r="123" spans="2:58" x14ac:dyDescent="0.25">
      <c r="B123" s="245" t="str">
        <f t="shared" si="61"/>
        <v/>
      </c>
      <c r="C123" s="246" t="str">
        <f>IF('מודל תמיכה חלוקת 20,294,511 שח'!G96="","",'מודל תמיכה חלוקת 20,294,511 שח'!G96)</f>
        <v/>
      </c>
      <c r="D123" s="247" t="str">
        <f>IF(C123="","",'מודל תמיכה חלוקת 20,294,511 שח'!V96)</f>
        <v/>
      </c>
      <c r="E123" s="248" t="str">
        <f t="shared" si="62"/>
        <v/>
      </c>
      <c r="F123" s="249" t="str">
        <f>IF(C123="","",'מודל תמיכה חלוקת 20,294,511 שח'!W96)</f>
        <v/>
      </c>
      <c r="G123" s="248" t="str">
        <f t="shared" si="63"/>
        <v/>
      </c>
      <c r="H123" s="250">
        <v>1</v>
      </c>
      <c r="I123" s="251" t="str">
        <f t="shared" si="64"/>
        <v/>
      </c>
      <c r="J123" s="252" t="str">
        <f t="shared" si="65"/>
        <v/>
      </c>
      <c r="K123" s="253" t="str">
        <f t="shared" si="66"/>
        <v/>
      </c>
      <c r="L123" s="253" t="str">
        <f t="shared" si="67"/>
        <v/>
      </c>
      <c r="M123" s="254" t="str">
        <f t="shared" si="68"/>
        <v/>
      </c>
      <c r="N123" s="254" t="str">
        <f t="shared" si="99"/>
        <v/>
      </c>
      <c r="O123" s="255" t="str">
        <f t="shared" si="69"/>
        <v/>
      </c>
      <c r="P123" s="255" t="str">
        <f t="shared" si="70"/>
        <v/>
      </c>
      <c r="Q123" s="254" t="str">
        <f t="shared" si="71"/>
        <v/>
      </c>
      <c r="R123" s="254" t="str">
        <f t="shared" si="100"/>
        <v/>
      </c>
      <c r="S123" s="255" t="str">
        <f t="shared" si="72"/>
        <v/>
      </c>
      <c r="T123" s="255" t="str">
        <f t="shared" si="73"/>
        <v/>
      </c>
      <c r="U123" s="254" t="str">
        <f t="shared" si="74"/>
        <v/>
      </c>
      <c r="V123" s="254" t="str">
        <f t="shared" si="101"/>
        <v/>
      </c>
      <c r="W123" s="255" t="str">
        <f t="shared" si="75"/>
        <v/>
      </c>
      <c r="X123" s="255" t="str">
        <f t="shared" si="76"/>
        <v/>
      </c>
      <c r="Y123" s="254" t="str">
        <f t="shared" si="77"/>
        <v/>
      </c>
      <c r="Z123" s="254" t="str">
        <f t="shared" si="102"/>
        <v/>
      </c>
      <c r="AA123" s="255" t="str">
        <f t="shared" si="78"/>
        <v/>
      </c>
      <c r="AB123" s="255" t="str">
        <f t="shared" si="79"/>
        <v/>
      </c>
      <c r="AC123" s="254" t="str">
        <f t="shared" si="80"/>
        <v/>
      </c>
      <c r="AD123" s="254" t="str">
        <f t="shared" si="103"/>
        <v/>
      </c>
      <c r="AE123" s="255" t="str">
        <f t="shared" si="81"/>
        <v/>
      </c>
      <c r="AF123" s="255" t="str">
        <f t="shared" si="82"/>
        <v/>
      </c>
      <c r="AG123" s="254" t="str">
        <f t="shared" si="83"/>
        <v/>
      </c>
      <c r="AH123" s="254" t="str">
        <f t="shared" si="104"/>
        <v/>
      </c>
      <c r="AI123" s="255" t="str">
        <f t="shared" si="84"/>
        <v/>
      </c>
      <c r="AJ123" s="255" t="str">
        <f t="shared" si="85"/>
        <v/>
      </c>
      <c r="AK123" s="254" t="str">
        <f t="shared" si="86"/>
        <v/>
      </c>
      <c r="AL123" s="254" t="str">
        <f t="shared" si="105"/>
        <v/>
      </c>
      <c r="AM123" s="255" t="str">
        <f t="shared" si="87"/>
        <v/>
      </c>
      <c r="AN123" s="255" t="str">
        <f t="shared" si="88"/>
        <v/>
      </c>
      <c r="AO123" s="254" t="str">
        <f t="shared" si="89"/>
        <v/>
      </c>
      <c r="AP123" s="254" t="str">
        <f t="shared" si="106"/>
        <v/>
      </c>
      <c r="AQ123" s="255" t="str">
        <f t="shared" si="90"/>
        <v/>
      </c>
      <c r="AR123" s="255" t="str">
        <f t="shared" si="91"/>
        <v/>
      </c>
      <c r="AS123" s="254" t="str">
        <f t="shared" si="92"/>
        <v/>
      </c>
      <c r="AT123" s="254" t="str">
        <f t="shared" si="107"/>
        <v/>
      </c>
      <c r="AU123" s="255" t="str">
        <f t="shared" si="93"/>
        <v/>
      </c>
      <c r="AV123" s="255" t="str">
        <f t="shared" si="94"/>
        <v/>
      </c>
      <c r="AW123" s="256" t="str">
        <f t="shared" si="95"/>
        <v/>
      </c>
      <c r="AX123" s="257" t="str">
        <f t="shared" si="96"/>
        <v/>
      </c>
      <c r="BC123" s="244" t="str">
        <f t="shared" si="97"/>
        <v/>
      </c>
      <c r="BD123" s="244" t="str">
        <f t="shared" si="97"/>
        <v/>
      </c>
      <c r="BF123" s="236">
        <f t="shared" si="98"/>
        <v>1</v>
      </c>
    </row>
    <row r="124" spans="2:58" x14ac:dyDescent="0.25">
      <c r="B124" s="245" t="str">
        <f t="shared" si="61"/>
        <v/>
      </c>
      <c r="C124" s="246" t="str">
        <f>IF('מודל תמיכה חלוקת 20,294,511 שח'!G97="","",'מודל תמיכה חלוקת 20,294,511 שח'!G97)</f>
        <v/>
      </c>
      <c r="D124" s="247" t="str">
        <f>IF(C124="","",'מודל תמיכה חלוקת 20,294,511 שח'!V97)</f>
        <v/>
      </c>
      <c r="E124" s="248" t="str">
        <f t="shared" si="62"/>
        <v/>
      </c>
      <c r="F124" s="249" t="str">
        <f>IF(C124="","",'מודל תמיכה חלוקת 20,294,511 שח'!W97)</f>
        <v/>
      </c>
      <c r="G124" s="248" t="str">
        <f t="shared" si="63"/>
        <v/>
      </c>
      <c r="H124" s="250">
        <v>1</v>
      </c>
      <c r="I124" s="251" t="str">
        <f t="shared" si="64"/>
        <v/>
      </c>
      <c r="J124" s="252" t="str">
        <f t="shared" si="65"/>
        <v/>
      </c>
      <c r="K124" s="253" t="str">
        <f t="shared" si="66"/>
        <v/>
      </c>
      <c r="L124" s="253" t="str">
        <f t="shared" si="67"/>
        <v/>
      </c>
      <c r="M124" s="254" t="str">
        <f t="shared" si="68"/>
        <v/>
      </c>
      <c r="N124" s="254" t="str">
        <f t="shared" si="99"/>
        <v/>
      </c>
      <c r="O124" s="255" t="str">
        <f t="shared" si="69"/>
        <v/>
      </c>
      <c r="P124" s="255" t="str">
        <f t="shared" si="70"/>
        <v/>
      </c>
      <c r="Q124" s="254" t="str">
        <f t="shared" si="71"/>
        <v/>
      </c>
      <c r="R124" s="254" t="str">
        <f t="shared" si="100"/>
        <v/>
      </c>
      <c r="S124" s="255" t="str">
        <f t="shared" si="72"/>
        <v/>
      </c>
      <c r="T124" s="255" t="str">
        <f t="shared" si="73"/>
        <v/>
      </c>
      <c r="U124" s="254" t="str">
        <f t="shared" si="74"/>
        <v/>
      </c>
      <c r="V124" s="254" t="str">
        <f t="shared" si="101"/>
        <v/>
      </c>
      <c r="W124" s="255" t="str">
        <f t="shared" si="75"/>
        <v/>
      </c>
      <c r="X124" s="255" t="str">
        <f t="shared" si="76"/>
        <v/>
      </c>
      <c r="Y124" s="254" t="str">
        <f t="shared" si="77"/>
        <v/>
      </c>
      <c r="Z124" s="254" t="str">
        <f t="shared" si="102"/>
        <v/>
      </c>
      <c r="AA124" s="255" t="str">
        <f t="shared" si="78"/>
        <v/>
      </c>
      <c r="AB124" s="255" t="str">
        <f t="shared" si="79"/>
        <v/>
      </c>
      <c r="AC124" s="254" t="str">
        <f t="shared" si="80"/>
        <v/>
      </c>
      <c r="AD124" s="254" t="str">
        <f t="shared" si="103"/>
        <v/>
      </c>
      <c r="AE124" s="255" t="str">
        <f t="shared" si="81"/>
        <v/>
      </c>
      <c r="AF124" s="255" t="str">
        <f t="shared" si="82"/>
        <v/>
      </c>
      <c r="AG124" s="254" t="str">
        <f t="shared" si="83"/>
        <v/>
      </c>
      <c r="AH124" s="254" t="str">
        <f t="shared" si="104"/>
        <v/>
      </c>
      <c r="AI124" s="255" t="str">
        <f t="shared" si="84"/>
        <v/>
      </c>
      <c r="AJ124" s="255" t="str">
        <f t="shared" si="85"/>
        <v/>
      </c>
      <c r="AK124" s="254" t="str">
        <f t="shared" si="86"/>
        <v/>
      </c>
      <c r="AL124" s="254" t="str">
        <f t="shared" si="105"/>
        <v/>
      </c>
      <c r="AM124" s="255" t="str">
        <f t="shared" si="87"/>
        <v/>
      </c>
      <c r="AN124" s="255" t="str">
        <f t="shared" si="88"/>
        <v/>
      </c>
      <c r="AO124" s="254" t="str">
        <f t="shared" si="89"/>
        <v/>
      </c>
      <c r="AP124" s="254" t="str">
        <f t="shared" si="106"/>
        <v/>
      </c>
      <c r="AQ124" s="255" t="str">
        <f t="shared" si="90"/>
        <v/>
      </c>
      <c r="AR124" s="255" t="str">
        <f t="shared" si="91"/>
        <v/>
      </c>
      <c r="AS124" s="254" t="str">
        <f t="shared" si="92"/>
        <v/>
      </c>
      <c r="AT124" s="254" t="str">
        <f t="shared" si="107"/>
        <v/>
      </c>
      <c r="AU124" s="255" t="str">
        <f t="shared" si="93"/>
        <v/>
      </c>
      <c r="AV124" s="255" t="str">
        <f t="shared" si="94"/>
        <v/>
      </c>
      <c r="AW124" s="256" t="str">
        <f t="shared" si="95"/>
        <v/>
      </c>
      <c r="AX124" s="257" t="str">
        <f t="shared" si="96"/>
        <v/>
      </c>
      <c r="BC124" s="244" t="str">
        <f t="shared" si="97"/>
        <v/>
      </c>
      <c r="BD124" s="244" t="str">
        <f t="shared" si="97"/>
        <v/>
      </c>
      <c r="BF124" s="236">
        <f t="shared" si="98"/>
        <v>1</v>
      </c>
    </row>
    <row r="125" spans="2:58" x14ac:dyDescent="0.25">
      <c r="B125" s="245" t="str">
        <f t="shared" si="61"/>
        <v/>
      </c>
      <c r="C125" s="246" t="str">
        <f>IF('מודל תמיכה חלוקת 20,294,511 שח'!G98="","",'מודל תמיכה חלוקת 20,294,511 שח'!G98)</f>
        <v/>
      </c>
      <c r="D125" s="247" t="str">
        <f>IF(C125="","",'מודל תמיכה חלוקת 20,294,511 שח'!V98)</f>
        <v/>
      </c>
      <c r="E125" s="248" t="str">
        <f t="shared" si="62"/>
        <v/>
      </c>
      <c r="F125" s="249" t="str">
        <f>IF(C125="","",'מודל תמיכה חלוקת 20,294,511 שח'!W98)</f>
        <v/>
      </c>
      <c r="G125" s="248" t="str">
        <f t="shared" si="63"/>
        <v/>
      </c>
      <c r="H125" s="250">
        <v>1</v>
      </c>
      <c r="I125" s="251" t="str">
        <f t="shared" si="64"/>
        <v/>
      </c>
      <c r="J125" s="252" t="str">
        <f t="shared" si="65"/>
        <v/>
      </c>
      <c r="K125" s="253" t="str">
        <f t="shared" si="66"/>
        <v/>
      </c>
      <c r="L125" s="253" t="str">
        <f t="shared" si="67"/>
        <v/>
      </c>
      <c r="M125" s="254" t="str">
        <f t="shared" si="68"/>
        <v/>
      </c>
      <c r="N125" s="254" t="str">
        <f t="shared" si="99"/>
        <v/>
      </c>
      <c r="O125" s="255" t="str">
        <f t="shared" si="69"/>
        <v/>
      </c>
      <c r="P125" s="255" t="str">
        <f t="shared" si="70"/>
        <v/>
      </c>
      <c r="Q125" s="254" t="str">
        <f t="shared" si="71"/>
        <v/>
      </c>
      <c r="R125" s="254" t="str">
        <f t="shared" si="100"/>
        <v/>
      </c>
      <c r="S125" s="255" t="str">
        <f t="shared" si="72"/>
        <v/>
      </c>
      <c r="T125" s="255" t="str">
        <f t="shared" si="73"/>
        <v/>
      </c>
      <c r="U125" s="254" t="str">
        <f t="shared" si="74"/>
        <v/>
      </c>
      <c r="V125" s="254" t="str">
        <f t="shared" si="101"/>
        <v/>
      </c>
      <c r="W125" s="255" t="str">
        <f t="shared" si="75"/>
        <v/>
      </c>
      <c r="X125" s="255" t="str">
        <f t="shared" si="76"/>
        <v/>
      </c>
      <c r="Y125" s="254" t="str">
        <f t="shared" si="77"/>
        <v/>
      </c>
      <c r="Z125" s="254" t="str">
        <f t="shared" si="102"/>
        <v/>
      </c>
      <c r="AA125" s="255" t="str">
        <f t="shared" si="78"/>
        <v/>
      </c>
      <c r="AB125" s="255" t="str">
        <f t="shared" si="79"/>
        <v/>
      </c>
      <c r="AC125" s="254" t="str">
        <f t="shared" si="80"/>
        <v/>
      </c>
      <c r="AD125" s="254" t="str">
        <f t="shared" si="103"/>
        <v/>
      </c>
      <c r="AE125" s="255" t="str">
        <f t="shared" si="81"/>
        <v/>
      </c>
      <c r="AF125" s="255" t="str">
        <f t="shared" si="82"/>
        <v/>
      </c>
      <c r="AG125" s="254" t="str">
        <f t="shared" si="83"/>
        <v/>
      </c>
      <c r="AH125" s="254" t="str">
        <f t="shared" si="104"/>
        <v/>
      </c>
      <c r="AI125" s="255" t="str">
        <f t="shared" si="84"/>
        <v/>
      </c>
      <c r="AJ125" s="255" t="str">
        <f t="shared" si="85"/>
        <v/>
      </c>
      <c r="AK125" s="254" t="str">
        <f t="shared" si="86"/>
        <v/>
      </c>
      <c r="AL125" s="254" t="str">
        <f t="shared" si="105"/>
        <v/>
      </c>
      <c r="AM125" s="255" t="str">
        <f t="shared" si="87"/>
        <v/>
      </c>
      <c r="AN125" s="255" t="str">
        <f t="shared" si="88"/>
        <v/>
      </c>
      <c r="AO125" s="254" t="str">
        <f t="shared" si="89"/>
        <v/>
      </c>
      <c r="AP125" s="254" t="str">
        <f t="shared" si="106"/>
        <v/>
      </c>
      <c r="AQ125" s="255" t="str">
        <f t="shared" si="90"/>
        <v/>
      </c>
      <c r="AR125" s="255" t="str">
        <f t="shared" si="91"/>
        <v/>
      </c>
      <c r="AS125" s="254" t="str">
        <f t="shared" si="92"/>
        <v/>
      </c>
      <c r="AT125" s="254" t="str">
        <f t="shared" si="107"/>
        <v/>
      </c>
      <c r="AU125" s="255" t="str">
        <f t="shared" si="93"/>
        <v/>
      </c>
      <c r="AV125" s="255" t="str">
        <f t="shared" si="94"/>
        <v/>
      </c>
      <c r="AW125" s="256" t="str">
        <f t="shared" si="95"/>
        <v/>
      </c>
      <c r="AX125" s="257" t="str">
        <f t="shared" si="96"/>
        <v/>
      </c>
      <c r="BC125" s="244" t="str">
        <f t="shared" si="97"/>
        <v/>
      </c>
      <c r="BD125" s="244" t="str">
        <f t="shared" si="97"/>
        <v/>
      </c>
      <c r="BF125" s="236">
        <f t="shared" si="98"/>
        <v>1</v>
      </c>
    </row>
    <row r="126" spans="2:58" x14ac:dyDescent="0.25">
      <c r="B126" s="245" t="str">
        <f t="shared" si="61"/>
        <v/>
      </c>
      <c r="C126" s="246" t="str">
        <f>IF('מודל תמיכה חלוקת 20,294,511 שח'!G99="","",'מודל תמיכה חלוקת 20,294,511 שח'!G99)</f>
        <v/>
      </c>
      <c r="D126" s="247" t="str">
        <f>IF(C126="","",'מודל תמיכה חלוקת 20,294,511 שח'!V99)</f>
        <v/>
      </c>
      <c r="E126" s="248" t="str">
        <f t="shared" si="62"/>
        <v/>
      </c>
      <c r="F126" s="249" t="str">
        <f>IF(C126="","",'מודל תמיכה חלוקת 20,294,511 שח'!W99)</f>
        <v/>
      </c>
      <c r="G126" s="248" t="str">
        <f t="shared" si="63"/>
        <v/>
      </c>
      <c r="H126" s="250">
        <v>1</v>
      </c>
      <c r="I126" s="251" t="str">
        <f t="shared" si="64"/>
        <v/>
      </c>
      <c r="J126" s="252" t="str">
        <f t="shared" si="65"/>
        <v/>
      </c>
      <c r="K126" s="253" t="str">
        <f t="shared" si="66"/>
        <v/>
      </c>
      <c r="L126" s="253" t="str">
        <f t="shared" si="67"/>
        <v/>
      </c>
      <c r="M126" s="254" t="str">
        <f t="shared" si="68"/>
        <v/>
      </c>
      <c r="N126" s="254" t="str">
        <f t="shared" si="99"/>
        <v/>
      </c>
      <c r="O126" s="255" t="str">
        <f t="shared" si="69"/>
        <v/>
      </c>
      <c r="P126" s="255" t="str">
        <f t="shared" si="70"/>
        <v/>
      </c>
      <c r="Q126" s="254" t="str">
        <f t="shared" si="71"/>
        <v/>
      </c>
      <c r="R126" s="254" t="str">
        <f t="shared" si="100"/>
        <v/>
      </c>
      <c r="S126" s="255" t="str">
        <f t="shared" si="72"/>
        <v/>
      </c>
      <c r="T126" s="255" t="str">
        <f t="shared" si="73"/>
        <v/>
      </c>
      <c r="U126" s="254" t="str">
        <f t="shared" si="74"/>
        <v/>
      </c>
      <c r="V126" s="254" t="str">
        <f t="shared" si="101"/>
        <v/>
      </c>
      <c r="W126" s="255" t="str">
        <f t="shared" si="75"/>
        <v/>
      </c>
      <c r="X126" s="255" t="str">
        <f t="shared" si="76"/>
        <v/>
      </c>
      <c r="Y126" s="254" t="str">
        <f t="shared" si="77"/>
        <v/>
      </c>
      <c r="Z126" s="254" t="str">
        <f t="shared" si="102"/>
        <v/>
      </c>
      <c r="AA126" s="255" t="str">
        <f t="shared" si="78"/>
        <v/>
      </c>
      <c r="AB126" s="255" t="str">
        <f t="shared" si="79"/>
        <v/>
      </c>
      <c r="AC126" s="254" t="str">
        <f t="shared" si="80"/>
        <v/>
      </c>
      <c r="AD126" s="254" t="str">
        <f t="shared" si="103"/>
        <v/>
      </c>
      <c r="AE126" s="255" t="str">
        <f t="shared" si="81"/>
        <v/>
      </c>
      <c r="AF126" s="255" t="str">
        <f t="shared" si="82"/>
        <v/>
      </c>
      <c r="AG126" s="254" t="str">
        <f t="shared" si="83"/>
        <v/>
      </c>
      <c r="AH126" s="254" t="str">
        <f t="shared" si="104"/>
        <v/>
      </c>
      <c r="AI126" s="255" t="str">
        <f t="shared" si="84"/>
        <v/>
      </c>
      <c r="AJ126" s="255" t="str">
        <f t="shared" si="85"/>
        <v/>
      </c>
      <c r="AK126" s="254" t="str">
        <f t="shared" si="86"/>
        <v/>
      </c>
      <c r="AL126" s="254" t="str">
        <f t="shared" si="105"/>
        <v/>
      </c>
      <c r="AM126" s="255" t="str">
        <f t="shared" si="87"/>
        <v/>
      </c>
      <c r="AN126" s="255" t="str">
        <f t="shared" si="88"/>
        <v/>
      </c>
      <c r="AO126" s="254" t="str">
        <f t="shared" si="89"/>
        <v/>
      </c>
      <c r="AP126" s="254" t="str">
        <f t="shared" si="106"/>
        <v/>
      </c>
      <c r="AQ126" s="255" t="str">
        <f t="shared" si="90"/>
        <v/>
      </c>
      <c r="AR126" s="255" t="str">
        <f t="shared" si="91"/>
        <v/>
      </c>
      <c r="AS126" s="254" t="str">
        <f t="shared" si="92"/>
        <v/>
      </c>
      <c r="AT126" s="254" t="str">
        <f t="shared" si="107"/>
        <v/>
      </c>
      <c r="AU126" s="255" t="str">
        <f t="shared" si="93"/>
        <v/>
      </c>
      <c r="AV126" s="255" t="str">
        <f t="shared" si="94"/>
        <v/>
      </c>
      <c r="AW126" s="256" t="str">
        <f t="shared" si="95"/>
        <v/>
      </c>
      <c r="AX126" s="257" t="str">
        <f t="shared" si="96"/>
        <v/>
      </c>
      <c r="BC126" s="244" t="str">
        <f t="shared" si="97"/>
        <v/>
      </c>
      <c r="BD126" s="244" t="str">
        <f t="shared" si="97"/>
        <v/>
      </c>
      <c r="BF126" s="236">
        <f t="shared" si="98"/>
        <v>1</v>
      </c>
    </row>
    <row r="127" spans="2:58" x14ac:dyDescent="0.25">
      <c r="B127" s="245" t="str">
        <f t="shared" si="61"/>
        <v/>
      </c>
      <c r="C127" s="246" t="str">
        <f>IF('מודל תמיכה חלוקת 20,294,511 שח'!G100="","",'מודל תמיכה חלוקת 20,294,511 שח'!G100)</f>
        <v/>
      </c>
      <c r="D127" s="247" t="str">
        <f>IF(C127="","",'מודל תמיכה חלוקת 20,294,511 שח'!V100)</f>
        <v/>
      </c>
      <c r="E127" s="248" t="str">
        <f t="shared" ref="E127:E129" si="108">IFERROR(D127/$D$130,"")</f>
        <v/>
      </c>
      <c r="F127" s="249" t="str">
        <f>IF(C127="","",'מודל תמיכה חלוקת 20,294,511 שח'!W100)</f>
        <v/>
      </c>
      <c r="G127" s="248" t="str">
        <f t="shared" ref="G127:G129" si="109">IF($C127="","",IFERROR(F127/$F$130,$BB$1))</f>
        <v/>
      </c>
      <c r="H127" s="250">
        <v>1</v>
      </c>
      <c r="I127" s="251" t="str">
        <f t="shared" si="64"/>
        <v/>
      </c>
      <c r="J127" s="252" t="str">
        <f t="shared" si="65"/>
        <v/>
      </c>
      <c r="K127" s="253" t="str">
        <f t="shared" si="66"/>
        <v/>
      </c>
      <c r="L127" s="253" t="str">
        <f t="shared" ref="L127:L129" si="110">IF(I127="","",IF(J127=1,K127,K127/SUMIF(J$31:J$129,"&lt;&gt;1",K$31:K$129)*(1-SUMIF(J$31:J$129,"=1",K$31:K$129))))</f>
        <v/>
      </c>
      <c r="M127" s="254" t="str">
        <f t="shared" si="68"/>
        <v/>
      </c>
      <c r="N127" s="254" t="str">
        <f t="shared" si="99"/>
        <v/>
      </c>
      <c r="O127" s="255" t="str">
        <f t="shared" si="69"/>
        <v/>
      </c>
      <c r="P127" s="255" t="str">
        <f t="shared" ref="P127:P129" si="111">IF(M127="","",IF(N127=1,O127,O127/SUMIF(N$31:N$129,"&lt;&gt;1",O$31:O$129)*(1-SUMIF(N$31:N$129,"=1",O$31:O$129))))</f>
        <v/>
      </c>
      <c r="Q127" s="254" t="str">
        <f t="shared" si="71"/>
        <v/>
      </c>
      <c r="R127" s="254" t="str">
        <f t="shared" si="100"/>
        <v/>
      </c>
      <c r="S127" s="255" t="str">
        <f t="shared" si="72"/>
        <v/>
      </c>
      <c r="T127" s="255" t="str">
        <f t="shared" ref="T127:T129" si="112">IF(Q127="","",IF(R127=1,S127,S127/SUMIF(R$31:R$129,"&lt;&gt;1",S$31:S$129)*(1-SUMIF(R$31:R$129,"=1",S$31:S$129))))</f>
        <v/>
      </c>
      <c r="U127" s="254" t="str">
        <f t="shared" si="74"/>
        <v/>
      </c>
      <c r="V127" s="254" t="str">
        <f t="shared" si="101"/>
        <v/>
      </c>
      <c r="W127" s="255" t="str">
        <f t="shared" si="75"/>
        <v/>
      </c>
      <c r="X127" s="255" t="str">
        <f t="shared" ref="X127:X129" si="113">IF(U127="","",IF(V127=1,W127,W127/SUMIF(V$31:V$129,"&lt;&gt;1",W$31:W$129)*(1-SUMIF(V$31:V$129,"=1",W$31:W$129))))</f>
        <v/>
      </c>
      <c r="Y127" s="254" t="str">
        <f t="shared" si="77"/>
        <v/>
      </c>
      <c r="Z127" s="254" t="str">
        <f t="shared" si="102"/>
        <v/>
      </c>
      <c r="AA127" s="255" t="str">
        <f t="shared" si="78"/>
        <v/>
      </c>
      <c r="AB127" s="255" t="str">
        <f t="shared" ref="AB127:AB129" si="114">IF(Y127="","",IF(Z127=1,AA127,AA127/SUMIF(Z$31:Z$129,"&lt;&gt;1",AA$31:AA$129)*(1-SUMIF(Z$31:Z$129,"=1",AA$31:AA$129))))</f>
        <v/>
      </c>
      <c r="AC127" s="254" t="str">
        <f t="shared" si="80"/>
        <v/>
      </c>
      <c r="AD127" s="254" t="str">
        <f t="shared" si="103"/>
        <v/>
      </c>
      <c r="AE127" s="255" t="str">
        <f t="shared" si="81"/>
        <v/>
      </c>
      <c r="AF127" s="255" t="str">
        <f t="shared" ref="AF127:AF129" si="115">IF(AC127="","",IF(AD127=1,AE127,AE127/SUMIF(AD$31:AD$129,"&lt;&gt;1",AE$31:AE$129)*(1-SUMIF(AD$31:AD$129,"=1",AE$31:AE$129))))</f>
        <v/>
      </c>
      <c r="AG127" s="254" t="str">
        <f t="shared" si="83"/>
        <v/>
      </c>
      <c r="AH127" s="254" t="str">
        <f t="shared" si="104"/>
        <v/>
      </c>
      <c r="AI127" s="255" t="str">
        <f t="shared" si="84"/>
        <v/>
      </c>
      <c r="AJ127" s="255" t="str">
        <f t="shared" ref="AJ127:AJ129" si="116">IF(AG127="","",IF(AH127=1,AI127,AI127/SUMIF(AH$31:AH$129,"&lt;&gt;1",AI$31:AI$129)*(1-SUMIF(AH$31:AH$129,"=1",AI$31:AI$129))))</f>
        <v/>
      </c>
      <c r="AK127" s="254" t="str">
        <f t="shared" si="86"/>
        <v/>
      </c>
      <c r="AL127" s="254" t="str">
        <f t="shared" si="105"/>
        <v/>
      </c>
      <c r="AM127" s="255" t="str">
        <f t="shared" si="87"/>
        <v/>
      </c>
      <c r="AN127" s="255" t="str">
        <f t="shared" ref="AN127:AN129" si="117">IF(AK127="","",IF(AL127=1,AM127,AM127/SUMIF(AL$31:AL$129,"&lt;&gt;1",AM$31:AM$129)*(1-SUMIF(AL$31:AL$129,"=1",AM$31:AM$129))))</f>
        <v/>
      </c>
      <c r="AO127" s="254" t="str">
        <f t="shared" si="89"/>
        <v/>
      </c>
      <c r="AP127" s="254" t="str">
        <f t="shared" si="106"/>
        <v/>
      </c>
      <c r="AQ127" s="255" t="str">
        <f t="shared" si="90"/>
        <v/>
      </c>
      <c r="AR127" s="255" t="str">
        <f t="shared" ref="AR127:AR129" si="118">IF(AO127="","",IF(AP127=1,AQ127,AQ127/SUMIF(AP$31:AP$129,"&lt;&gt;1",AQ$31:AQ$129)*(1-SUMIF(AP$31:AP$129,"=1",AQ$31:AQ$129))))</f>
        <v/>
      </c>
      <c r="AS127" s="254" t="str">
        <f t="shared" si="92"/>
        <v/>
      </c>
      <c r="AT127" s="254" t="str">
        <f t="shared" si="107"/>
        <v/>
      </c>
      <c r="AU127" s="255" t="str">
        <f t="shared" si="93"/>
        <v/>
      </c>
      <c r="AV127" s="255" t="str">
        <f t="shared" ref="AV127:AV129" si="119">IF(AS127="","",IFERROR(IF(AT127=1,AU127,AU127/SUMIF(AT$31:AT$129,"&lt;&gt;1",AU$31:AU$129)*(1-SUMIF(AT$31:AT$129,"=1",AU$31:AU$129))),0))</f>
        <v/>
      </c>
      <c r="AW127" s="256" t="str">
        <f t="shared" ref="AW127:AW129" si="120">IF(C127="","",IFERROR(AV127/SUM($AV$31:$AV$129),$BB$1))</f>
        <v/>
      </c>
      <c r="AX127" s="257" t="str">
        <f t="shared" si="96"/>
        <v/>
      </c>
      <c r="BC127" s="244" t="str">
        <f t="shared" si="97"/>
        <v/>
      </c>
      <c r="BD127" s="244" t="str">
        <f t="shared" si="97"/>
        <v/>
      </c>
      <c r="BF127" s="236">
        <f t="shared" si="98"/>
        <v>1</v>
      </c>
    </row>
    <row r="128" spans="2:58" x14ac:dyDescent="0.25">
      <c r="B128" s="245" t="str">
        <f t="shared" si="61"/>
        <v/>
      </c>
      <c r="C128" s="246" t="str">
        <f>IF('מודל תמיכה חלוקת 20,294,511 שח'!G101="","",'מודל תמיכה חלוקת 20,294,511 שח'!G101)</f>
        <v/>
      </c>
      <c r="D128" s="247" t="str">
        <f>IF(C128="","",'מודל תמיכה חלוקת 20,294,511 שח'!V101)</f>
        <v/>
      </c>
      <c r="E128" s="248" t="str">
        <f t="shared" si="108"/>
        <v/>
      </c>
      <c r="F128" s="249" t="str">
        <f>IF(C128="","",'מודל תמיכה חלוקת 20,294,511 שח'!W101)</f>
        <v/>
      </c>
      <c r="G128" s="248" t="str">
        <f t="shared" si="109"/>
        <v/>
      </c>
      <c r="H128" s="250">
        <v>1</v>
      </c>
      <c r="I128" s="251" t="str">
        <f t="shared" si="64"/>
        <v/>
      </c>
      <c r="J128" s="252" t="str">
        <f t="shared" si="65"/>
        <v/>
      </c>
      <c r="K128" s="253" t="str">
        <f t="shared" si="66"/>
        <v/>
      </c>
      <c r="L128" s="253" t="str">
        <f t="shared" si="110"/>
        <v/>
      </c>
      <c r="M128" s="254" t="str">
        <f t="shared" si="68"/>
        <v/>
      </c>
      <c r="N128" s="254" t="str">
        <f t="shared" si="99"/>
        <v/>
      </c>
      <c r="O128" s="255" t="str">
        <f t="shared" si="69"/>
        <v/>
      </c>
      <c r="P128" s="255" t="str">
        <f t="shared" si="111"/>
        <v/>
      </c>
      <c r="Q128" s="254" t="str">
        <f t="shared" si="71"/>
        <v/>
      </c>
      <c r="R128" s="254" t="str">
        <f t="shared" si="100"/>
        <v/>
      </c>
      <c r="S128" s="255" t="str">
        <f t="shared" si="72"/>
        <v/>
      </c>
      <c r="T128" s="255" t="str">
        <f t="shared" si="112"/>
        <v/>
      </c>
      <c r="U128" s="254" t="str">
        <f t="shared" si="74"/>
        <v/>
      </c>
      <c r="V128" s="254" t="str">
        <f t="shared" si="101"/>
        <v/>
      </c>
      <c r="W128" s="255" t="str">
        <f t="shared" si="75"/>
        <v/>
      </c>
      <c r="X128" s="255" t="str">
        <f t="shared" si="113"/>
        <v/>
      </c>
      <c r="Y128" s="254" t="str">
        <f t="shared" si="77"/>
        <v/>
      </c>
      <c r="Z128" s="254" t="str">
        <f t="shared" si="102"/>
        <v/>
      </c>
      <c r="AA128" s="255" t="str">
        <f t="shared" si="78"/>
        <v/>
      </c>
      <c r="AB128" s="255" t="str">
        <f t="shared" si="114"/>
        <v/>
      </c>
      <c r="AC128" s="254" t="str">
        <f t="shared" si="80"/>
        <v/>
      </c>
      <c r="AD128" s="254" t="str">
        <f t="shared" si="103"/>
        <v/>
      </c>
      <c r="AE128" s="255" t="str">
        <f t="shared" si="81"/>
        <v/>
      </c>
      <c r="AF128" s="255" t="str">
        <f t="shared" si="115"/>
        <v/>
      </c>
      <c r="AG128" s="254" t="str">
        <f t="shared" si="83"/>
        <v/>
      </c>
      <c r="AH128" s="254" t="str">
        <f t="shared" si="104"/>
        <v/>
      </c>
      <c r="AI128" s="255" t="str">
        <f t="shared" si="84"/>
        <v/>
      </c>
      <c r="AJ128" s="255" t="str">
        <f t="shared" si="116"/>
        <v/>
      </c>
      <c r="AK128" s="254" t="str">
        <f t="shared" si="86"/>
        <v/>
      </c>
      <c r="AL128" s="254" t="str">
        <f t="shared" si="105"/>
        <v/>
      </c>
      <c r="AM128" s="255" t="str">
        <f t="shared" si="87"/>
        <v/>
      </c>
      <c r="AN128" s="255" t="str">
        <f t="shared" si="117"/>
        <v/>
      </c>
      <c r="AO128" s="254" t="str">
        <f t="shared" si="89"/>
        <v/>
      </c>
      <c r="AP128" s="254" t="str">
        <f t="shared" si="106"/>
        <v/>
      </c>
      <c r="AQ128" s="255" t="str">
        <f t="shared" si="90"/>
        <v/>
      </c>
      <c r="AR128" s="255" t="str">
        <f t="shared" si="118"/>
        <v/>
      </c>
      <c r="AS128" s="254" t="str">
        <f t="shared" si="92"/>
        <v/>
      </c>
      <c r="AT128" s="254" t="str">
        <f t="shared" si="107"/>
        <v/>
      </c>
      <c r="AU128" s="255" t="str">
        <f t="shared" si="93"/>
        <v/>
      </c>
      <c r="AV128" s="255" t="str">
        <f t="shared" si="119"/>
        <v/>
      </c>
      <c r="AW128" s="256" t="str">
        <f t="shared" si="120"/>
        <v/>
      </c>
      <c r="AX128" s="257" t="str">
        <f t="shared" si="96"/>
        <v/>
      </c>
      <c r="BC128" s="244" t="str">
        <f t="shared" si="97"/>
        <v/>
      </c>
      <c r="BD128" s="244" t="str">
        <f t="shared" si="97"/>
        <v/>
      </c>
      <c r="BF128" s="236">
        <f t="shared" si="98"/>
        <v>1</v>
      </c>
    </row>
    <row r="129" spans="2:58" ht="16.5" thickBot="1" x14ac:dyDescent="0.3">
      <c r="B129" s="259" t="str">
        <f t="shared" si="61"/>
        <v/>
      </c>
      <c r="C129" s="246" t="str">
        <f>IF('מודל תמיכה חלוקת 20,294,511 שח'!G102="","",'מודל תמיכה חלוקת 20,294,511 שח'!G102)</f>
        <v/>
      </c>
      <c r="D129" s="247" t="str">
        <f>IF(C129="","",'מודל תמיכה חלוקת 20,294,511 שח'!V102)</f>
        <v/>
      </c>
      <c r="E129" s="248" t="str">
        <f t="shared" si="108"/>
        <v/>
      </c>
      <c r="F129" s="249" t="str">
        <f>IF(C129="","",'מודל תמיכה חלוקת 20,294,511 שח'!W102)</f>
        <v/>
      </c>
      <c r="G129" s="248" t="str">
        <f t="shared" si="109"/>
        <v/>
      </c>
      <c r="H129" s="250">
        <v>1</v>
      </c>
      <c r="I129" s="260" t="str">
        <f t="shared" si="64"/>
        <v/>
      </c>
      <c r="J129" s="261" t="str">
        <f t="shared" si="65"/>
        <v/>
      </c>
      <c r="K129" s="262" t="str">
        <f t="shared" si="66"/>
        <v/>
      </c>
      <c r="L129" s="262" t="str">
        <f t="shared" si="110"/>
        <v/>
      </c>
      <c r="M129" s="263" t="str">
        <f t="shared" si="68"/>
        <v/>
      </c>
      <c r="N129" s="263" t="str">
        <f t="shared" si="99"/>
        <v/>
      </c>
      <c r="O129" s="264" t="str">
        <f t="shared" si="69"/>
        <v/>
      </c>
      <c r="P129" s="264" t="str">
        <f t="shared" si="111"/>
        <v/>
      </c>
      <c r="Q129" s="263" t="str">
        <f t="shared" si="71"/>
        <v/>
      </c>
      <c r="R129" s="263" t="str">
        <f t="shared" si="100"/>
        <v/>
      </c>
      <c r="S129" s="264" t="str">
        <f t="shared" si="72"/>
        <v/>
      </c>
      <c r="T129" s="264" t="str">
        <f t="shared" si="112"/>
        <v/>
      </c>
      <c r="U129" s="263" t="str">
        <f t="shared" si="74"/>
        <v/>
      </c>
      <c r="V129" s="263" t="str">
        <f t="shared" si="101"/>
        <v/>
      </c>
      <c r="W129" s="264" t="str">
        <f t="shared" si="75"/>
        <v/>
      </c>
      <c r="X129" s="264" t="str">
        <f t="shared" si="113"/>
        <v/>
      </c>
      <c r="Y129" s="263" t="str">
        <f t="shared" si="77"/>
        <v/>
      </c>
      <c r="Z129" s="263" t="str">
        <f t="shared" si="102"/>
        <v/>
      </c>
      <c r="AA129" s="264" t="str">
        <f t="shared" si="78"/>
        <v/>
      </c>
      <c r="AB129" s="264" t="str">
        <f t="shared" si="114"/>
        <v/>
      </c>
      <c r="AC129" s="263" t="str">
        <f t="shared" si="80"/>
        <v/>
      </c>
      <c r="AD129" s="263" t="str">
        <f t="shared" si="103"/>
        <v/>
      </c>
      <c r="AE129" s="264" t="str">
        <f t="shared" si="81"/>
        <v/>
      </c>
      <c r="AF129" s="264" t="str">
        <f t="shared" si="115"/>
        <v/>
      </c>
      <c r="AG129" s="263" t="str">
        <f t="shared" si="83"/>
        <v/>
      </c>
      <c r="AH129" s="263" t="str">
        <f t="shared" si="104"/>
        <v/>
      </c>
      <c r="AI129" s="264" t="str">
        <f t="shared" si="84"/>
        <v/>
      </c>
      <c r="AJ129" s="264" t="str">
        <f t="shared" si="116"/>
        <v/>
      </c>
      <c r="AK129" s="263" t="str">
        <f t="shared" si="86"/>
        <v/>
      </c>
      <c r="AL129" s="263" t="str">
        <f t="shared" si="105"/>
        <v/>
      </c>
      <c r="AM129" s="264" t="str">
        <f t="shared" si="87"/>
        <v/>
      </c>
      <c r="AN129" s="264" t="str">
        <f t="shared" si="117"/>
        <v/>
      </c>
      <c r="AO129" s="263" t="str">
        <f t="shared" si="89"/>
        <v/>
      </c>
      <c r="AP129" s="263" t="str">
        <f t="shared" si="106"/>
        <v/>
      </c>
      <c r="AQ129" s="264" t="str">
        <f t="shared" si="90"/>
        <v/>
      </c>
      <c r="AR129" s="264" t="str">
        <f t="shared" si="118"/>
        <v/>
      </c>
      <c r="AS129" s="263" t="str">
        <f t="shared" si="92"/>
        <v/>
      </c>
      <c r="AT129" s="263" t="str">
        <f t="shared" si="107"/>
        <v/>
      </c>
      <c r="AU129" s="264" t="str">
        <f t="shared" si="93"/>
        <v/>
      </c>
      <c r="AV129" s="255" t="str">
        <f t="shared" si="119"/>
        <v/>
      </c>
      <c r="AW129" s="265" t="str">
        <f t="shared" si="120"/>
        <v/>
      </c>
      <c r="AX129" s="266" t="str">
        <f t="shared" si="96"/>
        <v/>
      </c>
      <c r="BC129" s="244" t="str">
        <f t="shared" si="97"/>
        <v/>
      </c>
      <c r="BD129" s="244" t="str">
        <f t="shared" si="97"/>
        <v/>
      </c>
      <c r="BF129" s="236">
        <f t="shared" si="98"/>
        <v>1</v>
      </c>
    </row>
    <row r="130" spans="2:58" ht="16.5" thickBot="1" x14ac:dyDescent="0.3">
      <c r="B130" s="370" t="s">
        <v>468</v>
      </c>
      <c r="C130" s="371"/>
      <c r="D130" s="267">
        <f>SUM(D31:D129)</f>
        <v>20294510.999999996</v>
      </c>
      <c r="E130" s="268">
        <f>SUM(E31:E129)</f>
        <v>1.0000000000000002</v>
      </c>
      <c r="F130" s="269">
        <f>SUM(F31:F129)-SUMIF(C31:C129,"",F31:F129)</f>
        <v>20089997</v>
      </c>
      <c r="G130" s="270">
        <f>SUM(G31:G129)</f>
        <v>1.0000000000000004</v>
      </c>
      <c r="H130" s="269">
        <f>SUM(H31:H129)</f>
        <v>99</v>
      </c>
      <c r="I130" s="269">
        <f t="shared" ref="I130:AX130" si="121">SUM(I31:I129)</f>
        <v>6</v>
      </c>
      <c r="J130" s="269">
        <f t="shared" si="121"/>
        <v>6</v>
      </c>
      <c r="K130" s="271">
        <f t="shared" si="121"/>
        <v>1.0158910458669708</v>
      </c>
      <c r="L130" s="271">
        <f t="shared" si="121"/>
        <v>1</v>
      </c>
      <c r="M130" s="269">
        <f t="shared" si="121"/>
        <v>3</v>
      </c>
      <c r="N130" s="269">
        <f t="shared" si="121"/>
        <v>3</v>
      </c>
      <c r="O130" s="271">
        <f t="shared" si="121"/>
        <v>1.0154859255917081</v>
      </c>
      <c r="P130" s="271">
        <f t="shared" si="121"/>
        <v>1.0000000000000002</v>
      </c>
      <c r="Q130" s="269">
        <f t="shared" si="121"/>
        <v>6</v>
      </c>
      <c r="R130" s="269">
        <f t="shared" si="121"/>
        <v>6</v>
      </c>
      <c r="S130" s="271">
        <f t="shared" si="121"/>
        <v>1.0154859255917081</v>
      </c>
      <c r="T130" s="271">
        <f t="shared" si="121"/>
        <v>0.99999999999999978</v>
      </c>
      <c r="U130" s="269">
        <f t="shared" si="121"/>
        <v>3</v>
      </c>
      <c r="V130" s="269">
        <f t="shared" si="121"/>
        <v>3</v>
      </c>
      <c r="W130" s="271">
        <f t="shared" si="121"/>
        <v>1.0009830628623799</v>
      </c>
      <c r="X130" s="271">
        <f t="shared" si="121"/>
        <v>1.0000000000000002</v>
      </c>
      <c r="Y130" s="269">
        <f t="shared" si="121"/>
        <v>6</v>
      </c>
      <c r="Z130" s="269">
        <f t="shared" si="121"/>
        <v>6</v>
      </c>
      <c r="AA130" s="271">
        <f t="shared" si="121"/>
        <v>1.0001236463089958</v>
      </c>
      <c r="AB130" s="271">
        <f t="shared" si="121"/>
        <v>1</v>
      </c>
      <c r="AC130" s="269">
        <f t="shared" si="121"/>
        <v>3</v>
      </c>
      <c r="AD130" s="269">
        <f t="shared" si="121"/>
        <v>3</v>
      </c>
      <c r="AE130" s="271">
        <f t="shared" si="121"/>
        <v>1.0000079860073285</v>
      </c>
      <c r="AF130" s="271">
        <f t="shared" si="121"/>
        <v>1</v>
      </c>
      <c r="AG130" s="269">
        <f t="shared" si="121"/>
        <v>6</v>
      </c>
      <c r="AH130" s="269">
        <f t="shared" si="121"/>
        <v>6</v>
      </c>
      <c r="AI130" s="271">
        <f t="shared" si="121"/>
        <v>1.000001005491417</v>
      </c>
      <c r="AJ130" s="271">
        <f t="shared" si="121"/>
        <v>0.99999999999999989</v>
      </c>
      <c r="AK130" s="269">
        <f t="shared" si="121"/>
        <v>3</v>
      </c>
      <c r="AL130" s="269">
        <f t="shared" si="121"/>
        <v>3</v>
      </c>
      <c r="AM130" s="271">
        <f t="shared" si="121"/>
        <v>1.0000000649512255</v>
      </c>
      <c r="AN130" s="271">
        <f t="shared" si="121"/>
        <v>1.0000000000000002</v>
      </c>
      <c r="AO130" s="269">
        <f t="shared" si="121"/>
        <v>6</v>
      </c>
      <c r="AP130" s="269">
        <f t="shared" si="121"/>
        <v>6</v>
      </c>
      <c r="AQ130" s="271">
        <f t="shared" si="121"/>
        <v>1.0000000081778599</v>
      </c>
      <c r="AR130" s="271">
        <f t="shared" si="121"/>
        <v>0.99999999999999967</v>
      </c>
      <c r="AS130" s="269">
        <f t="shared" si="121"/>
        <v>9</v>
      </c>
      <c r="AT130" s="269">
        <f t="shared" si="121"/>
        <v>9</v>
      </c>
      <c r="AU130" s="271">
        <f t="shared" si="121"/>
        <v>1.0000000005282614</v>
      </c>
      <c r="AV130" s="271">
        <f t="shared" si="121"/>
        <v>1.0000000000000002</v>
      </c>
      <c r="AW130" s="271">
        <f t="shared" si="121"/>
        <v>1.0000000000000002</v>
      </c>
      <c r="AX130" s="272">
        <f t="shared" si="121"/>
        <v>20294510.999999993</v>
      </c>
    </row>
  </sheetData>
  <sheetProtection algorithmName="SHA-512" hashValue="HrKMHy07PazLM6n7GkVUapDENEvUc6DPvD0w7uKs+/J0P9AyLPYduir/YtjU3TZhYhl8aVsMdwwFaJKGqmg+oQ==" saltValue="PvCFTChHxEaHMfEAzU3uKw==" spinCount="100000" sheet="1" scenarios="1" formatColumns="0" formatRows="0"/>
  <mergeCells count="49">
    <mergeCell ref="B130:C130"/>
    <mergeCell ref="AS29:AS30"/>
    <mergeCell ref="AT29:AT30"/>
    <mergeCell ref="AU29:AU30"/>
    <mergeCell ref="AV29:AV30"/>
    <mergeCell ref="AG29:AG30"/>
    <mergeCell ref="AH29:AH30"/>
    <mergeCell ref="AI29:AI30"/>
    <mergeCell ref="AJ29:AJ30"/>
    <mergeCell ref="AK29:AK30"/>
    <mergeCell ref="AL29:AL30"/>
    <mergeCell ref="AA29:AA30"/>
    <mergeCell ref="AB29:AB30"/>
    <mergeCell ref="AC29:AC30"/>
    <mergeCell ref="AD29:AD30"/>
    <mergeCell ref="AE29:AE30"/>
    <mergeCell ref="AW29:AW30"/>
    <mergeCell ref="AX29:AX30"/>
    <mergeCell ref="AM29:AM30"/>
    <mergeCell ref="AN29:AN30"/>
    <mergeCell ref="AO29:AO30"/>
    <mergeCell ref="AP29:AP30"/>
    <mergeCell ref="AQ29:AQ30"/>
    <mergeCell ref="AR29:AR30"/>
    <mergeCell ref="AF29:AF30"/>
    <mergeCell ref="U29:U30"/>
    <mergeCell ref="V29:V30"/>
    <mergeCell ref="W29:W30"/>
    <mergeCell ref="X29:X30"/>
    <mergeCell ref="Y29:Y30"/>
    <mergeCell ref="Z29:Z30"/>
    <mergeCell ref="T29:T30"/>
    <mergeCell ref="I29:I30"/>
    <mergeCell ref="J29:J30"/>
    <mergeCell ref="K29:K30"/>
    <mergeCell ref="L29:L30"/>
    <mergeCell ref="M29:M30"/>
    <mergeCell ref="N29:N30"/>
    <mergeCell ref="O29:O30"/>
    <mergeCell ref="P29:P30"/>
    <mergeCell ref="Q29:Q30"/>
    <mergeCell ref="R29:R30"/>
    <mergeCell ref="S29:S30"/>
    <mergeCell ref="G29:G30"/>
    <mergeCell ref="B29:B30"/>
    <mergeCell ref="C29:C30"/>
    <mergeCell ref="D29:D30"/>
    <mergeCell ref="E29:E30"/>
    <mergeCell ref="F29:F30"/>
  </mergeCells>
  <conditionalFormatting sqref="B31:AX129">
    <cfRule type="expression" dxfId="4" priority="2" stopIfTrue="1">
      <formula>AND($C31="",B31&lt;&gt;"")</formula>
    </cfRule>
    <cfRule type="expression" dxfId="3" priority="3">
      <formula>$C31=""</formula>
    </cfRule>
    <cfRule type="expression" dxfId="2" priority="4">
      <formula>B$30&lt;&gt;""</formula>
    </cfRule>
  </conditionalFormatting>
  <conditionalFormatting sqref="D1:D2">
    <cfRule type="containsBlanks" dxfId="1" priority="1">
      <formula>LEN(TRIM(D1))=0</formula>
    </cfRule>
  </conditionalFormatting>
  <dataValidations count="2">
    <dataValidation type="list" allowBlank="1" showInputMessage="1" showErrorMessage="1" error="יש להזין 0 או 1 _x000a_0  = לא זכאי להגנה_x000a_1 - זכאי להגנה" sqref="H31:H129" xr:uid="{2B1E222F-CCC0-412D-A9FC-C590A0801C59}">
      <formula1>$BC31:$BD31</formula1>
    </dataValidation>
    <dataValidation type="decimal" operator="greaterThanOrEqual" allowBlank="1" showInputMessage="1" showErrorMessage="1" errorTitle="נתון שגוי." error="ניתן להזין רק מספר גדול או שווה ל-0." sqref="F31:F129" xr:uid="{E6A740C1-D2F2-44CD-B880-1E446BB28770}">
      <formula1>0</formula1>
    </dataValidation>
  </dataValidations>
  <printOptions horizontalCentered="1"/>
  <pageMargins left="0.51181102362204722" right="0.51181102362204722" top="0.74803149606299213" bottom="0.74803149606299213" header="0.31496062992125984" footer="0.31496062992125984"/>
  <pageSetup paperSize="9" scale="78"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5" operator="containsText" id="{11CC301E-3002-43D4-8A68-2BCC0E9BD370}">
            <xm:f>NOT(ISERROR(SEARCH($BB$1,B31)))</xm:f>
            <xm:f>$BB$1</xm:f>
            <x14:dxf>
              <fill>
                <patternFill>
                  <bgColor rgb="FFFF0000"/>
                </patternFill>
              </fill>
            </x14:dxf>
          </x14:cfRule>
          <xm:sqref>B31:AX129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06EEC-D1FE-4C7D-90BF-39012085AC41}">
  <sheetPr>
    <tabColor rgb="FFFFFF00"/>
    <pageSetUpPr fitToPage="1"/>
  </sheetPr>
  <dimension ref="A1:Z76"/>
  <sheetViews>
    <sheetView rightToLeft="1" zoomScale="70" zoomScaleNormal="70" workbookViewId="0">
      <pane xSplit="2" ySplit="5" topLeftCell="C9" activePane="bottomRight" state="frozen"/>
      <selection activeCell="Y3" sqref="Y3"/>
      <selection pane="topRight" activeCell="Y3" sqref="Y3"/>
      <selection pane="bottomLeft" activeCell="Y3" sqref="Y3"/>
      <selection pane="bottomRight" activeCell="A17" sqref="A17"/>
    </sheetView>
  </sheetViews>
  <sheetFormatPr defaultColWidth="9" defaultRowHeight="15" x14ac:dyDescent="0.2"/>
  <cols>
    <col min="1" max="1" width="4.875" style="30" customWidth="1"/>
    <col min="2" max="2" width="33.5" style="3" customWidth="1"/>
    <col min="3" max="3" width="15" style="3" customWidth="1"/>
    <col min="4" max="5" width="11.875" style="3" customWidth="1"/>
    <col min="6" max="6" width="12" style="8" customWidth="1"/>
    <col min="7" max="7" width="11.875" style="3" customWidth="1"/>
    <col min="8" max="8" width="14.75" style="3" customWidth="1"/>
    <col min="9" max="9" width="12.75" style="3" customWidth="1"/>
    <col min="10" max="10" width="16.75" style="3" customWidth="1"/>
    <col min="11" max="17" width="11.875" style="3" customWidth="1"/>
    <col min="18" max="18" width="13.125" style="3" customWidth="1"/>
    <col min="19" max="19" width="15.5" style="3" customWidth="1"/>
    <col min="20" max="21" width="13.125" style="3" customWidth="1"/>
    <col min="22" max="22" width="14" style="3" customWidth="1"/>
    <col min="23" max="23" width="10.875" style="9" customWidth="1"/>
    <col min="24" max="24" width="10.875" style="13" customWidth="1"/>
    <col min="25" max="25" width="48.75" style="14" customWidth="1"/>
    <col min="26" max="26" width="10.25" style="15" customWidth="1"/>
    <col min="27" max="16384" width="9" style="3"/>
  </cols>
  <sheetData>
    <row r="1" spans="1:26" ht="15.75" thickBot="1" x14ac:dyDescent="0.25">
      <c r="W1" s="13"/>
    </row>
    <row r="2" spans="1:26" ht="105" thickBot="1" x14ac:dyDescent="0.25">
      <c r="A2" s="72"/>
      <c r="B2" s="73"/>
      <c r="C2" s="73"/>
      <c r="D2" s="73"/>
      <c r="E2" s="73"/>
      <c r="F2" s="73"/>
      <c r="G2" s="73"/>
      <c r="H2" s="73"/>
      <c r="I2" s="73"/>
      <c r="J2" s="372" t="s">
        <v>450</v>
      </c>
      <c r="K2" s="373"/>
      <c r="L2" s="373"/>
      <c r="M2" s="373"/>
      <c r="N2" s="373"/>
      <c r="O2" s="373"/>
      <c r="P2" s="373"/>
      <c r="Q2" s="373"/>
      <c r="R2" s="374"/>
      <c r="S2" s="51" t="s">
        <v>558</v>
      </c>
      <c r="T2" s="73"/>
      <c r="U2" s="73"/>
      <c r="V2" s="73"/>
      <c r="W2" s="73"/>
      <c r="X2" s="73"/>
      <c r="Y2" s="74"/>
      <c r="Z2" s="75"/>
    </row>
    <row r="3" spans="1:26" ht="16.5" thickBot="1" x14ac:dyDescent="0.25">
      <c r="A3" s="72"/>
      <c r="B3" s="39" t="s">
        <v>160</v>
      </c>
      <c r="C3" s="297"/>
      <c r="D3" s="4" t="s">
        <v>161</v>
      </c>
      <c r="E3" s="4" t="s">
        <v>162</v>
      </c>
      <c r="F3" s="4" t="s">
        <v>163</v>
      </c>
      <c r="G3" s="4" t="s">
        <v>163</v>
      </c>
      <c r="H3" s="27" t="s">
        <v>163</v>
      </c>
      <c r="I3" s="5" t="s">
        <v>423</v>
      </c>
      <c r="J3" s="41" t="s">
        <v>424</v>
      </c>
      <c r="K3" s="42" t="s">
        <v>164</v>
      </c>
      <c r="L3" s="42" t="s">
        <v>165</v>
      </c>
      <c r="M3" s="42" t="s">
        <v>166</v>
      </c>
      <c r="N3" s="42" t="s">
        <v>166</v>
      </c>
      <c r="O3" s="42" t="s">
        <v>167</v>
      </c>
      <c r="P3" s="42" t="s">
        <v>168</v>
      </c>
      <c r="Q3" s="42" t="s">
        <v>169</v>
      </c>
      <c r="R3" s="43" t="s">
        <v>188</v>
      </c>
      <c r="S3" s="52" t="s">
        <v>427</v>
      </c>
      <c r="T3" s="4" t="s">
        <v>170</v>
      </c>
      <c r="U3" s="4" t="s">
        <v>542</v>
      </c>
      <c r="V3" s="4" t="s">
        <v>171</v>
      </c>
      <c r="W3" s="5"/>
      <c r="X3" s="5" t="s">
        <v>428</v>
      </c>
      <c r="Y3" s="32"/>
      <c r="Z3" s="75"/>
    </row>
    <row r="4" spans="1:26" s="6" customFormat="1" ht="150" thickBot="1" x14ac:dyDescent="0.25">
      <c r="A4" s="375" t="s">
        <v>0</v>
      </c>
      <c r="B4" s="377" t="s">
        <v>4</v>
      </c>
      <c r="C4" s="385" t="s">
        <v>544</v>
      </c>
      <c r="D4" s="298" t="s">
        <v>172</v>
      </c>
      <c r="E4" s="299" t="s">
        <v>456</v>
      </c>
      <c r="F4" s="300" t="s">
        <v>454</v>
      </c>
      <c r="G4" s="300" t="s">
        <v>455</v>
      </c>
      <c r="H4" s="304" t="s">
        <v>545</v>
      </c>
      <c r="I4" s="33" t="s">
        <v>173</v>
      </c>
      <c r="J4" s="44" t="s">
        <v>436</v>
      </c>
      <c r="K4" s="45" t="s">
        <v>425</v>
      </c>
      <c r="L4" s="46" t="s">
        <v>189</v>
      </c>
      <c r="M4" s="44" t="s">
        <v>174</v>
      </c>
      <c r="N4" s="46" t="s">
        <v>175</v>
      </c>
      <c r="O4" s="44" t="s">
        <v>176</v>
      </c>
      <c r="P4" s="44" t="s">
        <v>177</v>
      </c>
      <c r="Q4" s="46" t="s">
        <v>426</v>
      </c>
      <c r="R4" s="44" t="s">
        <v>437</v>
      </c>
      <c r="S4" s="53" t="s">
        <v>557</v>
      </c>
      <c r="T4" s="40" t="s">
        <v>457</v>
      </c>
      <c r="U4" s="40" t="s">
        <v>543</v>
      </c>
      <c r="V4" s="33" t="s">
        <v>438</v>
      </c>
      <c r="W4" s="34" t="s">
        <v>178</v>
      </c>
      <c r="X4" s="33" t="s">
        <v>429</v>
      </c>
      <c r="Y4" s="37" t="s">
        <v>179</v>
      </c>
      <c r="Z4" s="38" t="s">
        <v>180</v>
      </c>
    </row>
    <row r="5" spans="1:26" s="7" customFormat="1" ht="15.75" thickBot="1" x14ac:dyDescent="0.25">
      <c r="A5" s="376"/>
      <c r="B5" s="378"/>
      <c r="C5" s="386"/>
      <c r="D5" s="301" t="s">
        <v>181</v>
      </c>
      <c r="E5" s="302" t="s">
        <v>181</v>
      </c>
      <c r="F5" s="302" t="s">
        <v>182</v>
      </c>
      <c r="G5" s="302" t="s">
        <v>182</v>
      </c>
      <c r="H5" s="303" t="s">
        <v>181</v>
      </c>
      <c r="I5" s="303" t="s">
        <v>181</v>
      </c>
      <c r="J5" s="47" t="s">
        <v>181</v>
      </c>
      <c r="K5" s="48" t="s">
        <v>181</v>
      </c>
      <c r="L5" s="49" t="s">
        <v>181</v>
      </c>
      <c r="M5" s="48" t="s">
        <v>181</v>
      </c>
      <c r="N5" s="49" t="s">
        <v>181</v>
      </c>
      <c r="O5" s="49" t="s">
        <v>181</v>
      </c>
      <c r="P5" s="48" t="s">
        <v>181</v>
      </c>
      <c r="Q5" s="49" t="s">
        <v>181</v>
      </c>
      <c r="R5" s="50" t="s">
        <v>181</v>
      </c>
      <c r="S5" s="54" t="s">
        <v>181</v>
      </c>
      <c r="T5" s="36" t="s">
        <v>181</v>
      </c>
      <c r="U5" s="36"/>
      <c r="V5" s="36" t="s">
        <v>181</v>
      </c>
      <c r="W5" s="35" t="s">
        <v>181</v>
      </c>
      <c r="X5" s="36" t="s">
        <v>181</v>
      </c>
      <c r="Y5" s="135"/>
      <c r="Z5" s="136" t="s">
        <v>181</v>
      </c>
    </row>
    <row r="6" spans="1:26" s="7" customFormat="1" ht="33" customHeight="1" thickBot="1" x14ac:dyDescent="0.25">
      <c r="A6" s="379" t="s">
        <v>449</v>
      </c>
      <c r="B6" s="380"/>
      <c r="C6" s="380"/>
      <c r="D6" s="380"/>
      <c r="E6" s="380"/>
      <c r="F6" s="380"/>
      <c r="G6" s="380"/>
      <c r="H6" s="380"/>
      <c r="I6" s="380"/>
      <c r="J6" s="380"/>
      <c r="K6" s="380"/>
      <c r="L6" s="380"/>
      <c r="M6" s="380"/>
      <c r="N6" s="380"/>
      <c r="O6" s="380"/>
      <c r="P6" s="380"/>
      <c r="Q6" s="380"/>
      <c r="R6" s="380"/>
      <c r="S6" s="381"/>
      <c r="T6" s="380"/>
      <c r="U6" s="380"/>
      <c r="V6" s="380"/>
      <c r="W6" s="380"/>
      <c r="X6" s="380"/>
      <c r="Y6" s="380"/>
      <c r="Z6" s="382"/>
    </row>
    <row r="7" spans="1:26" s="296" customFormat="1" ht="26.45" customHeight="1" x14ac:dyDescent="0.2">
      <c r="A7" s="28">
        <v>1</v>
      </c>
      <c r="B7" s="56" t="s">
        <v>156</v>
      </c>
      <c r="C7" s="70" t="s">
        <v>198</v>
      </c>
      <c r="D7" s="81" t="s">
        <v>183</v>
      </c>
      <c r="E7" s="82" t="s">
        <v>183</v>
      </c>
      <c r="F7" s="86">
        <v>1984</v>
      </c>
      <c r="G7" s="86">
        <v>1984</v>
      </c>
      <c r="H7" s="120" t="s">
        <v>183</v>
      </c>
      <c r="I7" s="311" t="s">
        <v>183</v>
      </c>
      <c r="J7" s="88" t="s">
        <v>183</v>
      </c>
      <c r="K7" s="81" t="s">
        <v>183</v>
      </c>
      <c r="L7" s="87" t="s">
        <v>183</v>
      </c>
      <c r="M7" s="87" t="s">
        <v>183</v>
      </c>
      <c r="N7" s="87" t="s">
        <v>183</v>
      </c>
      <c r="O7" s="87" t="s">
        <v>183</v>
      </c>
      <c r="P7" s="82" t="s">
        <v>183</v>
      </c>
      <c r="Q7" s="82" t="s">
        <v>183</v>
      </c>
      <c r="R7" s="84" t="s">
        <v>184</v>
      </c>
      <c r="S7" s="312" t="s">
        <v>183</v>
      </c>
      <c r="T7" s="81" t="s">
        <v>183</v>
      </c>
      <c r="U7" s="81" t="s">
        <v>183</v>
      </c>
      <c r="V7" s="101" t="s">
        <v>183</v>
      </c>
      <c r="W7" s="104"/>
      <c r="X7" s="87" t="s">
        <v>183</v>
      </c>
      <c r="Y7" s="63" t="s">
        <v>459</v>
      </c>
      <c r="Z7" s="68" t="s">
        <v>183</v>
      </c>
    </row>
    <row r="8" spans="1:26" s="7" customFormat="1" ht="56.25" x14ac:dyDescent="0.2">
      <c r="A8" s="28">
        <v>2</v>
      </c>
      <c r="B8" s="305" t="s">
        <v>208</v>
      </c>
      <c r="C8" s="293" t="s">
        <v>204</v>
      </c>
      <c r="D8" s="77" t="s">
        <v>183</v>
      </c>
      <c r="E8" s="78" t="s">
        <v>183</v>
      </c>
      <c r="F8" s="79">
        <v>1981</v>
      </c>
      <c r="G8" s="79" t="s">
        <v>435</v>
      </c>
      <c r="H8" s="80" t="s">
        <v>183</v>
      </c>
      <c r="I8" s="80" t="s">
        <v>183</v>
      </c>
      <c r="J8" s="94" t="s">
        <v>185</v>
      </c>
      <c r="K8" s="78" t="s">
        <v>460</v>
      </c>
      <c r="L8" s="78" t="s">
        <v>462</v>
      </c>
      <c r="M8" s="78" t="s">
        <v>462</v>
      </c>
      <c r="N8" s="78" t="s">
        <v>462</v>
      </c>
      <c r="O8" s="78" t="s">
        <v>184</v>
      </c>
      <c r="P8" s="78" t="s">
        <v>462</v>
      </c>
      <c r="Q8" s="78" t="s">
        <v>462</v>
      </c>
      <c r="R8" s="80" t="s">
        <v>184</v>
      </c>
      <c r="S8" s="294" t="s">
        <v>458</v>
      </c>
      <c r="T8" s="77" t="s">
        <v>183</v>
      </c>
      <c r="U8" s="77" t="s">
        <v>183</v>
      </c>
      <c r="V8" s="98" t="s">
        <v>183</v>
      </c>
      <c r="W8" s="93"/>
      <c r="X8" s="80" t="s">
        <v>183</v>
      </c>
      <c r="Y8" s="62" t="s">
        <v>444</v>
      </c>
      <c r="Z8" s="295" t="s">
        <v>185</v>
      </c>
    </row>
    <row r="9" spans="1:26" ht="38.25" x14ac:dyDescent="0.2">
      <c r="A9" s="28">
        <v>3</v>
      </c>
      <c r="B9" s="56" t="s">
        <v>351</v>
      </c>
      <c r="C9" s="55" t="s">
        <v>209</v>
      </c>
      <c r="D9" s="81" t="s">
        <v>183</v>
      </c>
      <c r="E9" s="82" t="s">
        <v>183</v>
      </c>
      <c r="F9" s="83">
        <v>2015</v>
      </c>
      <c r="G9" s="83">
        <v>2017</v>
      </c>
      <c r="H9" s="84" t="s">
        <v>183</v>
      </c>
      <c r="I9" s="84" t="s">
        <v>183</v>
      </c>
      <c r="J9" s="88" t="s">
        <v>183</v>
      </c>
      <c r="K9" s="101" t="s">
        <v>183</v>
      </c>
      <c r="L9" s="82" t="s">
        <v>183</v>
      </c>
      <c r="M9" s="82" t="s">
        <v>183</v>
      </c>
      <c r="N9" s="82" t="s">
        <v>183</v>
      </c>
      <c r="O9" s="82" t="s">
        <v>184</v>
      </c>
      <c r="P9" s="82" t="s">
        <v>183</v>
      </c>
      <c r="Q9" s="108" t="s">
        <v>183</v>
      </c>
      <c r="R9" s="84" t="s">
        <v>184</v>
      </c>
      <c r="S9" s="61" t="s">
        <v>183</v>
      </c>
      <c r="T9" s="81" t="s">
        <v>183</v>
      </c>
      <c r="U9" s="81" t="s">
        <v>183</v>
      </c>
      <c r="V9" s="101" t="s">
        <v>183</v>
      </c>
      <c r="W9" s="100" t="s">
        <v>183</v>
      </c>
      <c r="X9" s="84" t="s">
        <v>183</v>
      </c>
      <c r="Y9" s="63" t="s">
        <v>452</v>
      </c>
      <c r="Z9" s="66" t="s">
        <v>183</v>
      </c>
    </row>
    <row r="10" spans="1:26" ht="54" x14ac:dyDescent="0.2">
      <c r="A10" s="28">
        <v>4</v>
      </c>
      <c r="B10" s="56" t="s">
        <v>223</v>
      </c>
      <c r="C10" s="55" t="s">
        <v>219</v>
      </c>
      <c r="D10" s="85" t="s">
        <v>185</v>
      </c>
      <c r="E10" s="82" t="s">
        <v>183</v>
      </c>
      <c r="F10" s="83">
        <v>2018</v>
      </c>
      <c r="G10" s="83">
        <v>2018</v>
      </c>
      <c r="H10" s="84" t="s">
        <v>183</v>
      </c>
      <c r="I10" s="84" t="s">
        <v>183</v>
      </c>
      <c r="J10" s="95" t="s">
        <v>185</v>
      </c>
      <c r="K10" s="105" t="s">
        <v>185</v>
      </c>
      <c r="L10" s="105" t="s">
        <v>445</v>
      </c>
      <c r="M10" s="100" t="s">
        <v>183</v>
      </c>
      <c r="N10" s="101" t="s">
        <v>183</v>
      </c>
      <c r="O10" s="82" t="s">
        <v>184</v>
      </c>
      <c r="P10" s="100" t="s">
        <v>183</v>
      </c>
      <c r="Q10" s="100" t="s">
        <v>183</v>
      </c>
      <c r="R10" s="84" t="s">
        <v>184</v>
      </c>
      <c r="S10" s="58" t="s">
        <v>458</v>
      </c>
      <c r="T10" s="81" t="s">
        <v>183</v>
      </c>
      <c r="U10" s="81" t="s">
        <v>183</v>
      </c>
      <c r="V10" s="101" t="s">
        <v>183</v>
      </c>
      <c r="W10" s="100" t="s">
        <v>183</v>
      </c>
      <c r="X10" s="84" t="s">
        <v>183</v>
      </c>
      <c r="Y10" s="64" t="s">
        <v>446</v>
      </c>
      <c r="Z10" s="67" t="s">
        <v>185</v>
      </c>
    </row>
    <row r="11" spans="1:26" ht="18.75" x14ac:dyDescent="0.2">
      <c r="A11" s="28">
        <v>5</v>
      </c>
      <c r="B11" s="306" t="s">
        <v>241</v>
      </c>
      <c r="C11" s="55" t="s">
        <v>238</v>
      </c>
      <c r="D11" s="81" t="s">
        <v>183</v>
      </c>
      <c r="E11" s="82" t="s">
        <v>183</v>
      </c>
      <c r="F11" s="83">
        <v>1995</v>
      </c>
      <c r="G11" s="83">
        <v>1997</v>
      </c>
      <c r="H11" s="84" t="s">
        <v>183</v>
      </c>
      <c r="I11" s="84" t="s">
        <v>183</v>
      </c>
      <c r="J11" s="84" t="s">
        <v>183</v>
      </c>
      <c r="K11" s="84" t="s">
        <v>183</v>
      </c>
      <c r="L11" s="84" t="s">
        <v>183</v>
      </c>
      <c r="M11" s="84" t="s">
        <v>183</v>
      </c>
      <c r="N11" s="84" t="s">
        <v>183</v>
      </c>
      <c r="O11" s="78" t="s">
        <v>184</v>
      </c>
      <c r="P11" s="84" t="s">
        <v>183</v>
      </c>
      <c r="Q11" s="84" t="s">
        <v>183</v>
      </c>
      <c r="R11" s="84" t="s">
        <v>184</v>
      </c>
      <c r="S11" s="84" t="s">
        <v>183</v>
      </c>
      <c r="T11" s="81" t="s">
        <v>183</v>
      </c>
      <c r="U11" s="81" t="s">
        <v>183</v>
      </c>
      <c r="V11" s="101" t="s">
        <v>183</v>
      </c>
      <c r="W11" s="100" t="s">
        <v>183</v>
      </c>
      <c r="X11" s="84" t="s">
        <v>183</v>
      </c>
      <c r="Y11" s="63"/>
      <c r="Z11" s="66" t="s">
        <v>183</v>
      </c>
    </row>
    <row r="12" spans="1:26" ht="76.5" x14ac:dyDescent="0.2">
      <c r="A12" s="28">
        <v>6</v>
      </c>
      <c r="B12" s="56" t="s">
        <v>273</v>
      </c>
      <c r="C12" s="55" t="s">
        <v>269</v>
      </c>
      <c r="D12" s="85" t="s">
        <v>185</v>
      </c>
      <c r="E12" s="82" t="s">
        <v>183</v>
      </c>
      <c r="F12" s="83">
        <v>2003</v>
      </c>
      <c r="G12" s="83">
        <v>2017</v>
      </c>
      <c r="H12" s="84" t="s">
        <v>183</v>
      </c>
      <c r="I12" s="90" t="s">
        <v>185</v>
      </c>
      <c r="J12" s="96" t="s">
        <v>185</v>
      </c>
      <c r="K12" s="85" t="s">
        <v>185</v>
      </c>
      <c r="L12" s="82" t="s">
        <v>183</v>
      </c>
      <c r="M12" s="82" t="s">
        <v>183</v>
      </c>
      <c r="N12" s="82" t="s">
        <v>183</v>
      </c>
      <c r="O12" s="82" t="s">
        <v>184</v>
      </c>
      <c r="P12" s="109" t="s">
        <v>461</v>
      </c>
      <c r="Q12" s="108" t="s">
        <v>183</v>
      </c>
      <c r="R12" s="84" t="s">
        <v>184</v>
      </c>
      <c r="S12" s="60" t="s">
        <v>185</v>
      </c>
      <c r="T12" s="81" t="s">
        <v>183</v>
      </c>
      <c r="U12" s="81" t="s">
        <v>183</v>
      </c>
      <c r="V12" s="105" t="s">
        <v>185</v>
      </c>
      <c r="W12" s="100" t="s">
        <v>184</v>
      </c>
      <c r="X12" s="84" t="s">
        <v>183</v>
      </c>
      <c r="Y12" s="64" t="s">
        <v>440</v>
      </c>
      <c r="Z12" s="67" t="s">
        <v>185</v>
      </c>
    </row>
    <row r="13" spans="1:26" ht="18.75" x14ac:dyDescent="0.2">
      <c r="A13" s="28">
        <v>7</v>
      </c>
      <c r="B13" s="56" t="s">
        <v>191</v>
      </c>
      <c r="C13" s="56" t="s">
        <v>266</v>
      </c>
      <c r="D13" s="81" t="s">
        <v>183</v>
      </c>
      <c r="E13" s="82" t="s">
        <v>183</v>
      </c>
      <c r="F13" s="83">
        <v>2013</v>
      </c>
      <c r="G13" s="83">
        <v>2013</v>
      </c>
      <c r="H13" s="89" t="s">
        <v>183</v>
      </c>
      <c r="I13" s="84" t="s">
        <v>183</v>
      </c>
      <c r="J13" s="97" t="s">
        <v>183</v>
      </c>
      <c r="K13" s="110" t="s">
        <v>183</v>
      </c>
      <c r="L13" s="100" t="s">
        <v>183</v>
      </c>
      <c r="M13" s="100" t="s">
        <v>183</v>
      </c>
      <c r="N13" s="101" t="s">
        <v>183</v>
      </c>
      <c r="O13" s="101" t="s">
        <v>184</v>
      </c>
      <c r="P13" s="100" t="s">
        <v>183</v>
      </c>
      <c r="Q13" s="100" t="s">
        <v>183</v>
      </c>
      <c r="R13" s="84" t="s">
        <v>184</v>
      </c>
      <c r="S13" s="61" t="s">
        <v>183</v>
      </c>
      <c r="T13" s="81" t="s">
        <v>183</v>
      </c>
      <c r="U13" s="81" t="s">
        <v>183</v>
      </c>
      <c r="V13" s="101" t="s">
        <v>183</v>
      </c>
      <c r="W13" s="100" t="s">
        <v>183</v>
      </c>
      <c r="X13" s="84" t="s">
        <v>183</v>
      </c>
      <c r="Y13" s="65"/>
      <c r="Z13" s="66" t="s">
        <v>183</v>
      </c>
    </row>
    <row r="14" spans="1:26" ht="76.5" x14ac:dyDescent="0.2">
      <c r="A14" s="28">
        <v>8</v>
      </c>
      <c r="B14" s="56" t="s">
        <v>192</v>
      </c>
      <c r="C14" s="55" t="s">
        <v>276</v>
      </c>
      <c r="D14" s="81" t="s">
        <v>183</v>
      </c>
      <c r="E14" s="82" t="s">
        <v>183</v>
      </c>
      <c r="F14" s="83">
        <v>2018</v>
      </c>
      <c r="G14" s="83">
        <v>2018</v>
      </c>
      <c r="H14" s="84" t="s">
        <v>183</v>
      </c>
      <c r="I14" s="84" t="s">
        <v>183</v>
      </c>
      <c r="J14" s="88" t="s">
        <v>183</v>
      </c>
      <c r="K14" s="81" t="s">
        <v>183</v>
      </c>
      <c r="L14" s="82" t="s">
        <v>183</v>
      </c>
      <c r="M14" s="82" t="s">
        <v>183</v>
      </c>
      <c r="N14" s="82" t="s">
        <v>183</v>
      </c>
      <c r="O14" s="82" t="s">
        <v>184</v>
      </c>
      <c r="P14" s="82" t="s">
        <v>183</v>
      </c>
      <c r="Q14" s="108" t="s">
        <v>183</v>
      </c>
      <c r="R14" s="84" t="s">
        <v>184</v>
      </c>
      <c r="S14" s="59" t="s">
        <v>185</v>
      </c>
      <c r="T14" s="81" t="s">
        <v>183</v>
      </c>
      <c r="U14" s="81" t="s">
        <v>183</v>
      </c>
      <c r="V14" s="101" t="s">
        <v>183</v>
      </c>
      <c r="W14" s="100" t="s">
        <v>183</v>
      </c>
      <c r="X14" s="84" t="s">
        <v>183</v>
      </c>
      <c r="Y14" s="64" t="s">
        <v>443</v>
      </c>
      <c r="Z14" s="67" t="s">
        <v>185</v>
      </c>
    </row>
    <row r="15" spans="1:26" ht="54" x14ac:dyDescent="0.2">
      <c r="A15" s="28">
        <v>9</v>
      </c>
      <c r="B15" s="56" t="s">
        <v>193</v>
      </c>
      <c r="C15" s="55" t="s">
        <v>291</v>
      </c>
      <c r="D15" s="85" t="s">
        <v>185</v>
      </c>
      <c r="E15" s="82" t="s">
        <v>183</v>
      </c>
      <c r="F15" s="83">
        <v>2017</v>
      </c>
      <c r="G15" s="83" t="s">
        <v>432</v>
      </c>
      <c r="H15" s="89" t="s">
        <v>183</v>
      </c>
      <c r="I15" s="84" t="s">
        <v>183</v>
      </c>
      <c r="J15" s="95" t="s">
        <v>185</v>
      </c>
      <c r="K15" s="85" t="s">
        <v>185</v>
      </c>
      <c r="L15" s="82" t="s">
        <v>183</v>
      </c>
      <c r="M15" s="100" t="s">
        <v>183</v>
      </c>
      <c r="N15" s="101" t="s">
        <v>183</v>
      </c>
      <c r="O15" s="101" t="s">
        <v>184</v>
      </c>
      <c r="P15" s="100" t="s">
        <v>183</v>
      </c>
      <c r="Q15" s="100" t="s">
        <v>183</v>
      </c>
      <c r="R15" s="84" t="s">
        <v>184</v>
      </c>
      <c r="S15" s="58" t="s">
        <v>458</v>
      </c>
      <c r="T15" s="81" t="s">
        <v>183</v>
      </c>
      <c r="U15" s="81" t="s">
        <v>183</v>
      </c>
      <c r="V15" s="101" t="s">
        <v>183</v>
      </c>
      <c r="W15" s="100" t="s">
        <v>183</v>
      </c>
      <c r="X15" s="84" t="s">
        <v>183</v>
      </c>
      <c r="Y15" s="65"/>
      <c r="Z15" s="67" t="s">
        <v>185</v>
      </c>
    </row>
    <row r="16" spans="1:26" ht="54" x14ac:dyDescent="0.2">
      <c r="A16" s="28">
        <v>10</v>
      </c>
      <c r="B16" s="56" t="s">
        <v>246</v>
      </c>
      <c r="C16" s="55" t="s">
        <v>242</v>
      </c>
      <c r="D16" s="85" t="s">
        <v>185</v>
      </c>
      <c r="E16" s="82" t="s">
        <v>183</v>
      </c>
      <c r="F16" s="83">
        <v>2017</v>
      </c>
      <c r="G16" s="83">
        <v>2015</v>
      </c>
      <c r="H16" s="84" t="s">
        <v>183</v>
      </c>
      <c r="I16" s="84" t="s">
        <v>183</v>
      </c>
      <c r="J16" s="95" t="s">
        <v>185</v>
      </c>
      <c r="K16" s="85" t="s">
        <v>185</v>
      </c>
      <c r="L16" s="105" t="s">
        <v>185</v>
      </c>
      <c r="M16" s="100" t="s">
        <v>183</v>
      </c>
      <c r="N16" s="101" t="s">
        <v>183</v>
      </c>
      <c r="O16" s="82" t="s">
        <v>184</v>
      </c>
      <c r="P16" s="100" t="s">
        <v>183</v>
      </c>
      <c r="Q16" s="100" t="s">
        <v>183</v>
      </c>
      <c r="R16" s="84" t="s">
        <v>184</v>
      </c>
      <c r="S16" s="58" t="s">
        <v>458</v>
      </c>
      <c r="T16" s="81" t="s">
        <v>183</v>
      </c>
      <c r="U16" s="81" t="s">
        <v>183</v>
      </c>
      <c r="V16" s="101" t="s">
        <v>183</v>
      </c>
      <c r="W16" s="100" t="s">
        <v>183</v>
      </c>
      <c r="X16" s="84" t="s">
        <v>183</v>
      </c>
      <c r="Y16" s="64" t="s">
        <v>447</v>
      </c>
      <c r="Z16" s="67" t="s">
        <v>185</v>
      </c>
    </row>
    <row r="17" spans="1:26" ht="18.75" x14ac:dyDescent="0.2">
      <c r="A17" s="28">
        <v>11</v>
      </c>
      <c r="B17" s="56" t="s">
        <v>194</v>
      </c>
      <c r="C17" s="55" t="s">
        <v>316</v>
      </c>
      <c r="D17" s="81" t="s">
        <v>183</v>
      </c>
      <c r="E17" s="82" t="s">
        <v>183</v>
      </c>
      <c r="F17" s="83">
        <v>1988</v>
      </c>
      <c r="G17" s="83" t="s">
        <v>433</v>
      </c>
      <c r="H17" s="89" t="s">
        <v>183</v>
      </c>
      <c r="I17" s="89" t="s">
        <v>183</v>
      </c>
      <c r="J17" s="97" t="s">
        <v>183</v>
      </c>
      <c r="K17" s="110" t="s">
        <v>183</v>
      </c>
      <c r="L17" s="100" t="s">
        <v>183</v>
      </c>
      <c r="M17" s="100" t="s">
        <v>183</v>
      </c>
      <c r="N17" s="101" t="s">
        <v>183</v>
      </c>
      <c r="O17" s="101" t="s">
        <v>184</v>
      </c>
      <c r="P17" s="100" t="s">
        <v>183</v>
      </c>
      <c r="Q17" s="100" t="s">
        <v>183</v>
      </c>
      <c r="R17" s="84" t="s">
        <v>184</v>
      </c>
      <c r="S17" s="61" t="s">
        <v>183</v>
      </c>
      <c r="T17" s="81" t="s">
        <v>183</v>
      </c>
      <c r="U17" s="81" t="s">
        <v>183</v>
      </c>
      <c r="V17" s="101" t="s">
        <v>183</v>
      </c>
      <c r="W17" s="100" t="s">
        <v>183</v>
      </c>
      <c r="X17" s="84" t="s">
        <v>183</v>
      </c>
      <c r="Y17" s="64"/>
      <c r="Z17" s="66" t="s">
        <v>183</v>
      </c>
    </row>
    <row r="18" spans="1:26" ht="63" x14ac:dyDescent="0.2">
      <c r="A18" s="28">
        <v>12</v>
      </c>
      <c r="B18" s="56" t="s">
        <v>195</v>
      </c>
      <c r="C18" s="55" t="s">
        <v>321</v>
      </c>
      <c r="D18" s="81" t="s">
        <v>183</v>
      </c>
      <c r="E18" s="82" t="s">
        <v>183</v>
      </c>
      <c r="F18" s="83">
        <v>1982</v>
      </c>
      <c r="G18" s="83">
        <v>1986</v>
      </c>
      <c r="H18" s="84" t="s">
        <v>183</v>
      </c>
      <c r="I18" s="84" t="s">
        <v>183</v>
      </c>
      <c r="J18" s="88" t="s">
        <v>183</v>
      </c>
      <c r="K18" s="81" t="s">
        <v>183</v>
      </c>
      <c r="L18" s="82" t="s">
        <v>183</v>
      </c>
      <c r="M18" s="82" t="s">
        <v>183</v>
      </c>
      <c r="N18" s="82" t="s">
        <v>183</v>
      </c>
      <c r="O18" s="82" t="s">
        <v>184</v>
      </c>
      <c r="P18" s="57" t="s">
        <v>441</v>
      </c>
      <c r="Q18" s="108" t="s">
        <v>183</v>
      </c>
      <c r="R18" s="84" t="s">
        <v>184</v>
      </c>
      <c r="S18" s="61" t="s">
        <v>183</v>
      </c>
      <c r="T18" s="81" t="s">
        <v>183</v>
      </c>
      <c r="U18" s="81" t="s">
        <v>183</v>
      </c>
      <c r="V18" s="101" t="s">
        <v>183</v>
      </c>
      <c r="W18" s="100" t="s">
        <v>183</v>
      </c>
      <c r="X18" s="84" t="s">
        <v>183</v>
      </c>
      <c r="Y18" s="63" t="s">
        <v>442</v>
      </c>
      <c r="Z18" s="66" t="s">
        <v>183</v>
      </c>
    </row>
    <row r="19" spans="1:26" ht="25.5" x14ac:dyDescent="0.2">
      <c r="A19" s="28">
        <v>13</v>
      </c>
      <c r="B19" s="56" t="s">
        <v>196</v>
      </c>
      <c r="C19" s="55" t="s">
        <v>325</v>
      </c>
      <c r="D19" s="85" t="s">
        <v>186</v>
      </c>
      <c r="E19" s="82" t="s">
        <v>183</v>
      </c>
      <c r="F19" s="83">
        <v>2018</v>
      </c>
      <c r="G19" s="91" t="s">
        <v>186</v>
      </c>
      <c r="H19" s="90" t="s">
        <v>186</v>
      </c>
      <c r="I19" s="84" t="s">
        <v>183</v>
      </c>
      <c r="J19" s="96" t="s">
        <v>186</v>
      </c>
      <c r="K19" s="111" t="s">
        <v>186</v>
      </c>
      <c r="L19" s="109" t="s">
        <v>186</v>
      </c>
      <c r="M19" s="109" t="s">
        <v>186</v>
      </c>
      <c r="N19" s="109" t="s">
        <v>186</v>
      </c>
      <c r="O19" s="109" t="s">
        <v>186</v>
      </c>
      <c r="P19" s="109" t="s">
        <v>186</v>
      </c>
      <c r="Q19" s="109" t="s">
        <v>186</v>
      </c>
      <c r="R19" s="112" t="s">
        <v>186</v>
      </c>
      <c r="S19" s="59" t="s">
        <v>186</v>
      </c>
      <c r="T19" s="106" t="s">
        <v>186</v>
      </c>
      <c r="U19" s="106" t="s">
        <v>185</v>
      </c>
      <c r="V19" s="105" t="s">
        <v>185</v>
      </c>
      <c r="W19" s="105"/>
      <c r="X19" s="90" t="s">
        <v>185</v>
      </c>
      <c r="Y19" s="63" t="s">
        <v>451</v>
      </c>
      <c r="Z19" s="67" t="s">
        <v>185</v>
      </c>
    </row>
    <row r="20" spans="1:26" s="1" customFormat="1" ht="25.5" x14ac:dyDescent="0.2">
      <c r="A20" s="28">
        <v>14</v>
      </c>
      <c r="B20" s="56" t="s">
        <v>339</v>
      </c>
      <c r="C20" s="55" t="s">
        <v>336</v>
      </c>
      <c r="D20" s="85" t="s">
        <v>186</v>
      </c>
      <c r="E20" s="82" t="s">
        <v>183</v>
      </c>
      <c r="F20" s="83">
        <v>2017</v>
      </c>
      <c r="G20" s="83" t="s">
        <v>434</v>
      </c>
      <c r="H20" s="92" t="s">
        <v>186</v>
      </c>
      <c r="I20" s="84" t="s">
        <v>183</v>
      </c>
      <c r="J20" s="95" t="s">
        <v>185</v>
      </c>
      <c r="K20" s="85" t="s">
        <v>185</v>
      </c>
      <c r="L20" s="105" t="s">
        <v>186</v>
      </c>
      <c r="M20" s="105" t="s">
        <v>186</v>
      </c>
      <c r="N20" s="101" t="s">
        <v>183</v>
      </c>
      <c r="O20" s="101" t="s">
        <v>184</v>
      </c>
      <c r="P20" s="105" t="s">
        <v>186</v>
      </c>
      <c r="Q20" s="100" t="s">
        <v>183</v>
      </c>
      <c r="R20" s="84" t="s">
        <v>184</v>
      </c>
      <c r="S20" s="59" t="s">
        <v>185</v>
      </c>
      <c r="T20" s="107" t="s">
        <v>183</v>
      </c>
      <c r="U20" s="106" t="s">
        <v>185</v>
      </c>
      <c r="V20" s="105" t="s">
        <v>185</v>
      </c>
      <c r="W20" s="100" t="s">
        <v>183</v>
      </c>
      <c r="X20" s="84" t="s">
        <v>183</v>
      </c>
      <c r="Y20" s="64" t="s">
        <v>439</v>
      </c>
      <c r="Z20" s="67" t="s">
        <v>185</v>
      </c>
    </row>
    <row r="21" spans="1:26" s="1" customFormat="1" ht="54.75" thickBot="1" x14ac:dyDescent="0.25">
      <c r="A21" s="28">
        <v>15</v>
      </c>
      <c r="B21" s="307" t="s">
        <v>197</v>
      </c>
      <c r="C21" s="71" t="s">
        <v>342</v>
      </c>
      <c r="D21" s="85" t="s">
        <v>185</v>
      </c>
      <c r="E21" s="82" t="s">
        <v>183</v>
      </c>
      <c r="F21" s="83">
        <v>2010</v>
      </c>
      <c r="G21" s="83" t="s">
        <v>432</v>
      </c>
      <c r="H21" s="89" t="s">
        <v>183</v>
      </c>
      <c r="I21" s="84" t="s">
        <v>183</v>
      </c>
      <c r="J21" s="95" t="s">
        <v>185</v>
      </c>
      <c r="K21" s="85" t="s">
        <v>185</v>
      </c>
      <c r="L21" s="100" t="s">
        <v>183</v>
      </c>
      <c r="M21" s="100" t="s">
        <v>183</v>
      </c>
      <c r="N21" s="101" t="s">
        <v>183</v>
      </c>
      <c r="O21" s="101" t="s">
        <v>184</v>
      </c>
      <c r="P21" s="108" t="s">
        <v>183</v>
      </c>
      <c r="Q21" s="108" t="s">
        <v>183</v>
      </c>
      <c r="R21" s="84" t="s">
        <v>184</v>
      </c>
      <c r="S21" s="76" t="s">
        <v>458</v>
      </c>
      <c r="T21" s="81" t="s">
        <v>183</v>
      </c>
      <c r="U21" s="81" t="s">
        <v>183</v>
      </c>
      <c r="V21" s="101" t="s">
        <v>183</v>
      </c>
      <c r="W21" s="100" t="s">
        <v>184</v>
      </c>
      <c r="X21" s="84" t="s">
        <v>183</v>
      </c>
      <c r="Y21" s="64" t="s">
        <v>453</v>
      </c>
      <c r="Z21" s="69" t="s">
        <v>185</v>
      </c>
    </row>
    <row r="22" spans="1:26" s="1" customFormat="1" ht="39" customHeight="1" thickBot="1" x14ac:dyDescent="0.25">
      <c r="A22" s="379" t="s">
        <v>448</v>
      </c>
      <c r="B22" s="380"/>
      <c r="C22" s="380"/>
      <c r="D22" s="380"/>
      <c r="E22" s="380"/>
      <c r="F22" s="380"/>
      <c r="G22" s="380"/>
      <c r="H22" s="380"/>
      <c r="I22" s="380"/>
      <c r="J22" s="380"/>
      <c r="K22" s="380"/>
      <c r="L22" s="380"/>
      <c r="M22" s="380"/>
      <c r="N22" s="380"/>
      <c r="O22" s="380"/>
      <c r="P22" s="380"/>
      <c r="Q22" s="380"/>
      <c r="R22" s="380"/>
      <c r="S22" s="383"/>
      <c r="T22" s="380"/>
      <c r="U22" s="380"/>
      <c r="V22" s="380"/>
      <c r="W22" s="380"/>
      <c r="X22" s="380"/>
      <c r="Y22" s="380"/>
      <c r="Z22" s="384"/>
    </row>
    <row r="23" spans="1:26" s="1" customFormat="1" ht="18.75" x14ac:dyDescent="0.2">
      <c r="A23" s="113">
        <v>16</v>
      </c>
      <c r="B23" s="70" t="s">
        <v>11</v>
      </c>
      <c r="C23" s="70" t="s">
        <v>200</v>
      </c>
      <c r="D23" s="114" t="s">
        <v>183</v>
      </c>
      <c r="E23" s="115" t="s">
        <v>183</v>
      </c>
      <c r="F23" s="116">
        <v>2011</v>
      </c>
      <c r="G23" s="117">
        <v>2010</v>
      </c>
      <c r="H23" s="118" t="s">
        <v>183</v>
      </c>
      <c r="I23" s="118" t="s">
        <v>183</v>
      </c>
      <c r="J23" s="119" t="s">
        <v>183</v>
      </c>
      <c r="K23" s="114" t="s">
        <v>183</v>
      </c>
      <c r="L23" s="117" t="s">
        <v>183</v>
      </c>
      <c r="M23" s="117" t="s">
        <v>183</v>
      </c>
      <c r="N23" s="120" t="s">
        <v>183</v>
      </c>
      <c r="O23" s="120" t="s">
        <v>183</v>
      </c>
      <c r="P23" s="117" t="s">
        <v>183</v>
      </c>
      <c r="Q23" s="117" t="s">
        <v>183</v>
      </c>
      <c r="R23" s="121" t="s">
        <v>184</v>
      </c>
      <c r="S23" s="99" t="s">
        <v>183</v>
      </c>
      <c r="T23" s="114" t="s">
        <v>183</v>
      </c>
      <c r="U23" s="114" t="s">
        <v>183</v>
      </c>
      <c r="V23" s="120" t="s">
        <v>183</v>
      </c>
      <c r="W23" s="117" t="s">
        <v>184</v>
      </c>
      <c r="X23" s="118" t="s">
        <v>183</v>
      </c>
      <c r="Y23" s="122"/>
      <c r="Z23" s="123" t="s">
        <v>183</v>
      </c>
    </row>
    <row r="24" spans="1:26" s="1" customFormat="1" ht="18.75" x14ac:dyDescent="0.2">
      <c r="A24" s="28">
        <v>17</v>
      </c>
      <c r="B24" s="55" t="s">
        <v>14</v>
      </c>
      <c r="C24" s="55" t="s">
        <v>202</v>
      </c>
      <c r="D24" s="81" t="s">
        <v>183</v>
      </c>
      <c r="E24" s="82" t="s">
        <v>183</v>
      </c>
      <c r="F24" s="83">
        <v>1995</v>
      </c>
      <c r="G24" s="83">
        <v>1995</v>
      </c>
      <c r="H24" s="84" t="s">
        <v>183</v>
      </c>
      <c r="I24" s="84" t="s">
        <v>183</v>
      </c>
      <c r="J24" s="88" t="s">
        <v>183</v>
      </c>
      <c r="K24" s="81" t="s">
        <v>183</v>
      </c>
      <c r="L24" s="100" t="s">
        <v>183</v>
      </c>
      <c r="M24" s="100" t="s">
        <v>183</v>
      </c>
      <c r="N24" s="101" t="s">
        <v>183</v>
      </c>
      <c r="O24" s="101" t="s">
        <v>183</v>
      </c>
      <c r="P24" s="100" t="s">
        <v>183</v>
      </c>
      <c r="Q24" s="100" t="s">
        <v>183</v>
      </c>
      <c r="R24" s="102" t="s">
        <v>184</v>
      </c>
      <c r="S24" s="97" t="s">
        <v>183</v>
      </c>
      <c r="T24" s="81" t="s">
        <v>183</v>
      </c>
      <c r="U24" s="81" t="s">
        <v>183</v>
      </c>
      <c r="V24" s="101" t="s">
        <v>183</v>
      </c>
      <c r="W24" s="100" t="s">
        <v>184</v>
      </c>
      <c r="X24" s="84" t="s">
        <v>183</v>
      </c>
      <c r="Y24" s="11"/>
      <c r="Z24" s="124" t="s">
        <v>183</v>
      </c>
    </row>
    <row r="25" spans="1:26" s="1" customFormat="1" ht="18.75" x14ac:dyDescent="0.2">
      <c r="A25" s="28">
        <v>18</v>
      </c>
      <c r="B25" s="55" t="s">
        <v>17</v>
      </c>
      <c r="C25" s="55" t="s">
        <v>213</v>
      </c>
      <c r="D25" s="81" t="s">
        <v>183</v>
      </c>
      <c r="E25" s="82" t="s">
        <v>183</v>
      </c>
      <c r="F25" s="83">
        <v>1982</v>
      </c>
      <c r="G25" s="83">
        <v>1998</v>
      </c>
      <c r="H25" s="84" t="s">
        <v>183</v>
      </c>
      <c r="I25" s="84" t="s">
        <v>183</v>
      </c>
      <c r="J25" s="97" t="s">
        <v>183</v>
      </c>
      <c r="K25" s="81" t="s">
        <v>183</v>
      </c>
      <c r="L25" s="100" t="s">
        <v>183</v>
      </c>
      <c r="M25" s="100" t="s">
        <v>183</v>
      </c>
      <c r="N25" s="101" t="s">
        <v>183</v>
      </c>
      <c r="O25" s="101" t="s">
        <v>183</v>
      </c>
      <c r="P25" s="100" t="s">
        <v>183</v>
      </c>
      <c r="Q25" s="100" t="s">
        <v>183</v>
      </c>
      <c r="R25" s="102" t="s">
        <v>184</v>
      </c>
      <c r="S25" s="97" t="s">
        <v>183</v>
      </c>
      <c r="T25" s="81" t="s">
        <v>183</v>
      </c>
      <c r="U25" s="81" t="s">
        <v>183</v>
      </c>
      <c r="V25" s="101" t="s">
        <v>183</v>
      </c>
      <c r="W25" s="100" t="s">
        <v>183</v>
      </c>
      <c r="X25" s="84" t="s">
        <v>183</v>
      </c>
      <c r="Y25" s="11"/>
      <c r="Z25" s="124" t="s">
        <v>183</v>
      </c>
    </row>
    <row r="26" spans="1:26" s="1" customFormat="1" ht="18.75" x14ac:dyDescent="0.2">
      <c r="A26" s="28">
        <v>19</v>
      </c>
      <c r="B26" s="55" t="s">
        <v>21</v>
      </c>
      <c r="C26" s="55" t="s">
        <v>214</v>
      </c>
      <c r="D26" s="81" t="s">
        <v>183</v>
      </c>
      <c r="E26" s="82" t="s">
        <v>183</v>
      </c>
      <c r="F26" s="83">
        <v>1983</v>
      </c>
      <c r="G26" s="83">
        <v>1985</v>
      </c>
      <c r="H26" s="84" t="s">
        <v>183</v>
      </c>
      <c r="I26" s="84" t="s">
        <v>183</v>
      </c>
      <c r="J26" s="97" t="s">
        <v>183</v>
      </c>
      <c r="K26" s="81" t="s">
        <v>183</v>
      </c>
      <c r="L26" s="100" t="s">
        <v>183</v>
      </c>
      <c r="M26" s="100" t="s">
        <v>183</v>
      </c>
      <c r="N26" s="101" t="s">
        <v>183</v>
      </c>
      <c r="O26" s="101" t="s">
        <v>183</v>
      </c>
      <c r="P26" s="100" t="s">
        <v>183</v>
      </c>
      <c r="Q26" s="100" t="s">
        <v>183</v>
      </c>
      <c r="R26" s="102" t="s">
        <v>184</v>
      </c>
      <c r="S26" s="97" t="s">
        <v>183</v>
      </c>
      <c r="T26" s="81" t="s">
        <v>183</v>
      </c>
      <c r="U26" s="81" t="s">
        <v>183</v>
      </c>
      <c r="V26" s="101" t="s">
        <v>183</v>
      </c>
      <c r="W26" s="100" t="s">
        <v>183</v>
      </c>
      <c r="X26" s="84" t="s">
        <v>183</v>
      </c>
      <c r="Y26" s="11"/>
      <c r="Z26" s="124" t="s">
        <v>183</v>
      </c>
    </row>
    <row r="27" spans="1:26" s="1" customFormat="1" ht="18.75" x14ac:dyDescent="0.2">
      <c r="A27" s="28">
        <v>20</v>
      </c>
      <c r="B27" s="55" t="s">
        <v>218</v>
      </c>
      <c r="C27" s="55" t="s">
        <v>216</v>
      </c>
      <c r="D27" s="81" t="s">
        <v>183</v>
      </c>
      <c r="E27" s="82" t="s">
        <v>183</v>
      </c>
      <c r="F27" s="83">
        <v>1987</v>
      </c>
      <c r="G27" s="83">
        <v>2006</v>
      </c>
      <c r="H27" s="84" t="s">
        <v>183</v>
      </c>
      <c r="I27" s="84" t="s">
        <v>183</v>
      </c>
      <c r="J27" s="97" t="s">
        <v>183</v>
      </c>
      <c r="K27" s="81" t="s">
        <v>183</v>
      </c>
      <c r="L27" s="100" t="s">
        <v>183</v>
      </c>
      <c r="M27" s="100" t="s">
        <v>183</v>
      </c>
      <c r="N27" s="101" t="s">
        <v>183</v>
      </c>
      <c r="O27" s="101" t="s">
        <v>183</v>
      </c>
      <c r="P27" s="100" t="s">
        <v>183</v>
      </c>
      <c r="Q27" s="100" t="s">
        <v>183</v>
      </c>
      <c r="R27" s="102" t="s">
        <v>184</v>
      </c>
      <c r="S27" s="97" t="s">
        <v>183</v>
      </c>
      <c r="T27" s="81" t="s">
        <v>183</v>
      </c>
      <c r="U27" s="81" t="s">
        <v>183</v>
      </c>
      <c r="V27" s="101" t="s">
        <v>183</v>
      </c>
      <c r="W27" s="100" t="s">
        <v>183</v>
      </c>
      <c r="X27" s="84" t="s">
        <v>183</v>
      </c>
      <c r="Y27" s="11"/>
      <c r="Z27" s="124" t="s">
        <v>183</v>
      </c>
    </row>
    <row r="28" spans="1:26" s="1" customFormat="1" ht="18.75" x14ac:dyDescent="0.2">
      <c r="A28" s="28">
        <v>21</v>
      </c>
      <c r="B28" s="55" t="s">
        <v>26</v>
      </c>
      <c r="C28" s="55" t="s">
        <v>224</v>
      </c>
      <c r="D28" s="81" t="s">
        <v>183</v>
      </c>
      <c r="E28" s="82" t="s">
        <v>183</v>
      </c>
      <c r="F28" s="83">
        <v>2011</v>
      </c>
      <c r="G28" s="83">
        <v>2011</v>
      </c>
      <c r="H28" s="84" t="s">
        <v>183</v>
      </c>
      <c r="I28" s="84" t="s">
        <v>183</v>
      </c>
      <c r="J28" s="97" t="s">
        <v>183</v>
      </c>
      <c r="K28" s="81" t="s">
        <v>183</v>
      </c>
      <c r="L28" s="100" t="s">
        <v>183</v>
      </c>
      <c r="M28" s="100" t="s">
        <v>183</v>
      </c>
      <c r="N28" s="101" t="s">
        <v>183</v>
      </c>
      <c r="O28" s="101" t="s">
        <v>183</v>
      </c>
      <c r="P28" s="100" t="s">
        <v>183</v>
      </c>
      <c r="Q28" s="100" t="s">
        <v>183</v>
      </c>
      <c r="R28" s="102" t="s">
        <v>184</v>
      </c>
      <c r="S28" s="97" t="s">
        <v>183</v>
      </c>
      <c r="T28" s="81" t="s">
        <v>183</v>
      </c>
      <c r="U28" s="81" t="s">
        <v>183</v>
      </c>
      <c r="V28" s="101" t="s">
        <v>183</v>
      </c>
      <c r="W28" s="100" t="s">
        <v>184</v>
      </c>
      <c r="X28" s="84" t="s">
        <v>183</v>
      </c>
      <c r="Y28" s="11"/>
      <c r="Z28" s="124" t="s">
        <v>183</v>
      </c>
    </row>
    <row r="29" spans="1:26" s="1" customFormat="1" ht="18.75" x14ac:dyDescent="0.2">
      <c r="A29" s="28">
        <v>22</v>
      </c>
      <c r="B29" s="55" t="s">
        <v>227</v>
      </c>
      <c r="C29" s="55" t="s">
        <v>226</v>
      </c>
      <c r="D29" s="81" t="s">
        <v>183</v>
      </c>
      <c r="E29" s="82" t="s">
        <v>183</v>
      </c>
      <c r="F29" s="83" t="s">
        <v>430</v>
      </c>
      <c r="G29" s="83">
        <v>1995</v>
      </c>
      <c r="H29" s="84" t="s">
        <v>183</v>
      </c>
      <c r="I29" s="84" t="s">
        <v>183</v>
      </c>
      <c r="J29" s="97" t="s">
        <v>183</v>
      </c>
      <c r="K29" s="81" t="s">
        <v>183</v>
      </c>
      <c r="L29" s="100" t="s">
        <v>183</v>
      </c>
      <c r="M29" s="100" t="s">
        <v>183</v>
      </c>
      <c r="N29" s="101" t="s">
        <v>183</v>
      </c>
      <c r="O29" s="101" t="s">
        <v>183</v>
      </c>
      <c r="P29" s="100" t="s">
        <v>183</v>
      </c>
      <c r="Q29" s="100" t="s">
        <v>183</v>
      </c>
      <c r="R29" s="102" t="s">
        <v>184</v>
      </c>
      <c r="S29" s="97" t="s">
        <v>183</v>
      </c>
      <c r="T29" s="81" t="s">
        <v>183</v>
      </c>
      <c r="U29" s="81" t="s">
        <v>183</v>
      </c>
      <c r="V29" s="101" t="s">
        <v>183</v>
      </c>
      <c r="W29" s="100" t="s">
        <v>184</v>
      </c>
      <c r="X29" s="84" t="s">
        <v>183</v>
      </c>
      <c r="Y29" s="11"/>
      <c r="Z29" s="124" t="s">
        <v>183</v>
      </c>
    </row>
    <row r="30" spans="1:26" s="1" customFormat="1" ht="18.75" x14ac:dyDescent="0.2">
      <c r="A30" s="28">
        <v>23</v>
      </c>
      <c r="B30" s="55" t="s">
        <v>230</v>
      </c>
      <c r="C30" s="55" t="s">
        <v>228</v>
      </c>
      <c r="D30" s="81" t="s">
        <v>183</v>
      </c>
      <c r="E30" s="82" t="s">
        <v>183</v>
      </c>
      <c r="F30" s="83">
        <v>1989</v>
      </c>
      <c r="G30" s="83">
        <v>1998</v>
      </c>
      <c r="H30" s="84" t="s">
        <v>183</v>
      </c>
      <c r="I30" s="84" t="s">
        <v>183</v>
      </c>
      <c r="J30" s="97" t="s">
        <v>183</v>
      </c>
      <c r="K30" s="81" t="s">
        <v>183</v>
      </c>
      <c r="L30" s="100" t="s">
        <v>183</v>
      </c>
      <c r="M30" s="100" t="s">
        <v>183</v>
      </c>
      <c r="N30" s="101" t="s">
        <v>183</v>
      </c>
      <c r="O30" s="101" t="s">
        <v>183</v>
      </c>
      <c r="P30" s="100" t="s">
        <v>183</v>
      </c>
      <c r="Q30" s="100" t="s">
        <v>183</v>
      </c>
      <c r="R30" s="102" t="s">
        <v>184</v>
      </c>
      <c r="S30" s="97" t="s">
        <v>183</v>
      </c>
      <c r="T30" s="81" t="s">
        <v>183</v>
      </c>
      <c r="U30" s="81" t="s">
        <v>183</v>
      </c>
      <c r="V30" s="101" t="s">
        <v>183</v>
      </c>
      <c r="W30" s="100" t="s">
        <v>183</v>
      </c>
      <c r="X30" s="84" t="s">
        <v>183</v>
      </c>
      <c r="Y30" s="11"/>
      <c r="Z30" s="124" t="s">
        <v>183</v>
      </c>
    </row>
    <row r="31" spans="1:26" s="1" customFormat="1" ht="18.75" x14ac:dyDescent="0.2">
      <c r="A31" s="28">
        <v>24</v>
      </c>
      <c r="B31" s="55" t="s">
        <v>34</v>
      </c>
      <c r="C31" s="55" t="s">
        <v>231</v>
      </c>
      <c r="D31" s="81" t="s">
        <v>183</v>
      </c>
      <c r="E31" s="82" t="s">
        <v>183</v>
      </c>
      <c r="F31" s="83">
        <v>1949</v>
      </c>
      <c r="G31" s="83">
        <v>1945</v>
      </c>
      <c r="H31" s="84" t="s">
        <v>183</v>
      </c>
      <c r="I31" s="84" t="s">
        <v>183</v>
      </c>
      <c r="J31" s="97" t="s">
        <v>183</v>
      </c>
      <c r="K31" s="81" t="s">
        <v>183</v>
      </c>
      <c r="L31" s="100" t="s">
        <v>183</v>
      </c>
      <c r="M31" s="100" t="s">
        <v>183</v>
      </c>
      <c r="N31" s="101" t="s">
        <v>183</v>
      </c>
      <c r="O31" s="101" t="s">
        <v>183</v>
      </c>
      <c r="P31" s="100" t="s">
        <v>183</v>
      </c>
      <c r="Q31" s="100" t="s">
        <v>183</v>
      </c>
      <c r="R31" s="102" t="s">
        <v>184</v>
      </c>
      <c r="S31" s="97" t="s">
        <v>183</v>
      </c>
      <c r="T31" s="81" t="s">
        <v>183</v>
      </c>
      <c r="U31" s="81" t="s">
        <v>183</v>
      </c>
      <c r="V31" s="101" t="s">
        <v>183</v>
      </c>
      <c r="W31" s="100"/>
      <c r="X31" s="84" t="s">
        <v>183</v>
      </c>
      <c r="Y31" s="11"/>
      <c r="Z31" s="124" t="s">
        <v>183</v>
      </c>
    </row>
    <row r="32" spans="1:26" s="1" customFormat="1" ht="18.75" x14ac:dyDescent="0.2">
      <c r="A32" s="28">
        <v>25</v>
      </c>
      <c r="B32" s="55" t="s">
        <v>235</v>
      </c>
      <c r="C32" s="55" t="s">
        <v>233</v>
      </c>
      <c r="D32" s="81" t="s">
        <v>183</v>
      </c>
      <c r="E32" s="82" t="s">
        <v>183</v>
      </c>
      <c r="F32" s="83">
        <v>1982</v>
      </c>
      <c r="G32" s="83">
        <v>1984</v>
      </c>
      <c r="H32" s="84" t="s">
        <v>183</v>
      </c>
      <c r="I32" s="84" t="s">
        <v>183</v>
      </c>
      <c r="J32" s="97" t="s">
        <v>183</v>
      </c>
      <c r="K32" s="81" t="s">
        <v>183</v>
      </c>
      <c r="L32" s="100" t="s">
        <v>183</v>
      </c>
      <c r="M32" s="100" t="s">
        <v>183</v>
      </c>
      <c r="N32" s="101" t="s">
        <v>183</v>
      </c>
      <c r="O32" s="101" t="s">
        <v>183</v>
      </c>
      <c r="P32" s="100" t="s">
        <v>183</v>
      </c>
      <c r="Q32" s="100" t="s">
        <v>183</v>
      </c>
      <c r="R32" s="102" t="s">
        <v>184</v>
      </c>
      <c r="S32" s="97" t="s">
        <v>183</v>
      </c>
      <c r="T32" s="81" t="s">
        <v>183</v>
      </c>
      <c r="U32" s="81" t="s">
        <v>183</v>
      </c>
      <c r="V32" s="101" t="s">
        <v>183</v>
      </c>
      <c r="W32" s="100" t="s">
        <v>183</v>
      </c>
      <c r="X32" s="84" t="s">
        <v>183</v>
      </c>
      <c r="Y32" s="11"/>
      <c r="Z32" s="124" t="s">
        <v>183</v>
      </c>
    </row>
    <row r="33" spans="1:26" s="1" customFormat="1" ht="18.75" x14ac:dyDescent="0.2">
      <c r="A33" s="28">
        <v>26</v>
      </c>
      <c r="B33" s="55" t="s">
        <v>39</v>
      </c>
      <c r="C33" s="55" t="s">
        <v>236</v>
      </c>
      <c r="D33" s="81" t="s">
        <v>183</v>
      </c>
      <c r="E33" s="82" t="s">
        <v>183</v>
      </c>
      <c r="F33" s="83">
        <v>1983</v>
      </c>
      <c r="G33" s="83">
        <v>1961</v>
      </c>
      <c r="H33" s="84" t="s">
        <v>183</v>
      </c>
      <c r="I33" s="84" t="s">
        <v>183</v>
      </c>
      <c r="J33" s="97" t="s">
        <v>183</v>
      </c>
      <c r="K33" s="81" t="s">
        <v>183</v>
      </c>
      <c r="L33" s="100" t="s">
        <v>183</v>
      </c>
      <c r="M33" s="100" t="s">
        <v>183</v>
      </c>
      <c r="N33" s="101" t="s">
        <v>183</v>
      </c>
      <c r="O33" s="101" t="s">
        <v>183</v>
      </c>
      <c r="P33" s="100" t="s">
        <v>183</v>
      </c>
      <c r="Q33" s="100" t="s">
        <v>183</v>
      </c>
      <c r="R33" s="102" t="s">
        <v>184</v>
      </c>
      <c r="S33" s="97" t="s">
        <v>183</v>
      </c>
      <c r="T33" s="81" t="s">
        <v>183</v>
      </c>
      <c r="U33" s="81" t="s">
        <v>183</v>
      </c>
      <c r="V33" s="101" t="s">
        <v>183</v>
      </c>
      <c r="W33" s="100" t="s">
        <v>183</v>
      </c>
      <c r="X33" s="84" t="s">
        <v>183</v>
      </c>
      <c r="Y33" s="11"/>
      <c r="Z33" s="124" t="s">
        <v>183</v>
      </c>
    </row>
    <row r="34" spans="1:26" s="1" customFormat="1" ht="18.75" x14ac:dyDescent="0.2">
      <c r="A34" s="28">
        <v>27</v>
      </c>
      <c r="B34" s="55" t="s">
        <v>44</v>
      </c>
      <c r="C34" s="55" t="s">
        <v>247</v>
      </c>
      <c r="D34" s="81" t="s">
        <v>183</v>
      </c>
      <c r="E34" s="82" t="s">
        <v>183</v>
      </c>
      <c r="F34" s="83">
        <v>1994</v>
      </c>
      <c r="G34" s="83">
        <v>1995</v>
      </c>
      <c r="H34" s="84" t="s">
        <v>183</v>
      </c>
      <c r="I34" s="84" t="s">
        <v>183</v>
      </c>
      <c r="J34" s="97" t="s">
        <v>183</v>
      </c>
      <c r="K34" s="81" t="s">
        <v>183</v>
      </c>
      <c r="L34" s="100" t="s">
        <v>183</v>
      </c>
      <c r="M34" s="100" t="s">
        <v>183</v>
      </c>
      <c r="N34" s="101" t="s">
        <v>183</v>
      </c>
      <c r="O34" s="101" t="s">
        <v>183</v>
      </c>
      <c r="P34" s="100" t="s">
        <v>183</v>
      </c>
      <c r="Q34" s="100" t="s">
        <v>183</v>
      </c>
      <c r="R34" s="102" t="s">
        <v>183</v>
      </c>
      <c r="S34" s="97" t="s">
        <v>183</v>
      </c>
      <c r="T34" s="81" t="s">
        <v>183</v>
      </c>
      <c r="U34" s="81" t="s">
        <v>183</v>
      </c>
      <c r="V34" s="101" t="s">
        <v>183</v>
      </c>
      <c r="W34" s="100" t="s">
        <v>183</v>
      </c>
      <c r="X34" s="84" t="s">
        <v>183</v>
      </c>
      <c r="Y34" s="11"/>
      <c r="Z34" s="124" t="s">
        <v>183</v>
      </c>
    </row>
    <row r="35" spans="1:26" s="1" customFormat="1" ht="18.75" x14ac:dyDescent="0.2">
      <c r="A35" s="28">
        <v>28</v>
      </c>
      <c r="B35" s="55" t="s">
        <v>47</v>
      </c>
      <c r="C35" s="55" t="s">
        <v>248</v>
      </c>
      <c r="D35" s="81" t="s">
        <v>183</v>
      </c>
      <c r="E35" s="82" t="s">
        <v>183</v>
      </c>
      <c r="F35" s="83">
        <v>1982</v>
      </c>
      <c r="G35" s="83">
        <v>1982</v>
      </c>
      <c r="H35" s="84" t="s">
        <v>183</v>
      </c>
      <c r="I35" s="84" t="s">
        <v>183</v>
      </c>
      <c r="J35" s="97" t="s">
        <v>183</v>
      </c>
      <c r="K35" s="81" t="s">
        <v>183</v>
      </c>
      <c r="L35" s="100" t="s">
        <v>183</v>
      </c>
      <c r="M35" s="100" t="s">
        <v>183</v>
      </c>
      <c r="N35" s="101" t="s">
        <v>183</v>
      </c>
      <c r="O35" s="101" t="s">
        <v>183</v>
      </c>
      <c r="P35" s="100" t="s">
        <v>183</v>
      </c>
      <c r="Q35" s="100" t="s">
        <v>183</v>
      </c>
      <c r="R35" s="102" t="s">
        <v>184</v>
      </c>
      <c r="S35" s="97" t="s">
        <v>183</v>
      </c>
      <c r="T35" s="81" t="s">
        <v>183</v>
      </c>
      <c r="U35" s="81" t="s">
        <v>183</v>
      </c>
      <c r="V35" s="101" t="s">
        <v>183</v>
      </c>
      <c r="W35" s="100" t="s">
        <v>183</v>
      </c>
      <c r="X35" s="84" t="s">
        <v>183</v>
      </c>
      <c r="Y35" s="11"/>
      <c r="Z35" s="124" t="s">
        <v>183</v>
      </c>
    </row>
    <row r="36" spans="1:26" s="1" customFormat="1" ht="18.75" x14ac:dyDescent="0.2">
      <c r="A36" s="28">
        <v>29</v>
      </c>
      <c r="B36" s="55" t="s">
        <v>50</v>
      </c>
      <c r="C36" s="55" t="s">
        <v>250</v>
      </c>
      <c r="D36" s="81" t="s">
        <v>183</v>
      </c>
      <c r="E36" s="82" t="s">
        <v>183</v>
      </c>
      <c r="F36" s="83">
        <v>1996</v>
      </c>
      <c r="G36" s="83">
        <v>1986</v>
      </c>
      <c r="H36" s="84" t="s">
        <v>183</v>
      </c>
      <c r="I36" s="84" t="s">
        <v>183</v>
      </c>
      <c r="J36" s="97" t="s">
        <v>183</v>
      </c>
      <c r="K36" s="81" t="s">
        <v>183</v>
      </c>
      <c r="L36" s="100" t="s">
        <v>183</v>
      </c>
      <c r="M36" s="100" t="s">
        <v>183</v>
      </c>
      <c r="N36" s="101" t="s">
        <v>183</v>
      </c>
      <c r="O36" s="101" t="s">
        <v>183</v>
      </c>
      <c r="P36" s="100" t="s">
        <v>183</v>
      </c>
      <c r="Q36" s="100" t="s">
        <v>183</v>
      </c>
      <c r="R36" s="102" t="s">
        <v>183</v>
      </c>
      <c r="S36" s="97" t="s">
        <v>183</v>
      </c>
      <c r="T36" s="81" t="s">
        <v>183</v>
      </c>
      <c r="U36" s="81" t="s">
        <v>183</v>
      </c>
      <c r="V36" s="101" t="s">
        <v>183</v>
      </c>
      <c r="W36" s="100" t="s">
        <v>183</v>
      </c>
      <c r="X36" s="84" t="s">
        <v>183</v>
      </c>
      <c r="Y36" s="11"/>
      <c r="Z36" s="124" t="s">
        <v>183</v>
      </c>
    </row>
    <row r="37" spans="1:26" s="1" customFormat="1" ht="18.75" x14ac:dyDescent="0.2">
      <c r="A37" s="28">
        <v>30</v>
      </c>
      <c r="B37" s="55" t="s">
        <v>54</v>
      </c>
      <c r="C37" s="55" t="s">
        <v>251</v>
      </c>
      <c r="D37" s="81" t="s">
        <v>183</v>
      </c>
      <c r="E37" s="82" t="s">
        <v>183</v>
      </c>
      <c r="F37" s="83">
        <v>1996</v>
      </c>
      <c r="G37" s="83">
        <v>1996</v>
      </c>
      <c r="H37" s="84" t="s">
        <v>183</v>
      </c>
      <c r="I37" s="84" t="s">
        <v>183</v>
      </c>
      <c r="J37" s="97" t="s">
        <v>183</v>
      </c>
      <c r="K37" s="81" t="s">
        <v>183</v>
      </c>
      <c r="L37" s="100" t="s">
        <v>183</v>
      </c>
      <c r="M37" s="100" t="s">
        <v>183</v>
      </c>
      <c r="N37" s="101" t="s">
        <v>183</v>
      </c>
      <c r="O37" s="101" t="s">
        <v>183</v>
      </c>
      <c r="P37" s="100" t="s">
        <v>183</v>
      </c>
      <c r="Q37" s="100" t="s">
        <v>183</v>
      </c>
      <c r="R37" s="102" t="s">
        <v>184</v>
      </c>
      <c r="S37" s="97" t="s">
        <v>183</v>
      </c>
      <c r="T37" s="81" t="s">
        <v>183</v>
      </c>
      <c r="U37" s="81" t="s">
        <v>183</v>
      </c>
      <c r="V37" s="101" t="s">
        <v>183</v>
      </c>
      <c r="W37" s="100" t="s">
        <v>183</v>
      </c>
      <c r="X37" s="84" t="s">
        <v>183</v>
      </c>
      <c r="Y37" s="11"/>
      <c r="Z37" s="124" t="s">
        <v>183</v>
      </c>
    </row>
    <row r="38" spans="1:26" s="1" customFormat="1" ht="18.75" x14ac:dyDescent="0.2">
      <c r="A38" s="28">
        <v>31</v>
      </c>
      <c r="B38" s="55" t="s">
        <v>57</v>
      </c>
      <c r="C38" s="55" t="s">
        <v>252</v>
      </c>
      <c r="D38" s="81" t="s">
        <v>183</v>
      </c>
      <c r="E38" s="82" t="s">
        <v>183</v>
      </c>
      <c r="F38" s="83">
        <v>2015</v>
      </c>
      <c r="G38" s="83">
        <v>2013</v>
      </c>
      <c r="H38" s="84" t="s">
        <v>183</v>
      </c>
      <c r="I38" s="84" t="s">
        <v>183</v>
      </c>
      <c r="J38" s="97" t="s">
        <v>183</v>
      </c>
      <c r="K38" s="81" t="s">
        <v>183</v>
      </c>
      <c r="L38" s="100" t="s">
        <v>183</v>
      </c>
      <c r="M38" s="100" t="s">
        <v>183</v>
      </c>
      <c r="N38" s="101" t="s">
        <v>183</v>
      </c>
      <c r="O38" s="101" t="s">
        <v>183</v>
      </c>
      <c r="P38" s="100" t="s">
        <v>183</v>
      </c>
      <c r="Q38" s="100" t="s">
        <v>183</v>
      </c>
      <c r="R38" s="102" t="s">
        <v>184</v>
      </c>
      <c r="S38" s="97" t="s">
        <v>183</v>
      </c>
      <c r="T38" s="81" t="s">
        <v>183</v>
      </c>
      <c r="U38" s="81" t="s">
        <v>183</v>
      </c>
      <c r="V38" s="101" t="s">
        <v>183</v>
      </c>
      <c r="W38" s="100" t="s">
        <v>183</v>
      </c>
      <c r="X38" s="84" t="s">
        <v>183</v>
      </c>
      <c r="Y38" s="11"/>
      <c r="Z38" s="124" t="s">
        <v>183</v>
      </c>
    </row>
    <row r="39" spans="1:26" s="1" customFormat="1" ht="18.75" x14ac:dyDescent="0.2">
      <c r="A39" s="28">
        <v>32</v>
      </c>
      <c r="B39" s="55" t="s">
        <v>255</v>
      </c>
      <c r="C39" s="55" t="s">
        <v>254</v>
      </c>
      <c r="D39" s="81" t="s">
        <v>183</v>
      </c>
      <c r="E39" s="82" t="s">
        <v>183</v>
      </c>
      <c r="F39" s="83" t="s">
        <v>190</v>
      </c>
      <c r="G39" s="83">
        <v>1991</v>
      </c>
      <c r="H39" s="84" t="s">
        <v>183</v>
      </c>
      <c r="I39" s="84" t="s">
        <v>183</v>
      </c>
      <c r="J39" s="97" t="s">
        <v>183</v>
      </c>
      <c r="K39" s="81" t="s">
        <v>183</v>
      </c>
      <c r="L39" s="100" t="s">
        <v>183</v>
      </c>
      <c r="M39" s="100" t="s">
        <v>183</v>
      </c>
      <c r="N39" s="101" t="s">
        <v>183</v>
      </c>
      <c r="O39" s="101" t="s">
        <v>183</v>
      </c>
      <c r="P39" s="100" t="s">
        <v>183</v>
      </c>
      <c r="Q39" s="100" t="s">
        <v>183</v>
      </c>
      <c r="R39" s="102" t="s">
        <v>184</v>
      </c>
      <c r="S39" s="97" t="s">
        <v>183</v>
      </c>
      <c r="T39" s="81" t="s">
        <v>183</v>
      </c>
      <c r="U39" s="81" t="s">
        <v>183</v>
      </c>
      <c r="V39" s="101" t="s">
        <v>183</v>
      </c>
      <c r="W39" s="100" t="s">
        <v>183</v>
      </c>
      <c r="X39" s="84" t="s">
        <v>183</v>
      </c>
      <c r="Y39" s="11"/>
      <c r="Z39" s="124" t="s">
        <v>183</v>
      </c>
    </row>
    <row r="40" spans="1:26" s="1" customFormat="1" ht="18.75" x14ac:dyDescent="0.2">
      <c r="A40" s="28">
        <v>33</v>
      </c>
      <c r="B40" s="55" t="s">
        <v>62</v>
      </c>
      <c r="C40" s="55" t="s">
        <v>256</v>
      </c>
      <c r="D40" s="81" t="s">
        <v>183</v>
      </c>
      <c r="E40" s="82" t="s">
        <v>183</v>
      </c>
      <c r="F40" s="83">
        <v>2006</v>
      </c>
      <c r="G40" s="83">
        <v>2004</v>
      </c>
      <c r="H40" s="84" t="s">
        <v>183</v>
      </c>
      <c r="I40" s="84" t="s">
        <v>183</v>
      </c>
      <c r="J40" s="97" t="s">
        <v>183</v>
      </c>
      <c r="K40" s="81" t="s">
        <v>183</v>
      </c>
      <c r="L40" s="100" t="s">
        <v>183</v>
      </c>
      <c r="M40" s="100" t="s">
        <v>183</v>
      </c>
      <c r="N40" s="101" t="s">
        <v>183</v>
      </c>
      <c r="O40" s="101" t="s">
        <v>183</v>
      </c>
      <c r="P40" s="100" t="s">
        <v>183</v>
      </c>
      <c r="Q40" s="100" t="s">
        <v>183</v>
      </c>
      <c r="R40" s="102" t="s">
        <v>184</v>
      </c>
      <c r="S40" s="97" t="s">
        <v>183</v>
      </c>
      <c r="T40" s="81" t="s">
        <v>183</v>
      </c>
      <c r="U40" s="81" t="s">
        <v>183</v>
      </c>
      <c r="V40" s="101" t="s">
        <v>183</v>
      </c>
      <c r="W40" s="100" t="s">
        <v>183</v>
      </c>
      <c r="X40" s="84" t="s">
        <v>183</v>
      </c>
      <c r="Y40" s="11"/>
      <c r="Z40" s="124" t="s">
        <v>183</v>
      </c>
    </row>
    <row r="41" spans="1:26" s="1" customFormat="1" ht="18.75" x14ac:dyDescent="0.2">
      <c r="A41" s="28">
        <v>34</v>
      </c>
      <c r="B41" s="55" t="s">
        <v>65</v>
      </c>
      <c r="C41" s="55" t="s">
        <v>258</v>
      </c>
      <c r="D41" s="81" t="s">
        <v>183</v>
      </c>
      <c r="E41" s="82" t="s">
        <v>183</v>
      </c>
      <c r="F41" s="83">
        <v>1983</v>
      </c>
      <c r="G41" s="83">
        <v>1998</v>
      </c>
      <c r="H41" s="84" t="s">
        <v>183</v>
      </c>
      <c r="I41" s="84" t="s">
        <v>183</v>
      </c>
      <c r="J41" s="97" t="s">
        <v>183</v>
      </c>
      <c r="K41" s="81" t="s">
        <v>183</v>
      </c>
      <c r="L41" s="100" t="s">
        <v>183</v>
      </c>
      <c r="M41" s="100" t="s">
        <v>183</v>
      </c>
      <c r="N41" s="101" t="s">
        <v>183</v>
      </c>
      <c r="O41" s="101" t="s">
        <v>183</v>
      </c>
      <c r="P41" s="100" t="s">
        <v>183</v>
      </c>
      <c r="Q41" s="100" t="s">
        <v>183</v>
      </c>
      <c r="R41" s="102" t="s">
        <v>184</v>
      </c>
      <c r="S41" s="97" t="s">
        <v>183</v>
      </c>
      <c r="T41" s="81" t="s">
        <v>183</v>
      </c>
      <c r="U41" s="81" t="s">
        <v>183</v>
      </c>
      <c r="V41" s="101" t="s">
        <v>183</v>
      </c>
      <c r="W41" s="100" t="s">
        <v>183</v>
      </c>
      <c r="X41" s="84" t="s">
        <v>183</v>
      </c>
      <c r="Y41" s="11"/>
      <c r="Z41" s="124" t="s">
        <v>183</v>
      </c>
    </row>
    <row r="42" spans="1:26" s="1" customFormat="1" ht="18.75" x14ac:dyDescent="0.2">
      <c r="A42" s="28">
        <v>35</v>
      </c>
      <c r="B42" s="55" t="s">
        <v>69</v>
      </c>
      <c r="C42" s="55" t="s">
        <v>259</v>
      </c>
      <c r="D42" s="81" t="s">
        <v>183</v>
      </c>
      <c r="E42" s="82" t="s">
        <v>183</v>
      </c>
      <c r="F42" s="83">
        <v>1993</v>
      </c>
      <c r="G42" s="83">
        <v>2002</v>
      </c>
      <c r="H42" s="84" t="s">
        <v>183</v>
      </c>
      <c r="I42" s="84" t="s">
        <v>183</v>
      </c>
      <c r="J42" s="97" t="s">
        <v>183</v>
      </c>
      <c r="K42" s="81" t="s">
        <v>183</v>
      </c>
      <c r="L42" s="100" t="s">
        <v>183</v>
      </c>
      <c r="M42" s="100" t="s">
        <v>183</v>
      </c>
      <c r="N42" s="101" t="s">
        <v>183</v>
      </c>
      <c r="O42" s="101" t="s">
        <v>183</v>
      </c>
      <c r="P42" s="100" t="s">
        <v>183</v>
      </c>
      <c r="Q42" s="100" t="s">
        <v>183</v>
      </c>
      <c r="R42" s="102" t="s">
        <v>184</v>
      </c>
      <c r="S42" s="97" t="s">
        <v>183</v>
      </c>
      <c r="T42" s="81" t="s">
        <v>183</v>
      </c>
      <c r="U42" s="81" t="s">
        <v>183</v>
      </c>
      <c r="V42" s="101" t="s">
        <v>183</v>
      </c>
      <c r="W42" s="100" t="s">
        <v>183</v>
      </c>
      <c r="X42" s="84" t="s">
        <v>183</v>
      </c>
      <c r="Y42" s="11"/>
      <c r="Z42" s="124" t="s">
        <v>183</v>
      </c>
    </row>
    <row r="43" spans="1:26" s="1" customFormat="1" ht="18.75" x14ac:dyDescent="0.2">
      <c r="A43" s="28">
        <v>36</v>
      </c>
      <c r="B43" s="55" t="s">
        <v>72</v>
      </c>
      <c r="C43" s="55" t="s">
        <v>261</v>
      </c>
      <c r="D43" s="81" t="s">
        <v>183</v>
      </c>
      <c r="E43" s="82" t="s">
        <v>183</v>
      </c>
      <c r="F43" s="83">
        <v>1990</v>
      </c>
      <c r="G43" s="83">
        <v>1946</v>
      </c>
      <c r="H43" s="84" t="s">
        <v>183</v>
      </c>
      <c r="I43" s="84" t="s">
        <v>183</v>
      </c>
      <c r="J43" s="97" t="s">
        <v>183</v>
      </c>
      <c r="K43" s="81" t="s">
        <v>183</v>
      </c>
      <c r="L43" s="100" t="s">
        <v>183</v>
      </c>
      <c r="M43" s="100" t="s">
        <v>183</v>
      </c>
      <c r="N43" s="101" t="s">
        <v>183</v>
      </c>
      <c r="O43" s="101" t="s">
        <v>183</v>
      </c>
      <c r="P43" s="100" t="s">
        <v>183</v>
      </c>
      <c r="Q43" s="100" t="s">
        <v>183</v>
      </c>
      <c r="R43" s="102" t="s">
        <v>184</v>
      </c>
      <c r="S43" s="97" t="s">
        <v>183</v>
      </c>
      <c r="T43" s="81" t="s">
        <v>183</v>
      </c>
      <c r="U43" s="81" t="s">
        <v>183</v>
      </c>
      <c r="V43" s="101" t="s">
        <v>183</v>
      </c>
      <c r="W43" s="100" t="s">
        <v>183</v>
      </c>
      <c r="X43" s="84" t="s">
        <v>183</v>
      </c>
      <c r="Y43" s="11"/>
      <c r="Z43" s="124" t="s">
        <v>183</v>
      </c>
    </row>
    <row r="44" spans="1:26" s="1" customFormat="1" ht="18.75" x14ac:dyDescent="0.2">
      <c r="A44" s="28">
        <v>37</v>
      </c>
      <c r="B44" s="55" t="s">
        <v>75</v>
      </c>
      <c r="C44" s="55" t="s">
        <v>263</v>
      </c>
      <c r="D44" s="81" t="s">
        <v>183</v>
      </c>
      <c r="E44" s="82" t="s">
        <v>183</v>
      </c>
      <c r="F44" s="83">
        <v>1993</v>
      </c>
      <c r="G44" s="83">
        <v>1993</v>
      </c>
      <c r="H44" s="84" t="s">
        <v>183</v>
      </c>
      <c r="I44" s="84" t="s">
        <v>183</v>
      </c>
      <c r="J44" s="97" t="s">
        <v>183</v>
      </c>
      <c r="K44" s="81" t="s">
        <v>183</v>
      </c>
      <c r="L44" s="100" t="s">
        <v>183</v>
      </c>
      <c r="M44" s="100" t="s">
        <v>183</v>
      </c>
      <c r="N44" s="101" t="s">
        <v>183</v>
      </c>
      <c r="O44" s="101" t="s">
        <v>183</v>
      </c>
      <c r="P44" s="100" t="s">
        <v>183</v>
      </c>
      <c r="Q44" s="100" t="s">
        <v>183</v>
      </c>
      <c r="R44" s="102" t="s">
        <v>184</v>
      </c>
      <c r="S44" s="97" t="s">
        <v>183</v>
      </c>
      <c r="T44" s="81" t="s">
        <v>183</v>
      </c>
      <c r="U44" s="81" t="s">
        <v>183</v>
      </c>
      <c r="V44" s="101" t="s">
        <v>183</v>
      </c>
      <c r="W44" s="100" t="s">
        <v>183</v>
      </c>
      <c r="X44" s="84" t="s">
        <v>183</v>
      </c>
      <c r="Y44" s="11"/>
      <c r="Z44" s="124" t="s">
        <v>183</v>
      </c>
    </row>
    <row r="45" spans="1:26" s="1" customFormat="1" ht="18.75" x14ac:dyDescent="0.2">
      <c r="A45" s="28">
        <v>38</v>
      </c>
      <c r="B45" s="55" t="s">
        <v>78</v>
      </c>
      <c r="C45" s="55" t="s">
        <v>267</v>
      </c>
      <c r="D45" s="81" t="s">
        <v>183</v>
      </c>
      <c r="E45" s="82" t="s">
        <v>183</v>
      </c>
      <c r="F45" s="83">
        <v>1998</v>
      </c>
      <c r="G45" s="83">
        <v>2009</v>
      </c>
      <c r="H45" s="84" t="s">
        <v>183</v>
      </c>
      <c r="I45" s="84" t="s">
        <v>183</v>
      </c>
      <c r="J45" s="97" t="s">
        <v>183</v>
      </c>
      <c r="K45" s="81" t="s">
        <v>183</v>
      </c>
      <c r="L45" s="100" t="s">
        <v>183</v>
      </c>
      <c r="M45" s="100" t="s">
        <v>183</v>
      </c>
      <c r="N45" s="101" t="s">
        <v>183</v>
      </c>
      <c r="O45" s="101" t="s">
        <v>183</v>
      </c>
      <c r="P45" s="100" t="s">
        <v>183</v>
      </c>
      <c r="Q45" s="100" t="s">
        <v>183</v>
      </c>
      <c r="R45" s="102" t="s">
        <v>184</v>
      </c>
      <c r="S45" s="97" t="s">
        <v>183</v>
      </c>
      <c r="T45" s="81" t="s">
        <v>183</v>
      </c>
      <c r="U45" s="81" t="s">
        <v>183</v>
      </c>
      <c r="V45" s="101" t="s">
        <v>183</v>
      </c>
      <c r="W45" s="100" t="s">
        <v>183</v>
      </c>
      <c r="X45" s="84" t="s">
        <v>183</v>
      </c>
      <c r="Y45" s="11"/>
      <c r="Z45" s="124" t="s">
        <v>183</v>
      </c>
    </row>
    <row r="46" spans="1:26" s="1" customFormat="1" ht="18.75" x14ac:dyDescent="0.2">
      <c r="A46" s="28">
        <v>39</v>
      </c>
      <c r="B46" s="55" t="s">
        <v>81</v>
      </c>
      <c r="C46" s="55" t="s">
        <v>274</v>
      </c>
      <c r="D46" s="81" t="s">
        <v>183</v>
      </c>
      <c r="E46" s="82" t="s">
        <v>183</v>
      </c>
      <c r="F46" s="83" t="s">
        <v>431</v>
      </c>
      <c r="G46" s="83">
        <v>1980</v>
      </c>
      <c r="H46" s="84" t="s">
        <v>183</v>
      </c>
      <c r="I46" s="84" t="s">
        <v>183</v>
      </c>
      <c r="J46" s="97" t="s">
        <v>183</v>
      </c>
      <c r="K46" s="81" t="s">
        <v>183</v>
      </c>
      <c r="L46" s="100" t="s">
        <v>183</v>
      </c>
      <c r="M46" s="100" t="s">
        <v>183</v>
      </c>
      <c r="N46" s="101" t="s">
        <v>183</v>
      </c>
      <c r="O46" s="101" t="s">
        <v>183</v>
      </c>
      <c r="P46" s="100" t="s">
        <v>183</v>
      </c>
      <c r="Q46" s="100" t="s">
        <v>183</v>
      </c>
      <c r="R46" s="102" t="s">
        <v>184</v>
      </c>
      <c r="S46" s="97" t="s">
        <v>183</v>
      </c>
      <c r="T46" s="81" t="s">
        <v>183</v>
      </c>
      <c r="U46" s="81" t="s">
        <v>183</v>
      </c>
      <c r="V46" s="101" t="s">
        <v>183</v>
      </c>
      <c r="W46" s="100" t="s">
        <v>183</v>
      </c>
      <c r="X46" s="84" t="s">
        <v>183</v>
      </c>
      <c r="Y46" s="11"/>
      <c r="Z46" s="124" t="s">
        <v>183</v>
      </c>
    </row>
    <row r="47" spans="1:26" s="1" customFormat="1" ht="18.75" x14ac:dyDescent="0.2">
      <c r="A47" s="28">
        <v>40</v>
      </c>
      <c r="B47" s="55" t="s">
        <v>84</v>
      </c>
      <c r="C47" s="55" t="s">
        <v>279</v>
      </c>
      <c r="D47" s="81" t="s">
        <v>183</v>
      </c>
      <c r="E47" s="82" t="s">
        <v>183</v>
      </c>
      <c r="F47" s="83">
        <v>1995</v>
      </c>
      <c r="G47" s="83">
        <v>1995</v>
      </c>
      <c r="H47" s="84" t="s">
        <v>183</v>
      </c>
      <c r="I47" s="84" t="s">
        <v>183</v>
      </c>
      <c r="J47" s="97" t="s">
        <v>183</v>
      </c>
      <c r="K47" s="81" t="s">
        <v>183</v>
      </c>
      <c r="L47" s="100" t="s">
        <v>183</v>
      </c>
      <c r="M47" s="100" t="s">
        <v>183</v>
      </c>
      <c r="N47" s="101" t="s">
        <v>183</v>
      </c>
      <c r="O47" s="101" t="s">
        <v>183</v>
      </c>
      <c r="P47" s="100" t="s">
        <v>183</v>
      </c>
      <c r="Q47" s="100" t="s">
        <v>183</v>
      </c>
      <c r="R47" s="102" t="s">
        <v>184</v>
      </c>
      <c r="S47" s="97" t="s">
        <v>183</v>
      </c>
      <c r="T47" s="81" t="s">
        <v>183</v>
      </c>
      <c r="U47" s="81" t="s">
        <v>183</v>
      </c>
      <c r="V47" s="101" t="s">
        <v>183</v>
      </c>
      <c r="W47" s="100" t="s">
        <v>183</v>
      </c>
      <c r="X47" s="84" t="s">
        <v>183</v>
      </c>
      <c r="Y47" s="11"/>
      <c r="Z47" s="124" t="s">
        <v>183</v>
      </c>
    </row>
    <row r="48" spans="1:26" s="1" customFormat="1" ht="18.75" x14ac:dyDescent="0.2">
      <c r="A48" s="28">
        <v>41</v>
      </c>
      <c r="B48" s="55" t="s">
        <v>282</v>
      </c>
      <c r="C48" s="55" t="s">
        <v>281</v>
      </c>
      <c r="D48" s="81" t="s">
        <v>183</v>
      </c>
      <c r="E48" s="82" t="s">
        <v>183</v>
      </c>
      <c r="F48" s="83">
        <v>1996</v>
      </c>
      <c r="G48" s="83">
        <v>1995</v>
      </c>
      <c r="H48" s="84" t="s">
        <v>183</v>
      </c>
      <c r="I48" s="84" t="s">
        <v>183</v>
      </c>
      <c r="J48" s="97" t="s">
        <v>183</v>
      </c>
      <c r="K48" s="81" t="s">
        <v>183</v>
      </c>
      <c r="L48" s="100" t="s">
        <v>183</v>
      </c>
      <c r="M48" s="100" t="s">
        <v>183</v>
      </c>
      <c r="N48" s="101" t="s">
        <v>183</v>
      </c>
      <c r="O48" s="101" t="s">
        <v>183</v>
      </c>
      <c r="P48" s="100" t="s">
        <v>183</v>
      </c>
      <c r="Q48" s="100" t="s">
        <v>183</v>
      </c>
      <c r="R48" s="102" t="s">
        <v>184</v>
      </c>
      <c r="S48" s="97" t="s">
        <v>183</v>
      </c>
      <c r="T48" s="81" t="s">
        <v>183</v>
      </c>
      <c r="U48" s="81" t="s">
        <v>183</v>
      </c>
      <c r="V48" s="101" t="s">
        <v>183</v>
      </c>
      <c r="W48" s="100" t="s">
        <v>183</v>
      </c>
      <c r="X48" s="84" t="s">
        <v>183</v>
      </c>
      <c r="Y48" s="11"/>
      <c r="Z48" s="124" t="s">
        <v>183</v>
      </c>
    </row>
    <row r="49" spans="1:26" s="1" customFormat="1" ht="18.75" x14ac:dyDescent="0.2">
      <c r="A49" s="28">
        <v>42</v>
      </c>
      <c r="B49" s="55" t="s">
        <v>157</v>
      </c>
      <c r="C49" s="55" t="s">
        <v>283</v>
      </c>
      <c r="D49" s="81" t="s">
        <v>183</v>
      </c>
      <c r="E49" s="82" t="s">
        <v>183</v>
      </c>
      <c r="F49" s="83">
        <v>1987</v>
      </c>
      <c r="G49" s="83">
        <v>1987</v>
      </c>
      <c r="H49" s="84" t="s">
        <v>183</v>
      </c>
      <c r="I49" s="84" t="s">
        <v>183</v>
      </c>
      <c r="J49" s="97" t="s">
        <v>183</v>
      </c>
      <c r="K49" s="81" t="s">
        <v>183</v>
      </c>
      <c r="L49" s="100" t="s">
        <v>183</v>
      </c>
      <c r="M49" s="100" t="s">
        <v>183</v>
      </c>
      <c r="N49" s="101" t="s">
        <v>183</v>
      </c>
      <c r="O49" s="101" t="s">
        <v>183</v>
      </c>
      <c r="P49" s="100" t="s">
        <v>183</v>
      </c>
      <c r="Q49" s="100" t="s">
        <v>183</v>
      </c>
      <c r="R49" s="102" t="s">
        <v>184</v>
      </c>
      <c r="S49" s="97" t="s">
        <v>183</v>
      </c>
      <c r="T49" s="81" t="s">
        <v>183</v>
      </c>
      <c r="U49" s="81" t="s">
        <v>183</v>
      </c>
      <c r="V49" s="101" t="s">
        <v>183</v>
      </c>
      <c r="W49" s="100" t="s">
        <v>183</v>
      </c>
      <c r="X49" s="84" t="s">
        <v>183</v>
      </c>
      <c r="Y49" s="11"/>
      <c r="Z49" s="124" t="s">
        <v>183</v>
      </c>
    </row>
    <row r="50" spans="1:26" s="1" customFormat="1" ht="18.75" x14ac:dyDescent="0.2">
      <c r="A50" s="28">
        <v>43</v>
      </c>
      <c r="B50" s="55" t="s">
        <v>287</v>
      </c>
      <c r="C50" s="55" t="s">
        <v>285</v>
      </c>
      <c r="D50" s="81" t="s">
        <v>183</v>
      </c>
      <c r="E50" s="82" t="s">
        <v>183</v>
      </c>
      <c r="F50" s="83">
        <v>1984</v>
      </c>
      <c r="G50" s="83">
        <v>1984</v>
      </c>
      <c r="H50" s="84" t="s">
        <v>183</v>
      </c>
      <c r="I50" s="84" t="s">
        <v>183</v>
      </c>
      <c r="J50" s="97" t="s">
        <v>183</v>
      </c>
      <c r="K50" s="81" t="s">
        <v>183</v>
      </c>
      <c r="L50" s="100" t="s">
        <v>183</v>
      </c>
      <c r="M50" s="100" t="s">
        <v>183</v>
      </c>
      <c r="N50" s="101" t="s">
        <v>183</v>
      </c>
      <c r="O50" s="101" t="s">
        <v>183</v>
      </c>
      <c r="P50" s="100" t="s">
        <v>183</v>
      </c>
      <c r="Q50" s="100" t="s">
        <v>183</v>
      </c>
      <c r="R50" s="102" t="s">
        <v>184</v>
      </c>
      <c r="S50" s="97" t="s">
        <v>183</v>
      </c>
      <c r="T50" s="81" t="s">
        <v>183</v>
      </c>
      <c r="U50" s="81" t="s">
        <v>183</v>
      </c>
      <c r="V50" s="101" t="s">
        <v>183</v>
      </c>
      <c r="W50" s="100" t="s">
        <v>183</v>
      </c>
      <c r="X50" s="84" t="s">
        <v>183</v>
      </c>
      <c r="Y50" s="11"/>
      <c r="Z50" s="124" t="s">
        <v>183</v>
      </c>
    </row>
    <row r="51" spans="1:26" s="1" customFormat="1" ht="18.75" x14ac:dyDescent="0.2">
      <c r="A51" s="28">
        <v>44</v>
      </c>
      <c r="B51" s="55" t="s">
        <v>290</v>
      </c>
      <c r="C51" s="55" t="s">
        <v>288</v>
      </c>
      <c r="D51" s="81" t="s">
        <v>183</v>
      </c>
      <c r="E51" s="82" t="s">
        <v>183</v>
      </c>
      <c r="F51" s="83">
        <v>1982</v>
      </c>
      <c r="G51" s="83">
        <v>1970</v>
      </c>
      <c r="H51" s="84" t="s">
        <v>183</v>
      </c>
      <c r="I51" s="84" t="s">
        <v>183</v>
      </c>
      <c r="J51" s="97" t="s">
        <v>183</v>
      </c>
      <c r="K51" s="81" t="s">
        <v>183</v>
      </c>
      <c r="L51" s="100" t="s">
        <v>183</v>
      </c>
      <c r="M51" s="100" t="s">
        <v>183</v>
      </c>
      <c r="N51" s="101" t="s">
        <v>183</v>
      </c>
      <c r="O51" s="101" t="s">
        <v>183</v>
      </c>
      <c r="P51" s="100" t="s">
        <v>183</v>
      </c>
      <c r="Q51" s="100" t="s">
        <v>183</v>
      </c>
      <c r="R51" s="102" t="s">
        <v>184</v>
      </c>
      <c r="S51" s="97" t="s">
        <v>183</v>
      </c>
      <c r="T51" s="81" t="s">
        <v>183</v>
      </c>
      <c r="U51" s="81" t="s">
        <v>183</v>
      </c>
      <c r="V51" s="101" t="s">
        <v>183</v>
      </c>
      <c r="W51" s="100" t="s">
        <v>183</v>
      </c>
      <c r="X51" s="84" t="s">
        <v>183</v>
      </c>
      <c r="Y51" s="11"/>
      <c r="Z51" s="124" t="s">
        <v>183</v>
      </c>
    </row>
    <row r="52" spans="1:26" s="1" customFormat="1" ht="18.75" x14ac:dyDescent="0.2">
      <c r="A52" s="28">
        <v>45</v>
      </c>
      <c r="B52" s="55" t="s">
        <v>95</v>
      </c>
      <c r="C52" s="55" t="s">
        <v>295</v>
      </c>
      <c r="D52" s="81" t="s">
        <v>183</v>
      </c>
      <c r="E52" s="82" t="s">
        <v>183</v>
      </c>
      <c r="F52" s="83">
        <v>1990</v>
      </c>
      <c r="G52" s="83">
        <v>1960</v>
      </c>
      <c r="H52" s="84" t="s">
        <v>183</v>
      </c>
      <c r="I52" s="84" t="s">
        <v>183</v>
      </c>
      <c r="J52" s="97" t="s">
        <v>183</v>
      </c>
      <c r="K52" s="81" t="s">
        <v>183</v>
      </c>
      <c r="L52" s="100" t="s">
        <v>183</v>
      </c>
      <c r="M52" s="100" t="s">
        <v>183</v>
      </c>
      <c r="N52" s="101" t="s">
        <v>183</v>
      </c>
      <c r="O52" s="101" t="s">
        <v>183</v>
      </c>
      <c r="P52" s="100" t="s">
        <v>183</v>
      </c>
      <c r="Q52" s="100" t="s">
        <v>183</v>
      </c>
      <c r="R52" s="102" t="s">
        <v>184</v>
      </c>
      <c r="S52" s="97" t="s">
        <v>183</v>
      </c>
      <c r="T52" s="81" t="s">
        <v>183</v>
      </c>
      <c r="U52" s="81" t="s">
        <v>183</v>
      </c>
      <c r="V52" s="101" t="s">
        <v>183</v>
      </c>
      <c r="W52" s="100" t="s">
        <v>183</v>
      </c>
      <c r="X52" s="84" t="s">
        <v>183</v>
      </c>
      <c r="Y52" s="11"/>
      <c r="Z52" s="124" t="s">
        <v>183</v>
      </c>
    </row>
    <row r="53" spans="1:26" s="1" customFormat="1" ht="18.75" x14ac:dyDescent="0.2">
      <c r="A53" s="28">
        <v>46</v>
      </c>
      <c r="B53" s="55" t="s">
        <v>158</v>
      </c>
      <c r="C53" s="55" t="s">
        <v>297</v>
      </c>
      <c r="D53" s="81" t="s">
        <v>183</v>
      </c>
      <c r="E53" s="82" t="s">
        <v>183</v>
      </c>
      <c r="F53" s="83">
        <v>1982</v>
      </c>
      <c r="G53" s="83">
        <v>1932</v>
      </c>
      <c r="H53" s="84" t="s">
        <v>183</v>
      </c>
      <c r="I53" s="84" t="s">
        <v>183</v>
      </c>
      <c r="J53" s="97" t="s">
        <v>183</v>
      </c>
      <c r="K53" s="81" t="s">
        <v>183</v>
      </c>
      <c r="L53" s="100" t="s">
        <v>183</v>
      </c>
      <c r="M53" s="100" t="s">
        <v>183</v>
      </c>
      <c r="N53" s="101" t="s">
        <v>183</v>
      </c>
      <c r="O53" s="101" t="s">
        <v>183</v>
      </c>
      <c r="P53" s="100" t="s">
        <v>183</v>
      </c>
      <c r="Q53" s="100" t="s">
        <v>183</v>
      </c>
      <c r="R53" s="102" t="s">
        <v>184</v>
      </c>
      <c r="S53" s="97" t="s">
        <v>183</v>
      </c>
      <c r="T53" s="81" t="s">
        <v>183</v>
      </c>
      <c r="U53" s="81" t="s">
        <v>183</v>
      </c>
      <c r="V53" s="101" t="s">
        <v>183</v>
      </c>
      <c r="W53" s="100" t="s">
        <v>183</v>
      </c>
      <c r="X53" s="84" t="s">
        <v>183</v>
      </c>
      <c r="Y53" s="11"/>
      <c r="Z53" s="124" t="s">
        <v>183</v>
      </c>
    </row>
    <row r="54" spans="1:26" s="1" customFormat="1" ht="18.75" x14ac:dyDescent="0.2">
      <c r="A54" s="28">
        <v>47</v>
      </c>
      <c r="B54" s="55" t="s">
        <v>159</v>
      </c>
      <c r="C54" s="55" t="s">
        <v>298</v>
      </c>
      <c r="D54" s="81" t="s">
        <v>183</v>
      </c>
      <c r="E54" s="82" t="s">
        <v>183</v>
      </c>
      <c r="F54" s="83">
        <v>1991</v>
      </c>
      <c r="G54" s="83">
        <v>1942</v>
      </c>
      <c r="H54" s="84" t="s">
        <v>183</v>
      </c>
      <c r="I54" s="84" t="s">
        <v>183</v>
      </c>
      <c r="J54" s="97" t="s">
        <v>183</v>
      </c>
      <c r="K54" s="81" t="s">
        <v>183</v>
      </c>
      <c r="L54" s="100" t="s">
        <v>183</v>
      </c>
      <c r="M54" s="100" t="s">
        <v>183</v>
      </c>
      <c r="N54" s="101" t="s">
        <v>183</v>
      </c>
      <c r="O54" s="101" t="s">
        <v>183</v>
      </c>
      <c r="P54" s="100" t="s">
        <v>183</v>
      </c>
      <c r="Q54" s="100" t="s">
        <v>183</v>
      </c>
      <c r="R54" s="102" t="s">
        <v>184</v>
      </c>
      <c r="S54" s="97" t="s">
        <v>183</v>
      </c>
      <c r="T54" s="81" t="s">
        <v>183</v>
      </c>
      <c r="U54" s="81" t="s">
        <v>183</v>
      </c>
      <c r="V54" s="101" t="s">
        <v>183</v>
      </c>
      <c r="W54" s="100" t="s">
        <v>183</v>
      </c>
      <c r="X54" s="84" t="s">
        <v>183</v>
      </c>
      <c r="Y54" s="11"/>
      <c r="Z54" s="124" t="s">
        <v>183</v>
      </c>
    </row>
    <row r="55" spans="1:26" s="1" customFormat="1" ht="18.75" x14ac:dyDescent="0.2">
      <c r="A55" s="28">
        <v>48</v>
      </c>
      <c r="B55" s="55" t="s">
        <v>301</v>
      </c>
      <c r="C55" s="55" t="s">
        <v>299</v>
      </c>
      <c r="D55" s="81" t="s">
        <v>183</v>
      </c>
      <c r="E55" s="82" t="s">
        <v>183</v>
      </c>
      <c r="F55" s="83">
        <v>1983</v>
      </c>
      <c r="G55" s="83">
        <v>1967</v>
      </c>
      <c r="H55" s="84" t="s">
        <v>183</v>
      </c>
      <c r="I55" s="84" t="s">
        <v>183</v>
      </c>
      <c r="J55" s="97" t="s">
        <v>183</v>
      </c>
      <c r="K55" s="81" t="s">
        <v>183</v>
      </c>
      <c r="L55" s="100" t="s">
        <v>183</v>
      </c>
      <c r="M55" s="100" t="s">
        <v>183</v>
      </c>
      <c r="N55" s="101" t="s">
        <v>183</v>
      </c>
      <c r="O55" s="101" t="s">
        <v>183</v>
      </c>
      <c r="P55" s="100" t="s">
        <v>183</v>
      </c>
      <c r="Q55" s="100" t="s">
        <v>183</v>
      </c>
      <c r="R55" s="102" t="s">
        <v>184</v>
      </c>
      <c r="S55" s="97" t="s">
        <v>183</v>
      </c>
      <c r="T55" s="81" t="s">
        <v>183</v>
      </c>
      <c r="U55" s="81" t="s">
        <v>183</v>
      </c>
      <c r="V55" s="101" t="s">
        <v>183</v>
      </c>
      <c r="W55" s="100" t="s">
        <v>183</v>
      </c>
      <c r="X55" s="84" t="s">
        <v>183</v>
      </c>
      <c r="Y55" s="11"/>
      <c r="Z55" s="124" t="s">
        <v>183</v>
      </c>
    </row>
    <row r="56" spans="1:26" s="1" customFormat="1" ht="18.75" x14ac:dyDescent="0.2">
      <c r="A56" s="28">
        <v>49</v>
      </c>
      <c r="B56" s="55" t="s">
        <v>105</v>
      </c>
      <c r="C56" s="55" t="s">
        <v>302</v>
      </c>
      <c r="D56" s="81" t="s">
        <v>183</v>
      </c>
      <c r="E56" s="82" t="s">
        <v>183</v>
      </c>
      <c r="F56" s="83">
        <v>2013</v>
      </c>
      <c r="G56" s="83">
        <v>2010</v>
      </c>
      <c r="H56" s="84" t="s">
        <v>183</v>
      </c>
      <c r="I56" s="84" t="s">
        <v>183</v>
      </c>
      <c r="J56" s="97" t="s">
        <v>183</v>
      </c>
      <c r="K56" s="81" t="s">
        <v>183</v>
      </c>
      <c r="L56" s="100" t="s">
        <v>183</v>
      </c>
      <c r="M56" s="100" t="s">
        <v>183</v>
      </c>
      <c r="N56" s="101" t="s">
        <v>183</v>
      </c>
      <c r="O56" s="101" t="s">
        <v>183</v>
      </c>
      <c r="P56" s="100" t="s">
        <v>183</v>
      </c>
      <c r="Q56" s="100" t="s">
        <v>183</v>
      </c>
      <c r="R56" s="102" t="s">
        <v>184</v>
      </c>
      <c r="S56" s="97" t="s">
        <v>183</v>
      </c>
      <c r="T56" s="81" t="s">
        <v>183</v>
      </c>
      <c r="U56" s="81" t="s">
        <v>183</v>
      </c>
      <c r="V56" s="101" t="s">
        <v>183</v>
      </c>
      <c r="W56" s="100" t="s">
        <v>183</v>
      </c>
      <c r="X56" s="84" t="s">
        <v>183</v>
      </c>
      <c r="Y56" s="11"/>
      <c r="Z56" s="124" t="s">
        <v>183</v>
      </c>
    </row>
    <row r="57" spans="1:26" s="1" customFormat="1" ht="18.75" x14ac:dyDescent="0.2">
      <c r="A57" s="28">
        <v>50</v>
      </c>
      <c r="B57" s="55" t="s">
        <v>108</v>
      </c>
      <c r="C57" s="55" t="s">
        <v>304</v>
      </c>
      <c r="D57" s="81" t="s">
        <v>183</v>
      </c>
      <c r="E57" s="82" t="s">
        <v>183</v>
      </c>
      <c r="F57" s="83">
        <v>2001</v>
      </c>
      <c r="G57" s="83">
        <v>2001</v>
      </c>
      <c r="H57" s="84" t="s">
        <v>183</v>
      </c>
      <c r="I57" s="84" t="s">
        <v>183</v>
      </c>
      <c r="J57" s="97" t="s">
        <v>183</v>
      </c>
      <c r="K57" s="81" t="s">
        <v>183</v>
      </c>
      <c r="L57" s="100" t="s">
        <v>183</v>
      </c>
      <c r="M57" s="100" t="s">
        <v>183</v>
      </c>
      <c r="N57" s="101" t="s">
        <v>183</v>
      </c>
      <c r="O57" s="101" t="s">
        <v>183</v>
      </c>
      <c r="P57" s="100" t="s">
        <v>183</v>
      </c>
      <c r="Q57" s="100" t="s">
        <v>183</v>
      </c>
      <c r="R57" s="102" t="s">
        <v>184</v>
      </c>
      <c r="S57" s="97" t="s">
        <v>183</v>
      </c>
      <c r="T57" s="81" t="s">
        <v>183</v>
      </c>
      <c r="U57" s="81" t="s">
        <v>183</v>
      </c>
      <c r="V57" s="101" t="s">
        <v>183</v>
      </c>
      <c r="W57" s="100" t="s">
        <v>183</v>
      </c>
      <c r="X57" s="84" t="s">
        <v>183</v>
      </c>
      <c r="Y57" s="11"/>
      <c r="Z57" s="124" t="s">
        <v>183</v>
      </c>
    </row>
    <row r="58" spans="1:26" s="1" customFormat="1" ht="18.75" x14ac:dyDescent="0.2">
      <c r="A58" s="28">
        <v>51</v>
      </c>
      <c r="B58" s="55" t="s">
        <v>111</v>
      </c>
      <c r="C58" s="55" t="s">
        <v>306</v>
      </c>
      <c r="D58" s="81" t="s">
        <v>183</v>
      </c>
      <c r="E58" s="82" t="s">
        <v>183</v>
      </c>
      <c r="F58" s="83">
        <v>1993</v>
      </c>
      <c r="G58" s="83">
        <v>1995</v>
      </c>
      <c r="H58" s="84" t="s">
        <v>183</v>
      </c>
      <c r="I58" s="84" t="s">
        <v>183</v>
      </c>
      <c r="J58" s="97" t="s">
        <v>183</v>
      </c>
      <c r="K58" s="81" t="s">
        <v>183</v>
      </c>
      <c r="L58" s="100" t="s">
        <v>183</v>
      </c>
      <c r="M58" s="100" t="s">
        <v>183</v>
      </c>
      <c r="N58" s="101" t="s">
        <v>183</v>
      </c>
      <c r="O58" s="101" t="s">
        <v>183</v>
      </c>
      <c r="P58" s="100" t="s">
        <v>183</v>
      </c>
      <c r="Q58" s="100" t="s">
        <v>183</v>
      </c>
      <c r="R58" s="102" t="s">
        <v>184</v>
      </c>
      <c r="S58" s="97" t="s">
        <v>183</v>
      </c>
      <c r="T58" s="81" t="s">
        <v>183</v>
      </c>
      <c r="U58" s="81" t="s">
        <v>183</v>
      </c>
      <c r="V58" s="101" t="s">
        <v>183</v>
      </c>
      <c r="W58" s="100" t="s">
        <v>183</v>
      </c>
      <c r="X58" s="84" t="s">
        <v>183</v>
      </c>
      <c r="Y58" s="11"/>
      <c r="Z58" s="124" t="s">
        <v>183</v>
      </c>
    </row>
    <row r="59" spans="1:26" s="1" customFormat="1" ht="18.75" x14ac:dyDescent="0.2">
      <c r="A59" s="28">
        <v>52</v>
      </c>
      <c r="B59" s="55" t="s">
        <v>308</v>
      </c>
      <c r="C59" s="55" t="s">
        <v>307</v>
      </c>
      <c r="D59" s="81" t="s">
        <v>183</v>
      </c>
      <c r="E59" s="82" t="s">
        <v>183</v>
      </c>
      <c r="F59" s="83">
        <v>1989</v>
      </c>
      <c r="G59" s="83">
        <v>1989</v>
      </c>
      <c r="H59" s="84" t="s">
        <v>183</v>
      </c>
      <c r="I59" s="84" t="s">
        <v>183</v>
      </c>
      <c r="J59" s="97" t="s">
        <v>183</v>
      </c>
      <c r="K59" s="81" t="s">
        <v>183</v>
      </c>
      <c r="L59" s="100" t="s">
        <v>183</v>
      </c>
      <c r="M59" s="100" t="s">
        <v>183</v>
      </c>
      <c r="N59" s="101" t="s">
        <v>183</v>
      </c>
      <c r="O59" s="101" t="s">
        <v>183</v>
      </c>
      <c r="P59" s="100" t="s">
        <v>183</v>
      </c>
      <c r="Q59" s="100" t="s">
        <v>183</v>
      </c>
      <c r="R59" s="102" t="s">
        <v>184</v>
      </c>
      <c r="S59" s="97" t="s">
        <v>183</v>
      </c>
      <c r="T59" s="81" t="s">
        <v>183</v>
      </c>
      <c r="U59" s="81" t="s">
        <v>183</v>
      </c>
      <c r="V59" s="101" t="s">
        <v>183</v>
      </c>
      <c r="W59" s="100" t="s">
        <v>183</v>
      </c>
      <c r="X59" s="84" t="s">
        <v>183</v>
      </c>
      <c r="Y59" s="11"/>
      <c r="Z59" s="124" t="s">
        <v>183</v>
      </c>
    </row>
    <row r="60" spans="1:26" s="1" customFormat="1" ht="18.75" x14ac:dyDescent="0.2">
      <c r="A60" s="28">
        <v>53</v>
      </c>
      <c r="B60" s="55" t="s">
        <v>116</v>
      </c>
      <c r="C60" s="55" t="s">
        <v>309</v>
      </c>
      <c r="D60" s="81" t="s">
        <v>183</v>
      </c>
      <c r="E60" s="82" t="s">
        <v>183</v>
      </c>
      <c r="F60" s="83">
        <v>2000</v>
      </c>
      <c r="G60" s="83">
        <v>2000</v>
      </c>
      <c r="H60" s="84" t="s">
        <v>183</v>
      </c>
      <c r="I60" s="84" t="s">
        <v>183</v>
      </c>
      <c r="J60" s="97" t="s">
        <v>183</v>
      </c>
      <c r="K60" s="81" t="s">
        <v>183</v>
      </c>
      <c r="L60" s="100" t="s">
        <v>183</v>
      </c>
      <c r="M60" s="100" t="s">
        <v>183</v>
      </c>
      <c r="N60" s="101" t="s">
        <v>183</v>
      </c>
      <c r="O60" s="101" t="s">
        <v>183</v>
      </c>
      <c r="P60" s="100" t="s">
        <v>183</v>
      </c>
      <c r="Q60" s="100" t="s">
        <v>183</v>
      </c>
      <c r="R60" s="102" t="s">
        <v>184</v>
      </c>
      <c r="S60" s="97" t="s">
        <v>183</v>
      </c>
      <c r="T60" s="81" t="s">
        <v>183</v>
      </c>
      <c r="U60" s="81" t="s">
        <v>183</v>
      </c>
      <c r="V60" s="101" t="s">
        <v>183</v>
      </c>
      <c r="W60" s="100" t="s">
        <v>183</v>
      </c>
      <c r="X60" s="84" t="s">
        <v>183</v>
      </c>
      <c r="Y60" s="11"/>
      <c r="Z60" s="124" t="s">
        <v>183</v>
      </c>
    </row>
    <row r="61" spans="1:26" s="1" customFormat="1" ht="18.75" x14ac:dyDescent="0.2">
      <c r="A61" s="28">
        <v>54</v>
      </c>
      <c r="B61" s="55" t="s">
        <v>120</v>
      </c>
      <c r="C61" s="55" t="s">
        <v>310</v>
      </c>
      <c r="D61" s="81" t="s">
        <v>183</v>
      </c>
      <c r="E61" s="82" t="s">
        <v>183</v>
      </c>
      <c r="F61" s="83">
        <v>1992</v>
      </c>
      <c r="G61" s="83">
        <v>2012</v>
      </c>
      <c r="H61" s="84" t="s">
        <v>183</v>
      </c>
      <c r="I61" s="84" t="s">
        <v>183</v>
      </c>
      <c r="J61" s="97" t="s">
        <v>183</v>
      </c>
      <c r="K61" s="81" t="s">
        <v>183</v>
      </c>
      <c r="L61" s="100" t="s">
        <v>183</v>
      </c>
      <c r="M61" s="100" t="s">
        <v>183</v>
      </c>
      <c r="N61" s="101" t="s">
        <v>183</v>
      </c>
      <c r="O61" s="101" t="s">
        <v>183</v>
      </c>
      <c r="P61" s="100" t="s">
        <v>183</v>
      </c>
      <c r="Q61" s="100" t="s">
        <v>183</v>
      </c>
      <c r="R61" s="102" t="s">
        <v>184</v>
      </c>
      <c r="S61" s="97" t="s">
        <v>183</v>
      </c>
      <c r="T61" s="81" t="s">
        <v>183</v>
      </c>
      <c r="U61" s="81" t="s">
        <v>183</v>
      </c>
      <c r="V61" s="101" t="s">
        <v>183</v>
      </c>
      <c r="W61" s="100" t="s">
        <v>183</v>
      </c>
      <c r="X61" s="84" t="s">
        <v>183</v>
      </c>
      <c r="Y61" s="11"/>
      <c r="Z61" s="124" t="s">
        <v>183</v>
      </c>
    </row>
    <row r="62" spans="1:26" s="1" customFormat="1" ht="18.75" x14ac:dyDescent="0.2">
      <c r="A62" s="28">
        <v>55</v>
      </c>
      <c r="B62" s="55" t="s">
        <v>312</v>
      </c>
      <c r="C62" s="55" t="s">
        <v>311</v>
      </c>
      <c r="D62" s="81" t="s">
        <v>183</v>
      </c>
      <c r="E62" s="82" t="s">
        <v>183</v>
      </c>
      <c r="F62" s="83">
        <v>1987</v>
      </c>
      <c r="G62" s="83">
        <v>1987</v>
      </c>
      <c r="H62" s="84" t="s">
        <v>183</v>
      </c>
      <c r="I62" s="84" t="s">
        <v>183</v>
      </c>
      <c r="J62" s="97" t="s">
        <v>183</v>
      </c>
      <c r="K62" s="81" t="s">
        <v>183</v>
      </c>
      <c r="L62" s="100" t="s">
        <v>183</v>
      </c>
      <c r="M62" s="100" t="s">
        <v>183</v>
      </c>
      <c r="N62" s="101" t="s">
        <v>183</v>
      </c>
      <c r="O62" s="101" t="s">
        <v>183</v>
      </c>
      <c r="P62" s="100" t="s">
        <v>183</v>
      </c>
      <c r="Q62" s="100" t="s">
        <v>183</v>
      </c>
      <c r="R62" s="102" t="s">
        <v>184</v>
      </c>
      <c r="S62" s="97" t="s">
        <v>183</v>
      </c>
      <c r="T62" s="81" t="s">
        <v>183</v>
      </c>
      <c r="U62" s="81" t="s">
        <v>183</v>
      </c>
      <c r="V62" s="101" t="s">
        <v>183</v>
      </c>
      <c r="W62" s="100" t="s">
        <v>183</v>
      </c>
      <c r="X62" s="84" t="s">
        <v>183</v>
      </c>
      <c r="Y62" s="11"/>
      <c r="Z62" s="124" t="s">
        <v>183</v>
      </c>
    </row>
    <row r="63" spans="1:26" s="1" customFormat="1" ht="18.75" x14ac:dyDescent="0.2">
      <c r="A63" s="28">
        <v>56</v>
      </c>
      <c r="B63" s="55" t="s">
        <v>153</v>
      </c>
      <c r="C63" s="55" t="s">
        <v>313</v>
      </c>
      <c r="D63" s="81" t="s">
        <v>183</v>
      </c>
      <c r="E63" s="82" t="s">
        <v>183</v>
      </c>
      <c r="F63" s="83">
        <v>1997</v>
      </c>
      <c r="G63" s="83">
        <v>1997</v>
      </c>
      <c r="H63" s="84" t="s">
        <v>183</v>
      </c>
      <c r="I63" s="84" t="s">
        <v>183</v>
      </c>
      <c r="J63" s="97" t="s">
        <v>183</v>
      </c>
      <c r="K63" s="81" t="s">
        <v>183</v>
      </c>
      <c r="L63" s="100" t="s">
        <v>183</v>
      </c>
      <c r="M63" s="100" t="s">
        <v>183</v>
      </c>
      <c r="N63" s="101" t="s">
        <v>183</v>
      </c>
      <c r="O63" s="101" t="s">
        <v>183</v>
      </c>
      <c r="P63" s="100" t="s">
        <v>183</v>
      </c>
      <c r="Q63" s="100" t="s">
        <v>183</v>
      </c>
      <c r="R63" s="102" t="s">
        <v>184</v>
      </c>
      <c r="S63" s="97" t="s">
        <v>183</v>
      </c>
      <c r="T63" s="81" t="s">
        <v>183</v>
      </c>
      <c r="U63" s="81" t="s">
        <v>183</v>
      </c>
      <c r="V63" s="101" t="s">
        <v>183</v>
      </c>
      <c r="W63" s="100" t="s">
        <v>183</v>
      </c>
      <c r="X63" s="84" t="s">
        <v>183</v>
      </c>
      <c r="Y63" s="11"/>
      <c r="Z63" s="124" t="s">
        <v>183</v>
      </c>
    </row>
    <row r="64" spans="1:26" s="12" customFormat="1" ht="18.75" x14ac:dyDescent="0.2">
      <c r="A64" s="28">
        <v>57</v>
      </c>
      <c r="B64" s="55" t="s">
        <v>127</v>
      </c>
      <c r="C64" s="55" t="s">
        <v>315</v>
      </c>
      <c r="D64" s="81" t="s">
        <v>183</v>
      </c>
      <c r="E64" s="82" t="s">
        <v>183</v>
      </c>
      <c r="F64" s="86">
        <v>2003</v>
      </c>
      <c r="G64" s="86">
        <v>2005</v>
      </c>
      <c r="H64" s="84" t="s">
        <v>183</v>
      </c>
      <c r="I64" s="87" t="s">
        <v>183</v>
      </c>
      <c r="J64" s="97" t="s">
        <v>183</v>
      </c>
      <c r="K64" s="81" t="s">
        <v>183</v>
      </c>
      <c r="L64" s="100" t="s">
        <v>183</v>
      </c>
      <c r="M64" s="100" t="s">
        <v>183</v>
      </c>
      <c r="N64" s="101" t="s">
        <v>183</v>
      </c>
      <c r="O64" s="101" t="s">
        <v>183</v>
      </c>
      <c r="P64" s="100" t="s">
        <v>183</v>
      </c>
      <c r="Q64" s="100" t="s">
        <v>183</v>
      </c>
      <c r="R64" s="102" t="s">
        <v>184</v>
      </c>
      <c r="S64" s="97" t="s">
        <v>183</v>
      </c>
      <c r="T64" s="81" t="s">
        <v>183</v>
      </c>
      <c r="U64" s="81" t="s">
        <v>183</v>
      </c>
      <c r="V64" s="101" t="s">
        <v>183</v>
      </c>
      <c r="W64" s="100" t="s">
        <v>183</v>
      </c>
      <c r="X64" s="84" t="s">
        <v>183</v>
      </c>
      <c r="Y64" s="11"/>
      <c r="Z64" s="124" t="s">
        <v>183</v>
      </c>
    </row>
    <row r="65" spans="1:26" s="1" customFormat="1" ht="18.75" x14ac:dyDescent="0.2">
      <c r="A65" s="28">
        <v>58</v>
      </c>
      <c r="B65" s="55" t="s">
        <v>130</v>
      </c>
      <c r="C65" s="55" t="s">
        <v>320</v>
      </c>
      <c r="D65" s="81" t="s">
        <v>183</v>
      </c>
      <c r="E65" s="82" t="s">
        <v>183</v>
      </c>
      <c r="F65" s="83">
        <v>1985</v>
      </c>
      <c r="G65" s="83">
        <v>1980</v>
      </c>
      <c r="H65" s="84" t="s">
        <v>183</v>
      </c>
      <c r="I65" s="84" t="s">
        <v>183</v>
      </c>
      <c r="J65" s="97" t="s">
        <v>183</v>
      </c>
      <c r="K65" s="81" t="s">
        <v>183</v>
      </c>
      <c r="L65" s="100" t="s">
        <v>183</v>
      </c>
      <c r="M65" s="100" t="s">
        <v>183</v>
      </c>
      <c r="N65" s="101" t="s">
        <v>183</v>
      </c>
      <c r="O65" s="101" t="s">
        <v>183</v>
      </c>
      <c r="P65" s="100" t="s">
        <v>183</v>
      </c>
      <c r="Q65" s="100" t="s">
        <v>183</v>
      </c>
      <c r="R65" s="102" t="s">
        <v>184</v>
      </c>
      <c r="S65" s="97" t="s">
        <v>183</v>
      </c>
      <c r="T65" s="81" t="s">
        <v>183</v>
      </c>
      <c r="U65" s="81" t="s">
        <v>183</v>
      </c>
      <c r="V65" s="101" t="s">
        <v>183</v>
      </c>
      <c r="W65" s="100" t="s">
        <v>183</v>
      </c>
      <c r="X65" s="84" t="s">
        <v>183</v>
      </c>
      <c r="Y65" s="11"/>
      <c r="Z65" s="124" t="s">
        <v>183</v>
      </c>
    </row>
    <row r="66" spans="1:26" s="12" customFormat="1" ht="18.75" x14ac:dyDescent="0.2">
      <c r="A66" s="28">
        <v>59</v>
      </c>
      <c r="B66" s="55" t="s">
        <v>331</v>
      </c>
      <c r="C66" s="55" t="s">
        <v>329</v>
      </c>
      <c r="D66" s="81" t="s">
        <v>183</v>
      </c>
      <c r="E66" s="82" t="s">
        <v>183</v>
      </c>
      <c r="F66" s="86">
        <v>2010</v>
      </c>
      <c r="G66" s="86">
        <v>2010</v>
      </c>
      <c r="H66" s="84" t="s">
        <v>183</v>
      </c>
      <c r="I66" s="87" t="s">
        <v>183</v>
      </c>
      <c r="J66" s="97" t="s">
        <v>183</v>
      </c>
      <c r="K66" s="81" t="s">
        <v>183</v>
      </c>
      <c r="L66" s="100" t="s">
        <v>183</v>
      </c>
      <c r="M66" s="100" t="s">
        <v>183</v>
      </c>
      <c r="N66" s="101" t="s">
        <v>183</v>
      </c>
      <c r="O66" s="101" t="s">
        <v>183</v>
      </c>
      <c r="P66" s="100" t="s">
        <v>183</v>
      </c>
      <c r="Q66" s="100" t="s">
        <v>183</v>
      </c>
      <c r="R66" s="102" t="s">
        <v>184</v>
      </c>
      <c r="S66" s="97" t="s">
        <v>183</v>
      </c>
      <c r="T66" s="81" t="s">
        <v>183</v>
      </c>
      <c r="U66" s="81" t="s">
        <v>183</v>
      </c>
      <c r="V66" s="101" t="s">
        <v>183</v>
      </c>
      <c r="W66" s="100" t="s">
        <v>183</v>
      </c>
      <c r="X66" s="84" t="s">
        <v>183</v>
      </c>
      <c r="Y66" s="11"/>
      <c r="Z66" s="124" t="s">
        <v>183</v>
      </c>
    </row>
    <row r="67" spans="1:26" s="1" customFormat="1" ht="18.75" x14ac:dyDescent="0.2">
      <c r="A67" s="28">
        <v>60</v>
      </c>
      <c r="B67" s="55" t="s">
        <v>135</v>
      </c>
      <c r="C67" s="55" t="s">
        <v>332</v>
      </c>
      <c r="D67" s="81" t="s">
        <v>183</v>
      </c>
      <c r="E67" s="82" t="s">
        <v>183</v>
      </c>
      <c r="F67" s="83">
        <v>1988</v>
      </c>
      <c r="G67" s="83">
        <v>2006</v>
      </c>
      <c r="H67" s="84" t="s">
        <v>183</v>
      </c>
      <c r="I67" s="84" t="s">
        <v>183</v>
      </c>
      <c r="J67" s="97" t="s">
        <v>183</v>
      </c>
      <c r="K67" s="81" t="s">
        <v>183</v>
      </c>
      <c r="L67" s="100" t="s">
        <v>183</v>
      </c>
      <c r="M67" s="100" t="s">
        <v>183</v>
      </c>
      <c r="N67" s="101" t="s">
        <v>183</v>
      </c>
      <c r="O67" s="101" t="s">
        <v>183</v>
      </c>
      <c r="P67" s="100" t="s">
        <v>183</v>
      </c>
      <c r="Q67" s="100" t="s">
        <v>183</v>
      </c>
      <c r="R67" s="102" t="s">
        <v>184</v>
      </c>
      <c r="S67" s="97" t="s">
        <v>183</v>
      </c>
      <c r="T67" s="81" t="s">
        <v>183</v>
      </c>
      <c r="U67" s="81" t="s">
        <v>183</v>
      </c>
      <c r="V67" s="101" t="s">
        <v>183</v>
      </c>
      <c r="W67" s="100" t="s">
        <v>183</v>
      </c>
      <c r="X67" s="84" t="s">
        <v>183</v>
      </c>
      <c r="Y67" s="11"/>
      <c r="Z67" s="124" t="s">
        <v>183</v>
      </c>
    </row>
    <row r="68" spans="1:26" s="1" customFormat="1" ht="18.75" x14ac:dyDescent="0.2">
      <c r="A68" s="28">
        <v>61</v>
      </c>
      <c r="B68" s="55" t="s">
        <v>138</v>
      </c>
      <c r="C68" s="55" t="s">
        <v>334</v>
      </c>
      <c r="D68" s="81" t="s">
        <v>183</v>
      </c>
      <c r="E68" s="82" t="s">
        <v>183</v>
      </c>
      <c r="F68" s="83">
        <v>1983</v>
      </c>
      <c r="G68" s="83">
        <v>1983</v>
      </c>
      <c r="H68" s="84" t="s">
        <v>183</v>
      </c>
      <c r="I68" s="84" t="s">
        <v>183</v>
      </c>
      <c r="J68" s="97" t="s">
        <v>183</v>
      </c>
      <c r="K68" s="81" t="s">
        <v>183</v>
      </c>
      <c r="L68" s="100" t="s">
        <v>183</v>
      </c>
      <c r="M68" s="100" t="s">
        <v>183</v>
      </c>
      <c r="N68" s="101" t="s">
        <v>183</v>
      </c>
      <c r="O68" s="101" t="s">
        <v>183</v>
      </c>
      <c r="P68" s="100" t="s">
        <v>183</v>
      </c>
      <c r="Q68" s="100" t="s">
        <v>183</v>
      </c>
      <c r="R68" s="102" t="s">
        <v>184</v>
      </c>
      <c r="S68" s="97" t="s">
        <v>183</v>
      </c>
      <c r="T68" s="81" t="s">
        <v>183</v>
      </c>
      <c r="U68" s="81" t="s">
        <v>183</v>
      </c>
      <c r="V68" s="101" t="s">
        <v>183</v>
      </c>
      <c r="W68" s="100" t="s">
        <v>183</v>
      </c>
      <c r="X68" s="84" t="s">
        <v>183</v>
      </c>
      <c r="Y68" s="11"/>
      <c r="Z68" s="124" t="s">
        <v>183</v>
      </c>
    </row>
    <row r="69" spans="1:26" s="1" customFormat="1" ht="18.75" x14ac:dyDescent="0.2">
      <c r="A69" s="28">
        <v>62</v>
      </c>
      <c r="B69" s="55" t="s">
        <v>141</v>
      </c>
      <c r="C69" s="55" t="s">
        <v>335</v>
      </c>
      <c r="D69" s="81" t="s">
        <v>183</v>
      </c>
      <c r="E69" s="82" t="s">
        <v>183</v>
      </c>
      <c r="F69" s="83">
        <v>1982</v>
      </c>
      <c r="G69" s="83">
        <v>1976</v>
      </c>
      <c r="H69" s="84" t="s">
        <v>183</v>
      </c>
      <c r="I69" s="84" t="s">
        <v>183</v>
      </c>
      <c r="J69" s="97" t="s">
        <v>183</v>
      </c>
      <c r="K69" s="81" t="s">
        <v>183</v>
      </c>
      <c r="L69" s="100" t="s">
        <v>183</v>
      </c>
      <c r="M69" s="100" t="s">
        <v>183</v>
      </c>
      <c r="N69" s="101" t="s">
        <v>183</v>
      </c>
      <c r="O69" s="101" t="s">
        <v>183</v>
      </c>
      <c r="P69" s="100" t="s">
        <v>183</v>
      </c>
      <c r="Q69" s="100" t="s">
        <v>183</v>
      </c>
      <c r="R69" s="102" t="s">
        <v>183</v>
      </c>
      <c r="S69" s="97" t="s">
        <v>183</v>
      </c>
      <c r="T69" s="81" t="s">
        <v>183</v>
      </c>
      <c r="U69" s="81" t="s">
        <v>183</v>
      </c>
      <c r="V69" s="101" t="s">
        <v>183</v>
      </c>
      <c r="W69" s="100" t="s">
        <v>183</v>
      </c>
      <c r="X69" s="84" t="s">
        <v>183</v>
      </c>
      <c r="Y69" s="11"/>
      <c r="Z69" s="124" t="s">
        <v>183</v>
      </c>
    </row>
    <row r="70" spans="1:26" s="1" customFormat="1" ht="18.75" x14ac:dyDescent="0.2">
      <c r="A70" s="28">
        <v>63</v>
      </c>
      <c r="B70" s="55" t="s">
        <v>145</v>
      </c>
      <c r="C70" s="55" t="s">
        <v>340</v>
      </c>
      <c r="D70" s="81" t="s">
        <v>183</v>
      </c>
      <c r="E70" s="82" t="s">
        <v>183</v>
      </c>
      <c r="F70" s="83">
        <v>2010</v>
      </c>
      <c r="G70" s="83">
        <v>2010</v>
      </c>
      <c r="H70" s="84" t="s">
        <v>183</v>
      </c>
      <c r="I70" s="84" t="s">
        <v>183</v>
      </c>
      <c r="J70" s="97" t="s">
        <v>183</v>
      </c>
      <c r="K70" s="81" t="s">
        <v>183</v>
      </c>
      <c r="L70" s="100" t="s">
        <v>183</v>
      </c>
      <c r="M70" s="100" t="s">
        <v>183</v>
      </c>
      <c r="N70" s="101" t="s">
        <v>183</v>
      </c>
      <c r="O70" s="101" t="s">
        <v>183</v>
      </c>
      <c r="P70" s="100" t="s">
        <v>183</v>
      </c>
      <c r="Q70" s="100" t="s">
        <v>183</v>
      </c>
      <c r="R70" s="102" t="s">
        <v>184</v>
      </c>
      <c r="S70" s="97" t="s">
        <v>183</v>
      </c>
      <c r="T70" s="81" t="s">
        <v>183</v>
      </c>
      <c r="U70" s="81" t="s">
        <v>183</v>
      </c>
      <c r="V70" s="101" t="s">
        <v>183</v>
      </c>
      <c r="W70" s="100" t="s">
        <v>183</v>
      </c>
      <c r="X70" s="84" t="s">
        <v>183</v>
      </c>
      <c r="Y70" s="11"/>
      <c r="Z70" s="124" t="s">
        <v>183</v>
      </c>
    </row>
    <row r="71" spans="1:26" s="1" customFormat="1" ht="18.75" x14ac:dyDescent="0.2">
      <c r="A71" s="31">
        <v>64</v>
      </c>
      <c r="B71" s="55" t="s">
        <v>350</v>
      </c>
      <c r="C71" s="55" t="s">
        <v>346</v>
      </c>
      <c r="D71" s="81" t="s">
        <v>183</v>
      </c>
      <c r="E71" s="82" t="s">
        <v>183</v>
      </c>
      <c r="F71" s="86">
        <v>2006</v>
      </c>
      <c r="G71" s="86">
        <v>2016</v>
      </c>
      <c r="H71" s="87" t="s">
        <v>183</v>
      </c>
      <c r="I71" s="84" t="s">
        <v>183</v>
      </c>
      <c r="J71" s="97" t="s">
        <v>183</v>
      </c>
      <c r="K71" s="81" t="s">
        <v>183</v>
      </c>
      <c r="L71" s="100" t="s">
        <v>183</v>
      </c>
      <c r="M71" s="100" t="s">
        <v>183</v>
      </c>
      <c r="N71" s="101" t="s">
        <v>183</v>
      </c>
      <c r="O71" s="101" t="s">
        <v>183</v>
      </c>
      <c r="P71" s="100" t="s">
        <v>183</v>
      </c>
      <c r="Q71" s="100" t="s">
        <v>183</v>
      </c>
      <c r="R71" s="102" t="s">
        <v>184</v>
      </c>
      <c r="S71" s="97" t="s">
        <v>183</v>
      </c>
      <c r="T71" s="81" t="s">
        <v>183</v>
      </c>
      <c r="U71" s="81" t="s">
        <v>183</v>
      </c>
      <c r="V71" s="101" t="s">
        <v>183</v>
      </c>
      <c r="W71" s="100" t="s">
        <v>183</v>
      </c>
      <c r="X71" s="84" t="s">
        <v>183</v>
      </c>
      <c r="Y71" s="11"/>
      <c r="Z71" s="124" t="s">
        <v>183</v>
      </c>
    </row>
    <row r="72" spans="1:26" s="1" customFormat="1" ht="19.5" thickBot="1" x14ac:dyDescent="0.25">
      <c r="A72" s="125">
        <v>65</v>
      </c>
      <c r="B72" s="71" t="s">
        <v>150</v>
      </c>
      <c r="C72" s="71" t="s">
        <v>348</v>
      </c>
      <c r="D72" s="126" t="s">
        <v>183</v>
      </c>
      <c r="E72" s="127" t="s">
        <v>183</v>
      </c>
      <c r="F72" s="128">
        <v>2004</v>
      </c>
      <c r="G72" s="128">
        <v>2011</v>
      </c>
      <c r="H72" s="129" t="s">
        <v>183</v>
      </c>
      <c r="I72" s="129" t="s">
        <v>183</v>
      </c>
      <c r="J72" s="103" t="s">
        <v>183</v>
      </c>
      <c r="K72" s="126" t="s">
        <v>183</v>
      </c>
      <c r="L72" s="130" t="s">
        <v>183</v>
      </c>
      <c r="M72" s="130" t="s">
        <v>183</v>
      </c>
      <c r="N72" s="131" t="s">
        <v>183</v>
      </c>
      <c r="O72" s="131" t="s">
        <v>183</v>
      </c>
      <c r="P72" s="130" t="s">
        <v>183</v>
      </c>
      <c r="Q72" s="130" t="s">
        <v>183</v>
      </c>
      <c r="R72" s="132" t="s">
        <v>184</v>
      </c>
      <c r="S72" s="103" t="s">
        <v>183</v>
      </c>
      <c r="T72" s="126" t="s">
        <v>183</v>
      </c>
      <c r="U72" s="126" t="s">
        <v>183</v>
      </c>
      <c r="V72" s="131" t="s">
        <v>183</v>
      </c>
      <c r="W72" s="130" t="s">
        <v>183</v>
      </c>
      <c r="X72" s="129" t="s">
        <v>183</v>
      </c>
      <c r="Y72" s="133"/>
      <c r="Z72" s="134" t="s">
        <v>183</v>
      </c>
    </row>
    <row r="74" spans="1:26" x14ac:dyDescent="0.2">
      <c r="A74" s="29"/>
      <c r="F74" s="3"/>
      <c r="W74" s="3"/>
      <c r="X74" s="3"/>
      <c r="Y74" s="16"/>
      <c r="Z74" s="13"/>
    </row>
    <row r="75" spans="1:26" x14ac:dyDescent="0.2">
      <c r="A75" s="29"/>
      <c r="F75" s="3"/>
      <c r="W75" s="3"/>
      <c r="X75" s="3"/>
      <c r="Y75" s="16"/>
      <c r="Z75" s="13"/>
    </row>
    <row r="76" spans="1:26" x14ac:dyDescent="0.2">
      <c r="A76" s="29"/>
      <c r="F76" s="3"/>
      <c r="W76" s="3"/>
      <c r="X76" s="3"/>
      <c r="Y76" s="16"/>
      <c r="Z76" s="13"/>
    </row>
  </sheetData>
  <sortState xmlns:xlrd2="http://schemas.microsoft.com/office/spreadsheetml/2017/richdata2" ref="B8:Z21">
    <sortCondition ref="B8:B21"/>
  </sortState>
  <mergeCells count="6">
    <mergeCell ref="J2:R2"/>
    <mergeCell ref="A4:A5"/>
    <mergeCell ref="B4:B5"/>
    <mergeCell ref="A6:Z6"/>
    <mergeCell ref="A22:Z22"/>
    <mergeCell ref="C4:C5"/>
  </mergeCells>
  <phoneticPr fontId="51" type="noConversion"/>
  <pageMargins left="0.23622047244094491" right="0.23622047244094491" top="0.74803149606299213" bottom="0.74803149606299213" header="0.31496062992125984" footer="0.31496062992125984"/>
  <pageSetup scale="36" fitToHeight="0" orientation="landscape" verticalDpi="300" r:id="rId1"/>
  <ignoredErrors>
    <ignoredError sqref="G17 G15 G20:G21 F29 F39 F4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4</vt:i4>
      </vt:variant>
      <vt:variant>
        <vt:lpstr>טווחים בעלי שם</vt:lpstr>
      </vt:variant>
      <vt:variant>
        <vt:i4>6</vt:i4>
      </vt:variant>
    </vt:vector>
  </HeadingPairs>
  <TitlesOfParts>
    <vt:vector size="10" baseType="lpstr">
      <vt:lpstr>מודל תמיכה חלוקת 20,294,511 שח</vt:lpstr>
      <vt:lpstr>הגבלה לסכום מבוקש</vt:lpstr>
      <vt:lpstr>הגנה</vt:lpstr>
      <vt:lpstr>תנאי סף</vt:lpstr>
      <vt:lpstr>'הגבלה לסכום מבוקש'!WPrint_Area_W</vt:lpstr>
      <vt:lpstr>הגנה!WPrint_Area_W</vt:lpstr>
      <vt:lpstr>'הגבלה לסכום מבוקש'!WPrint_TitlesW</vt:lpstr>
      <vt:lpstr>הגנה!WPrint_TitlesW</vt:lpstr>
      <vt:lpstr>'מודל תמיכה חלוקת 20,294,511 שח'!WPrint_TitlesW</vt:lpstr>
      <vt:lpstr>'תנאי סף'!WPrint_TitlesW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Zippi Goldberg</dc:creator>
  <cp:lastModifiedBy>Liroz Meiri</cp:lastModifiedBy>
  <cp:lastPrinted>2024-12-08T09:57:04Z</cp:lastPrinted>
  <dcterms:created xsi:type="dcterms:W3CDTF">2022-12-19T16:44:00Z</dcterms:created>
  <dcterms:modified xsi:type="dcterms:W3CDTF">2024-12-30T10:20:51Z</dcterms:modified>
</cp:coreProperties>
</file>