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Default Extension="vml" ContentType="application/vnd.openxmlformats-officedocument.vmlDrawing"/>
  <Override PartName="/xl/worksheets/sheet3.xml" ContentType="application/vnd.openxmlformats-officedocument.spreadsheetml.worksheet+xml"/>
  <Override PartName="/xl/comments4.xml" ContentType="application/vnd.openxmlformats-officedocument.spreadsheetml.comments+xml"/>
  <Override PartName="/xl/worksheets/sheet4.xml" ContentType="application/vnd.openxmlformats-officedocument.spreadsheetml.worksheet+xml"/>
  <Override PartName="/xl/comments5.xml" ContentType="application/vnd.openxmlformats-officedocument.spreadsheetml.comments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bookViews>
    <workbookView xWindow="-120" yWindow="-120" windowWidth="29040" windowHeight="15840" activeTab="4"/>
  </bookViews>
  <sheets>
    <sheet name="ריכוז תעריף איגודן" sheetId="1" r:id="rId2"/>
    <sheet name="תוספת השקעות חדשות" sheetId="4" r:id="rId3"/>
    <sheet name="עלויות המטש" sheetId="3" r:id="rId4"/>
    <sheet name="עלויות ההולכה" sheetId="2" r:id="rId5"/>
    <sheet name="ניתוח פעילות מאוחד לפני השקעות " sheetId="5" r:id="rId6"/>
  </sheets>
  <externalReferences>
    <externalReference r:id="rId9"/>
    <externalReference r:id="rId10"/>
    <externalReference r:id="rId11"/>
  </externalReferences>
  <definedNames>
    <definedName name="Min_ADSCR">'ניתוח פעילות מאוחד לפני השקעות '!$R$18</definedName>
    <definedName name="Min_Cash">'ניתוח פעילות מאוחד לפני השקעות '!$E$30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</calcChain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controller</author>
  </authors>
  <commentList>
    <comment ref="D67" authorId="0" shapeId="0" xr:uid="{00000000-0006-0000-0B00-000001000000}">
      <text>
        <r>
          <rPr>
            <b/>
            <sz val="9"/>
            <rFont val="Tahoma"/>
            <family val="2"/>
          </rPr>
          <t>controller:</t>
        </r>
        <r>
          <rPr>
            <sz val="9"/>
            <rFont val="Tahoma"/>
            <family val="2"/>
          </rPr>
          <t xml:space="preserve">
יתרות בנקאיות
</t>
        </r>
      </text>
    </comment>
    <comment ref="A78" authorId="0" shapeId="0" xr:uid="{00000000-0006-0000-0B00-000002000000}">
      <text>
        <r>
          <rPr>
            <b/>
            <sz val="9"/>
            <rFont val="Tahoma"/>
            <family val="2"/>
          </rPr>
          <t>controller:</t>
        </r>
        <r>
          <rPr>
            <sz val="9"/>
            <rFont val="Tahoma"/>
            <family val="2"/>
          </rPr>
          <t xml:space="preserve">
ללא רמת גן נוכו 10,927,000 מ"ק  
בשנת 2010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controller</author>
  </authors>
  <commentList>
    <comment ref="D25" authorId="0" shapeId="0" xr:uid="{00000000-0006-0000-0C00-000001000000}">
      <text>
        <r>
          <rPr>
            <b/>
            <sz val="9"/>
            <rFont val="Tahoma"/>
            <family val="2"/>
          </rPr>
          <t>controller:</t>
        </r>
        <r>
          <rPr>
            <sz val="9"/>
            <rFont val="Tahoma"/>
            <family val="2"/>
          </rPr>
          <t xml:space="preserve">
פחת בגין מבנה חדש ל 20 שנה
</t>
        </r>
      </text>
    </comment>
    <comment ref="G25" authorId="0" shapeId="0" xr:uid="{00000000-0006-0000-0C00-000002000000}">
      <text>
        <r>
          <rPr>
            <b/>
            <sz val="9"/>
            <rFont val="Tahoma"/>
            <family val="2"/>
          </rPr>
          <t>controller:</t>
        </r>
        <r>
          <rPr>
            <sz val="9"/>
            <rFont val="Tahoma"/>
            <family val="2"/>
          </rPr>
          <t xml:space="preserve">
תוספת פחת בגין השקעות שהופעלו השנה הוחלט למשך חצי שנה לאחר מכן למשך 30 שנה מיליארד שח, 
בגין המימון להשקעות עד תום תקופת ההרצה 64 מליון ל 30 שנה</t>
        </r>
      </text>
    </comment>
    <comment ref="B43" authorId="0" shapeId="0" xr:uid="{00000000-0006-0000-0C00-000003000000}">
      <text>
        <r>
          <rPr>
            <b/>
            <sz val="9"/>
            <rFont val="Tahoma"/>
            <family val="2"/>
          </rPr>
          <t>controller:</t>
        </r>
        <r>
          <rPr>
            <sz val="9"/>
            <rFont val="Tahoma"/>
            <family val="2"/>
          </rPr>
          <t xml:space="preserve">
בעקבות יתרות מזומנים בבנק של 145 מיליון ₪ </t>
        </r>
      </text>
    </comment>
    <comment ref="B61" authorId="0" shapeId="0" xr:uid="{00000000-0006-0000-0C00-000004000000}">
      <text>
        <r>
          <rPr>
            <b/>
            <sz val="8"/>
            <rFont val="Tahoma"/>
            <family val="2"/>
          </rPr>
          <t>controller:</t>
        </r>
        <r>
          <rPr>
            <sz val="8"/>
            <rFont val="Tahoma"/>
            <family val="2"/>
          </rPr>
          <t xml:space="preserve">
לפי יתרות בנקאיות לסוף 2010 היתרה הינה בסך 94 מיליון ש"ח</t>
        </r>
      </text>
    </comment>
    <comment ref="D61" authorId="0" shapeId="0" xr:uid="{00000000-0006-0000-0C00-000005000000}">
      <text>
        <r>
          <rPr>
            <b/>
            <sz val="9"/>
            <rFont val="Tahoma"/>
            <family val="2"/>
          </rPr>
          <t>controller:</t>
        </r>
        <r>
          <rPr>
            <sz val="9"/>
            <rFont val="Tahoma"/>
            <family val="2"/>
          </rPr>
          <t xml:space="preserve">
יתרה בנקאית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Ishay Triger</author>
    <author>Eran Ben-David</author>
  </authors>
  <commentList>
    <comment ref="B2" authorId="0" shapeId="0" xr:uid="{00000000-0006-0000-1000-000001000000}">
      <text>
        <r>
          <rPr>
            <b/>
            <sz val="9"/>
            <rFont val="Tahoma"/>
            <family val="2"/>
          </rPr>
          <t>Ishay Triger:</t>
        </r>
        <r>
          <rPr>
            <sz val="9"/>
            <rFont val="Tahoma"/>
            <family val="2"/>
          </rPr>
          <t xml:space="preserve">
יש לבחור האם לבצע מיחזור להלוואה של בנק פועלים או לא לבצע מיחזור</t>
        </r>
      </text>
    </comment>
    <comment ref="B51" authorId="1" shapeId="0" xr:uid="{00000000-0006-0000-1000-000002000000}">
      <text>
        <r>
          <rPr>
            <b/>
            <sz val="9"/>
            <rFont val="Tahoma"/>
            <family val="2"/>
          </rPr>
          <t>Eran Ben-David:</t>
        </r>
        <r>
          <rPr>
            <sz val="9"/>
            <rFont val="Tahoma"/>
            <family val="2"/>
          </rPr>
          <t xml:space="preserve">
0 - ללא מיסים
1 - עם מיסים</t>
        </r>
      </text>
    </comment>
  </commentList>
</comments>
</file>

<file path=xl/sharedStrings.xml><?xml version="1.0" encoding="utf-8"?>
<sst xmlns="http://schemas.openxmlformats.org/spreadsheetml/2006/main" count="354" uniqueCount="273">
  <si>
    <t>הצעה לתעריף מעודכן</t>
  </si>
  <si>
    <t>תוספת בגין השקעות חדשות</t>
  </si>
  <si>
    <t>עלויות תפעול מתקן חדש</t>
  </si>
  <si>
    <t>תעריף שפד"ן נוכחי</t>
  </si>
  <si>
    <t>סה"כ</t>
  </si>
  <si>
    <t>תוספת תעריפית בגין שפד"ן שלב ג'</t>
  </si>
  <si>
    <t>מתקן UF</t>
  </si>
  <si>
    <t>סינון חול</t>
  </si>
  <si>
    <t>שפד"ן ג'</t>
  </si>
  <si>
    <t>תעריף תפעול:</t>
  </si>
  <si>
    <t>הפרש- חיסכון</t>
  </si>
  <si>
    <t>מימון כולל דחיה</t>
  </si>
  <si>
    <t>מימון ללא דחייה</t>
  </si>
  <si>
    <t>חיסכון במימון</t>
  </si>
  <si>
    <t>הפרש</t>
  </si>
  <si>
    <t>סה"כ הלוואות לאחר דחיה</t>
  </si>
  <si>
    <t>סה"כ הלוואות ללא דחיה</t>
  </si>
  <si>
    <t>חסכון מצטבר במימון</t>
  </si>
  <si>
    <t>חיסכון שנתי במימון בעקבות חסכון המס</t>
  </si>
  <si>
    <t>עבור 2011 לא נדרש הלוואות</t>
  </si>
  <si>
    <t>הפרש מס מצטבר</t>
  </si>
  <si>
    <t>הפרשי המס</t>
  </si>
  <si>
    <t>מס לתשלום לפי תקציב עם דחיית הכנסות</t>
  </si>
  <si>
    <t>מס לתשלום לפי תקציב אגודה מעודכן</t>
  </si>
  <si>
    <t>שנה</t>
  </si>
  <si>
    <t xml:space="preserve">תעריף של רמת גן כמו כלל החברות </t>
  </si>
  <si>
    <t>כמויות שפכים לצורך חישוב הבוצה לא כולל ראשון לציון</t>
  </si>
  <si>
    <t>כמויות שפכים רשויות נלוות</t>
  </si>
  <si>
    <t>תעריף לטיפול בבוצה לא כולל מע"מ</t>
  </si>
  <si>
    <t>כמויות שפכים של תאגידים כולל רמת גן</t>
  </si>
  <si>
    <t>תעריף טיהור לתאגידים ללא מע"מ</t>
  </si>
  <si>
    <t>שנים</t>
  </si>
  <si>
    <t>ריבית זכות</t>
  </si>
  <si>
    <t>ריבית חובה</t>
  </si>
  <si>
    <t>יתרת הלוואות</t>
  </si>
  <si>
    <t xml:space="preserve"> הכנסות מימון 3%:</t>
  </si>
  <si>
    <t>סה"כ כולל הכנסות מימון:</t>
  </si>
  <si>
    <t>החזרים קבועים במשך 18 שנה</t>
  </si>
  <si>
    <t>פרעון קרן וריבית (שפיצר) בשנת 2017</t>
  </si>
  <si>
    <t>פרעון ריבית בשנת 2015</t>
  </si>
  <si>
    <t>פרעון ריבית בשנת 2014</t>
  </si>
  <si>
    <t>פרעון ריבית בשנת 2013</t>
  </si>
  <si>
    <t>פרעון ריבית בשנת 2012</t>
  </si>
  <si>
    <t>פרעון ריבית בשנת 2011</t>
  </si>
  <si>
    <t>פרעון הלוואות:</t>
  </si>
  <si>
    <t>קבלת הלוואות (שפיצר 20 שנה)</t>
  </si>
  <si>
    <t>הפרש שנתי:</t>
  </si>
  <si>
    <t>סה"כ השקעות:</t>
  </si>
  <si>
    <t>פחת</t>
  </si>
  <si>
    <t xml:space="preserve">השקעות בוצה </t>
  </si>
  <si>
    <t xml:space="preserve">השקעות אגודה </t>
  </si>
  <si>
    <t>השקעות</t>
  </si>
  <si>
    <t>מס לתשלום ( לצורך הגדלת הלוואה)</t>
  </si>
  <si>
    <t>שיעור המס:</t>
  </si>
  <si>
    <t>הכנסות לצורך חישוב מס:</t>
  </si>
  <si>
    <t>הפחתת מסים נדחים:</t>
  </si>
  <si>
    <t>עודף/גרעון :</t>
  </si>
  <si>
    <t>הלוואה משנת 2017</t>
  </si>
  <si>
    <t>הלוואה משנת 2015</t>
  </si>
  <si>
    <t>הלוואה משנת 2014</t>
  </si>
  <si>
    <t>הלוואה משנת 2013</t>
  </si>
  <si>
    <t>הלוואה משנת 2012</t>
  </si>
  <si>
    <t>הלוואה משנת 2011</t>
  </si>
  <si>
    <t>הוצאות מימון:</t>
  </si>
  <si>
    <t>הוצאות אן וירו לצרכי מס</t>
  </si>
  <si>
    <t>פחת לצרכי מס הכנסה:</t>
  </si>
  <si>
    <t>עודף/גרעון תפעולי:</t>
  </si>
  <si>
    <t>סה"כ הוצאות שוטפות אגודה</t>
  </si>
  <si>
    <t>תפעול מתקן UF</t>
  </si>
  <si>
    <t>תפעול סינון חול</t>
  </si>
  <si>
    <t>תפעול שפד"ן ג'</t>
  </si>
  <si>
    <t>סה"כ תפעול בוצה</t>
  </si>
  <si>
    <t xml:space="preserve">סה"כ תפעול וכלליות אגודה </t>
  </si>
  <si>
    <t>הוצאות תפעול</t>
  </si>
  <si>
    <t>סה"כ הכנסות:</t>
  </si>
  <si>
    <t>מכירת בניין</t>
  </si>
  <si>
    <t>הכנסות מ.מבקרים</t>
  </si>
  <si>
    <t>הכנסות י.ת.ד</t>
  </si>
  <si>
    <t>הכנסות משכירות</t>
  </si>
  <si>
    <t>הכנסות אחרות</t>
  </si>
  <si>
    <t>הכנסות ממכירת מי קולחין</t>
  </si>
  <si>
    <t>הכנסות מטיפול בבוצה</t>
  </si>
  <si>
    <t>הכנסות מרשויות הנלוות</t>
  </si>
  <si>
    <t>הכנסות מתאגידים</t>
  </si>
  <si>
    <t>הכנסות</t>
  </si>
  <si>
    <t>תקציב רב שנתי לאגודה</t>
  </si>
  <si>
    <t>איגוד</t>
  </si>
  <si>
    <t>אגודה</t>
  </si>
  <si>
    <t>סה"כ הכנסות</t>
  </si>
  <si>
    <t>תעריף למ"ק</t>
  </si>
  <si>
    <t>כמות צריכת מים אחרת</t>
  </si>
  <si>
    <t>כמויות צריכת מים למגורים</t>
  </si>
  <si>
    <t>רמת גן</t>
  </si>
  <si>
    <t>כמויות שפכים של תאגידים</t>
  </si>
  <si>
    <t>תעריפים ללא מע"מ</t>
  </si>
  <si>
    <t>פרעון קרן וריבית (שפיצר) בשנת 2027</t>
  </si>
  <si>
    <t>פרעון קרן וריבית (שפיצר) בשנת 2024</t>
  </si>
  <si>
    <t>פרעון קרן וריבית (שפיצר) בשנת 2022</t>
  </si>
  <si>
    <t>פרעון קרן וריבית (שפיצר) בשנת 2021</t>
  </si>
  <si>
    <t>פרעון קרן וריבית (שפיצר) בשנת 2020</t>
  </si>
  <si>
    <t>פרעון קרן וריבית (שפיצר) בשנת 2019</t>
  </si>
  <si>
    <t>פרעון קרן וריבית (שפיצר) בשנת 2018</t>
  </si>
  <si>
    <t>פרעון הלוואות בשנת 2017 (בלון למשך 5 שנים ולאחר מכן שפיצר 15 שנה)</t>
  </si>
  <si>
    <t>פרעון הלוואות בשנת 2016 (בלון למשך 5 שנים ולאחר מכן שפיצר 15 שנה)</t>
  </si>
  <si>
    <t>פרעון הלוואות בשנת 2015 (בלון למשך 5 שנים ולאחר מכן שפיצר 15 שנה)</t>
  </si>
  <si>
    <t>פרעון הלוואות בשנת 2014 (בלון למשך 5 שנים ולאחר מכן שפיצר 15 שנה)</t>
  </si>
  <si>
    <t>פרעון הלוואות בשנת 2013 (בלון למשך 5 שנים ולאחר מכן שפיצר 15 שנה)</t>
  </si>
  <si>
    <t>פרעון הלוואות בשנת 2012 (בלון למשך 5 שנים ולאחר מכן שפיצר 15 שנה)</t>
  </si>
  <si>
    <t>פרעון הלוואות בשנת 2011 (בלון למשך 5 שנים ולאחר מכן שפיצר 15 שנה)</t>
  </si>
  <si>
    <t>פרעון הלוואות בשנת 2010 (בלון למשך 5 שנים ולאחר מכן שפיצר 15 שנה)</t>
  </si>
  <si>
    <t>הלוואת בנק פועלים מ 2012</t>
  </si>
  <si>
    <t>הלוואת בנק פועלים מ 2011</t>
  </si>
  <si>
    <t>הלוואת בנק פועלים מ 2010</t>
  </si>
  <si>
    <t>הלוואת בנק פועלים מ 2008</t>
  </si>
  <si>
    <t>הלוואות בנק דקסיה</t>
  </si>
  <si>
    <t>פרעון הלוואות משנת 2008 (בלון למשך 5 שנים ולאחר מכן שפיצר 15 שנה)</t>
  </si>
  <si>
    <t xml:space="preserve">קבלת הלוואות </t>
  </si>
  <si>
    <t>דחיית פרויקטים-תזרימית</t>
  </si>
  <si>
    <t xml:space="preserve">השקעות איגוד </t>
  </si>
  <si>
    <t>הפרדת תיעול ביוב רשויות- שלב ב'</t>
  </si>
  <si>
    <t>סה"כ תפעול וכלליות איגוד</t>
  </si>
  <si>
    <t>הוצאות</t>
  </si>
  <si>
    <t>תביעה יצוגית</t>
  </si>
  <si>
    <t>הכנסות מרכבת ב2010</t>
  </si>
  <si>
    <t>תקציב רב שנתי לאיגוד</t>
  </si>
  <si>
    <t>מימון באמצעות שפד"ן</t>
  </si>
  <si>
    <t>בנק</t>
  </si>
  <si>
    <t>קדם מימון</t>
  </si>
  <si>
    <t>יתרת הלוואה</t>
  </si>
  <si>
    <t>יתרה בסוף שנה</t>
  </si>
  <si>
    <t>ריבית</t>
  </si>
  <si>
    <t>החזר הלוואה</t>
  </si>
  <si>
    <t>גיוס הלוואה</t>
  </si>
  <si>
    <t>תזרים עצמי</t>
  </si>
  <si>
    <t>השקעה</t>
  </si>
  <si>
    <t>תעריף</t>
  </si>
  <si>
    <t>EBITDA חוב</t>
  </si>
  <si>
    <t>כמות</t>
  </si>
  <si>
    <t>ADSCR</t>
  </si>
  <si>
    <t>X-</t>
  </si>
  <si>
    <t>פריסת הקמה</t>
  </si>
  <si>
    <t>גידול כמויות</t>
  </si>
  <si>
    <t>החזר שנת בסיס</t>
  </si>
  <si>
    <t>שנות החזר</t>
  </si>
  <si>
    <t>עלות הקמה</t>
  </si>
  <si>
    <t>החזר הלוואה ראשון - תמיד לאחר סיום ההשקעה</t>
  </si>
  <si>
    <t>שנת הפעלה</t>
  </si>
  <si>
    <t>מימון שפד"ן</t>
  </si>
  <si>
    <t>יחס תזרים להחזר הלוואה</t>
  </si>
  <si>
    <t>קובץ פינקלשטיין</t>
  </si>
  <si>
    <t>גידול שנתי</t>
  </si>
  <si>
    <t>תשלומים שנתיים</t>
  </si>
  <si>
    <t>בנק מינימלי</t>
  </si>
  <si>
    <t>קובץ שפד"ן</t>
  </si>
  <si>
    <t>כמות בסיס</t>
  </si>
  <si>
    <t>ניתוח רגישות לתעריף</t>
  </si>
  <si>
    <t>מקור</t>
  </si>
  <si>
    <t>חצי</t>
  </si>
  <si>
    <t>לא</t>
  </si>
  <si>
    <t>כן</t>
  </si>
  <si>
    <t>כולל הפחתת תעריף</t>
  </si>
  <si>
    <t>כולל מתקן UF</t>
  </si>
  <si>
    <t>כולל מתקן סינון חול</t>
  </si>
  <si>
    <t>חדש</t>
  </si>
  <si>
    <t>ישן</t>
  </si>
  <si>
    <t>ריבית כוללת</t>
  </si>
  <si>
    <t>מרווח</t>
  </si>
  <si>
    <t>ריבית בסיס</t>
  </si>
  <si>
    <t>אג"ח</t>
  </si>
  <si>
    <t>בנה"פ</t>
  </si>
  <si>
    <t>ריבית בסיס משתמעת</t>
  </si>
  <si>
    <t>ממשל צמודה 0536</t>
  </si>
  <si>
    <t>מח"מ החוב</t>
  </si>
  <si>
    <t>גליל 5904</t>
  </si>
  <si>
    <t>תשואה</t>
  </si>
  <si>
    <t>מח"מ</t>
  </si>
  <si>
    <t>D2</t>
  </si>
  <si>
    <t>D1</t>
  </si>
  <si>
    <t>חישוב מח"מ בנה"פ</t>
  </si>
  <si>
    <t>חישוב מח"מ אג"ח</t>
  </si>
  <si>
    <t>מ"ק לשנה</t>
  </si>
  <si>
    <t>הפחתת כמויות בגין נזילות ופטורים</t>
  </si>
  <si>
    <t>תקופה הלוואה ב'</t>
  </si>
  <si>
    <t>תקופה הלוואה א'</t>
  </si>
  <si>
    <t>יתרת סגירה</t>
  </si>
  <si>
    <t>פירעון קרן</t>
  </si>
  <si>
    <t>ריבית משולמת</t>
  </si>
  <si>
    <t xml:space="preserve">ריבית מחושבת </t>
  </si>
  <si>
    <t>משיכה</t>
  </si>
  <si>
    <t>יתרת פתיחה</t>
  </si>
  <si>
    <t>הלוואה = דקסיה</t>
  </si>
  <si>
    <t>לוח סילוקין</t>
  </si>
  <si>
    <t>הלוואה = לאומי</t>
  </si>
  <si>
    <t>הלוואה = אג"ח</t>
  </si>
  <si>
    <t>צמוד</t>
  </si>
  <si>
    <t>פריים</t>
  </si>
  <si>
    <t>הלוואה = בנה"פ</t>
  </si>
  <si>
    <t>מקסימום</t>
  </si>
  <si>
    <t>חוב נטו / EBITDA</t>
  </si>
  <si>
    <t>מינימום</t>
  </si>
  <si>
    <t>ממוצע</t>
  </si>
  <si>
    <t>מקסימום חוב</t>
  </si>
  <si>
    <t>נוכחי</t>
  </si>
  <si>
    <t>תוצאות המודל:</t>
  </si>
  <si>
    <t>Max</t>
  </si>
  <si>
    <t>יחס חוב ל- EBITDA</t>
  </si>
  <si>
    <t>תזרים שוטף</t>
  </si>
  <si>
    <t>חוב פיננסי נטו</t>
  </si>
  <si>
    <t>יחס כיסוי לשירות חוב</t>
  </si>
  <si>
    <t>תשלומי קרן + ריבית</t>
  </si>
  <si>
    <t>תזרים פנוי לשירות החוב ללא מזומן בתוספת הלוואות ובנטרול השקעות</t>
  </si>
  <si>
    <t>תזרים פנוי לשירות החוב ללא מזומן</t>
  </si>
  <si>
    <t>התרעה במידה ושלילי</t>
  </si>
  <si>
    <t>יתרת מזומנים לגמר התקופה</t>
  </si>
  <si>
    <t>יתרת מזומנים לתחילת התקופה</t>
  </si>
  <si>
    <t>גידול (קיטון) במזומנים</t>
  </si>
  <si>
    <t>תזרים מזומנים מפעילות מימון</t>
  </si>
  <si>
    <t>החזר הלוואה בגין מימון מחדש הלוואת דקסיה</t>
  </si>
  <si>
    <t>החזר הלוואה בגין הלוואות קיימות (איגוד 2012)</t>
  </si>
  <si>
    <t>החזר הלוואה בגין הלוואות קיימות (איגוד 2011)</t>
  </si>
  <si>
    <t>החזר הלוואה בגין הלוואות קיימות (איגוד 2010)</t>
  </si>
  <si>
    <t>מחזור הלוואות קיימות</t>
  </si>
  <si>
    <t>הלוואות שנתקבלו- פועלים</t>
  </si>
  <si>
    <t>הלוואות שנתקבלו- דקסיה</t>
  </si>
  <si>
    <t>הלוואות שיתקבלו- חדשה</t>
  </si>
  <si>
    <t>תזרים מזומנים מפעילות השקעה</t>
  </si>
  <si>
    <t>השקעות אגודה</t>
  </si>
  <si>
    <t>השקעות איגוד</t>
  </si>
  <si>
    <t>תזרים מזומנים מפעילות שוטפת</t>
  </si>
  <si>
    <t>התאמה לריבית בגין הלוואה חדשה</t>
  </si>
  <si>
    <t>רווח נקי</t>
  </si>
  <si>
    <t>דוחות כספיים מאוחדים- תזרים מזומנים (אלש"ח)</t>
  </si>
  <si>
    <t>הוצאות מסים</t>
  </si>
  <si>
    <t>רווח לאחר הוצאות מימון</t>
  </si>
  <si>
    <t>הוצאות מימון בגין הלוואה חדשה (מודבק)</t>
  </si>
  <si>
    <t>הוצאות מימון בגין מימון מחדש הלוואת דקסיה</t>
  </si>
  <si>
    <t>הוצאות מימון בגין הלוואות קיימות (איגוד 2012)</t>
  </si>
  <si>
    <t>הוצאות מימון בגין הלוואות קיימות (איגוד 2011)</t>
  </si>
  <si>
    <t>הוצאות מימון בגין הלוואות קיימות (איגוד 2010)</t>
  </si>
  <si>
    <t>הוצאות מימון בגין הלוואות קיימות (איגוד 2008)</t>
  </si>
  <si>
    <t>רווח תפעולי</t>
  </si>
  <si>
    <t>הוצאות פחת (אגודה בלבד)</t>
  </si>
  <si>
    <t xml:space="preserve">הוצאות אגודה (ללא פחת) </t>
  </si>
  <si>
    <t>הוצאות איגוד (ללא פחת)</t>
  </si>
  <si>
    <t>הכנסות אגודה</t>
  </si>
  <si>
    <t>הכנסות איגוד</t>
  </si>
  <si>
    <t>דוחות כספיים מאוחדים- דוח רווח והפסד (אלש"ח)</t>
  </si>
  <si>
    <t>מינימום מזומן</t>
  </si>
  <si>
    <t>סה"כ חוב</t>
  </si>
  <si>
    <t>הלוואה</t>
  </si>
  <si>
    <t>ריבית קבועה</t>
  </si>
  <si>
    <t>גיוס חוב חדש - מאוחד</t>
  </si>
  <si>
    <t>קרן</t>
  </si>
  <si>
    <t>יתרת סגירה 2036</t>
  </si>
  <si>
    <t>יתרת סגירה 2030</t>
  </si>
  <si>
    <t>Av. ADSCR</t>
  </si>
  <si>
    <t>גרייס (שנים)</t>
  </si>
  <si>
    <t xml:space="preserve">ריבית </t>
  </si>
  <si>
    <t>תקופת תשלום קרן (שנים)</t>
  </si>
  <si>
    <t>שנת בסיס</t>
  </si>
  <si>
    <t>ריבית ללא הלוואה חדשה</t>
  </si>
  <si>
    <t>סה"כ צרכי מימון</t>
  </si>
  <si>
    <t>יתרת מזומנים מינימאלית</t>
  </si>
  <si>
    <t>השקעה נדרשת אגודה</t>
  </si>
  <si>
    <t>השקעה נדרשת איגוד</t>
  </si>
  <si>
    <t>הוצאות ריבית</t>
  </si>
  <si>
    <t>פירעון הלוואה</t>
  </si>
  <si>
    <t>מחזור חוב</t>
  </si>
  <si>
    <t>תזרים מפעילות שוטפת</t>
  </si>
  <si>
    <t>מזומנים- יתרת פתיחה</t>
  </si>
  <si>
    <t>ניתוח צרכי השקעה מאוחדים (אלש"ח)</t>
  </si>
  <si>
    <t>מחזור חוב?</t>
  </si>
  <si>
    <t>דוחות כספיים- איגודן (אלש"ח)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</si>
</sst>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₪&quot;\ #,##0.00;[Red]&quot;₪&quot;\ \-#,##0.00"/>
    <numFmt numFmtId="43" formatCode="_ * #,##0.00_ ;_ * \-#,##0.00_ ;_ * &quot;-&quot;??_ ;_ @_ "/>
    <numFmt numFmtId="164" formatCode="_(* #,##0.00_);_(* \(#,##0.00\);_(* &quot;-&quot;??_);_(@_)"/>
    <numFmt numFmtId="165" formatCode="0.000"/>
    <numFmt numFmtId="166" formatCode="#,##0_ ;[Red]\-#,##0\ "/>
    <numFmt numFmtId="167" formatCode="#,##0.000"/>
    <numFmt numFmtId="168" formatCode="0.0%"/>
    <numFmt numFmtId="169" formatCode="_(* #,##0_);_(* \(#,##0\);_(* &quot;-&quot;??_);_(@_)"/>
    <numFmt numFmtId="170" formatCode="_ * #,##0_ ;_ * \-#,##0_ ;_ * &quot;-&quot;??_ ;_ @_ "/>
    <numFmt numFmtId="171" formatCode="_(* #,##0_);_(* \(#,##0\);_(* &quot;-&quot;_);_(@_)"/>
    <numFmt numFmtId="172" formatCode="#,##0;\(#,##0\)"/>
    <numFmt numFmtId="173" formatCode="0.000%"/>
  </numFmts>
  <fonts count="29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u val="singleAccounting"/>
      <sz val="10"/>
      <name val="Arial"/>
      <family val="2"/>
    </font>
    <font>
      <b/>
      <sz val="10"/>
      <name val="Arial"/>
      <family val="2"/>
    </font>
    <font>
      <u val="single"/>
      <sz val="10"/>
      <name val="Arial"/>
      <family val="2"/>
    </font>
    <font>
      <b/>
      <sz val="11"/>
      <name val="Arial"/>
      <family val="2"/>
    </font>
    <font>
      <b/>
      <u val="single"/>
      <sz val="10"/>
      <name val="Arial"/>
      <family val="2"/>
    </font>
    <font>
      <b/>
      <sz val="11"/>
      <color indexed="18"/>
      <name val="Arial"/>
      <family val="2"/>
    </font>
    <font>
      <b/>
      <u val="single"/>
      <sz val="12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u val="single"/>
      <sz val="10"/>
      <color indexed="49"/>
      <name val="Arial"/>
      <family val="2"/>
    </font>
    <font>
      <b/>
      <sz val="11"/>
      <color theme="1"/>
      <name val="Arial"/>
      <family val="2"/>
      <scheme val="minor"/>
    </font>
    <font>
      <b/>
      <u val="single"/>
      <sz val="11"/>
      <color theme="1"/>
      <name val="Arial"/>
      <family val="2"/>
      <scheme val="minor"/>
    </font>
    <font>
      <sz val="12"/>
      <name val="David"/>
      <family val="2"/>
      <charset val="177"/>
    </font>
    <font>
      <sz val="12"/>
      <color theme="0"/>
      <name val="David"/>
      <family val="2"/>
      <charset val="177"/>
    </font>
    <font>
      <b/>
      <u val="single"/>
      <sz val="12"/>
      <name val="David"/>
      <family val="2"/>
      <charset val="177"/>
    </font>
    <font>
      <b/>
      <sz val="12"/>
      <name val="David"/>
      <family val="2"/>
      <charset val="177"/>
    </font>
    <font>
      <sz val="12"/>
      <color rgb="FFFF0000"/>
      <name val="David"/>
      <family val="2"/>
      <charset val="177"/>
    </font>
    <font>
      <b/>
      <sz val="12"/>
      <color theme="0"/>
      <name val="David"/>
      <family val="2"/>
      <charset val="177"/>
    </font>
    <font>
      <b/>
      <u val="single"/>
      <sz val="12"/>
      <color theme="0"/>
      <name val="David"/>
      <family val="2"/>
      <charset val="177"/>
    </font>
    <font>
      <b/>
      <sz val="12"/>
      <color rgb="FFFF0000"/>
      <name val="David"/>
      <family val="2"/>
      <charset val="177"/>
    </font>
    <font>
      <b/>
      <i/>
      <sz val="12"/>
      <color rgb="FFFF0000"/>
      <name val="David"/>
      <family val="2"/>
      <charset val="177"/>
    </font>
    <font>
      <sz val="12"/>
      <color theme="0" tint="-0.24997"/>
      <name val="David"/>
      <family val="2"/>
      <charset val="177"/>
    </font>
    <font>
      <b/>
      <i/>
      <u val="single"/>
      <sz val="12"/>
      <name val="David"/>
      <family val="2"/>
      <charset val="177"/>
    </font>
    <font>
      <i/>
      <sz val="11"/>
      <name val="David"/>
      <family val="2"/>
      <charset val="177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3" tint="0.3999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"/>
        <bgColor indexed="64"/>
      </patternFill>
    </fill>
    <fill>
      <patternFill patternType="solid">
        <fgColor theme="0" tint="-0.24997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"/>
        <bgColor indexed="64"/>
      </patternFill>
    </fill>
    <fill>
      <patternFill patternType="solid">
        <fgColor theme="3" tint="-0.49997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0" tint="-0.0499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7"/>
        <bgColor indexed="64"/>
      </patternFill>
    </fill>
  </fills>
  <borders count="65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/>
    </border>
    <border>
      <left style="medium">
        <color auto="1"/>
      </left>
      <right/>
      <top/>
      <bottom/>
    </border>
    <border>
      <left/>
      <right style="medium">
        <color auto="1"/>
      </right>
      <top style="medium">
        <color auto="1"/>
      </top>
      <bottom/>
    </border>
    <border>
      <left/>
      <right/>
      <top style="medium">
        <color auto="1"/>
      </top>
      <bottom/>
    </border>
    <border>
      <left style="medium">
        <color auto="1"/>
      </left>
      <right/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/>
      <bottom style="thin">
        <color auto="1"/>
      </bottom>
    </border>
    <border>
      <left/>
      <right/>
      <top/>
      <bottom style="thin">
        <color auto="1"/>
      </bottom>
    </border>
    <border>
      <left style="medium">
        <color auto="1"/>
      </left>
      <right/>
      <top/>
      <bottom style="thin">
        <color auto="1"/>
      </bottom>
    </border>
    <border>
      <left/>
      <right/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/>
      <bottom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 style="thin">
        <color auto="1"/>
      </right>
      <top style="thin">
        <color auto="1"/>
      </top>
      <bottom style="medium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thin">
        <color auto="1"/>
      </left>
      <right/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/>
      <right style="thin">
        <color auto="1"/>
      </right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 style="thin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/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medium">
        <color auto="1"/>
      </right>
      <top style="thin">
        <color auto="1"/>
      </top>
      <bottom/>
    </border>
    <border>
      <left style="medium">
        <color auto="1"/>
      </left>
      <right style="medium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/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/>
      <right/>
      <top/>
      <bottom style="double">
        <color auto="1"/>
      </bottom>
    </border>
    <border>
      <left style="thin">
        <color auto="1"/>
      </left>
      <right/>
      <top/>
      <bottom/>
    </border>
    <border>
      <left style="thin">
        <color auto="1"/>
      </left>
      <right/>
      <top style="thin">
        <color auto="1"/>
      </top>
      <bottom/>
    </border>
    <border>
      <left/>
      <right/>
      <top style="double">
        <color auto="1"/>
      </top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  <border>
      <left style="thin">
        <color auto="1"/>
      </left>
      <right/>
      <top style="thin">
        <color auto="1"/>
      </top>
      <bottom style="double">
        <color auto="1"/>
      </bottom>
    </border>
    <border>
      <left/>
      <right/>
      <top style="double">
        <color auto="1"/>
      </top>
      <bottom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354">
    <xf numFmtId="0" fontId="0" fillId="0" borderId="0" xfId="0"/>
    <xf numFmtId="43" fontId="0" fillId="0" borderId="0" xfId="0" applyNumberFormat="1"/>
    <xf numFmtId="164" fontId="0" fillId="0" borderId="0" xfId="0" applyNumberFormat="1"/>
    <xf numFmtId="43" fontId="0" fillId="0" borderId="0" xfId="18" applyFont="1"/>
    <xf numFmtId="0" fontId="2" fillId="0" borderId="0" xfId="0" applyFont="1"/>
    <xf numFmtId="43" fontId="3" fillId="0" borderId="0" xfId="18" applyFont="1"/>
    <xf numFmtId="165" fontId="0" fillId="0" borderId="0" xfId="0" applyNumberFormat="1"/>
    <xf numFmtId="9" fontId="0" fillId="0" borderId="0" xfId="0" applyNumberForma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2" borderId="0" xfId="0" applyFont="1" applyFill="1"/>
    <xf numFmtId="0" fontId="4" fillId="2" borderId="4" xfId="0" applyFont="1" applyFill="1" applyBorder="1"/>
    <xf numFmtId="166" fontId="4" fillId="2" borderId="0" xfId="0" applyNumberFormat="1" applyFont="1" applyFill="1"/>
    <xf numFmtId="0" fontId="4" fillId="2" borderId="5" xfId="0" applyFont="1" applyFill="1" applyBorder="1"/>
    <xf numFmtId="166" fontId="0" fillId="0" borderId="4" xfId="0" applyNumberFormat="1" applyBorder="1"/>
    <xf numFmtId="166" fontId="0" fillId="0" borderId="0" xfId="0" applyNumberFormat="1"/>
    <xf numFmtId="166" fontId="5" fillId="0" borderId="0" xfId="0" applyNumberFormat="1" applyFont="1"/>
    <xf numFmtId="0" fontId="2" fillId="0" borderId="5" xfId="0" applyFont="1" applyBorder="1"/>
    <xf numFmtId="0" fontId="0" fillId="0" borderId="4" xfId="0" applyBorder="1"/>
    <xf numFmtId="0" fontId="0" fillId="0" borderId="5" xfId="0" applyBorder="1"/>
    <xf numFmtId="3" fontId="0" fillId="0" borderId="0" xfId="0" applyNumberFormat="1"/>
    <xf numFmtId="3" fontId="5" fillId="0" borderId="0" xfId="0" applyNumberFormat="1" applyFont="1"/>
    <xf numFmtId="3" fontId="6" fillId="0" borderId="0" xfId="0" applyNumberFormat="1" applyFont="1"/>
    <xf numFmtId="10" fontId="6" fillId="3" borderId="5" xfId="0" applyNumberFormat="1" applyFont="1" applyFill="1" applyBorder="1"/>
    <xf numFmtId="0" fontId="0" fillId="3" borderId="0" xfId="0" applyFill="1"/>
    <xf numFmtId="3" fontId="6" fillId="3" borderId="4" xfId="0" applyNumberFormat="1" applyFont="1" applyFill="1" applyBorder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0" fillId="3" borderId="5" xfId="0" applyFill="1" applyBorder="1"/>
    <xf numFmtId="3" fontId="6" fillId="4" borderId="0" xfId="0" applyNumberFormat="1" applyFont="1" applyFill="1" applyAlignment="1">
      <alignment horizontal="center"/>
    </xf>
    <xf numFmtId="0" fontId="6" fillId="4" borderId="5" xfId="0" applyFont="1" applyFill="1" applyBorder="1"/>
    <xf numFmtId="0" fontId="6" fillId="3" borderId="5" xfId="0" applyFont="1" applyFill="1" applyBorder="1"/>
    <xf numFmtId="43" fontId="0" fillId="0" borderId="0" xfId="18" applyFont="1" applyBorder="1"/>
    <xf numFmtId="0" fontId="7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167" fontId="4" fillId="5" borderId="9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3" fontId="0" fillId="6" borderId="10" xfId="0" applyNumberFormat="1" applyFill="1" applyBorder="1" applyAlignment="1">
      <alignment horizontal="center"/>
    </xf>
    <xf numFmtId="3" fontId="0" fillId="6" borderId="11" xfId="0" applyNumberFormat="1" applyFill="1" applyBorder="1" applyAlignment="1">
      <alignment horizontal="center"/>
    </xf>
    <xf numFmtId="0" fontId="0" fillId="0" borderId="11" xfId="0" applyBorder="1"/>
    <xf numFmtId="3" fontId="0" fillId="6" borderId="12" xfId="0" applyNumberFormat="1" applyFill="1" applyBorder="1" applyAlignment="1">
      <alignment horizontal="center"/>
    </xf>
    <xf numFmtId="3" fontId="0" fillId="6" borderId="13" xfId="0" applyNumberFormat="1" applyFill="1" applyBorder="1" applyAlignment="1">
      <alignment horizontal="center"/>
    </xf>
    <xf numFmtId="3" fontId="0" fillId="6" borderId="14" xfId="0" applyNumberFormat="1" applyFill="1" applyBorder="1" applyAlignment="1">
      <alignment horizontal="center"/>
    </xf>
    <xf numFmtId="0" fontId="0" fillId="0" borderId="14" xfId="0" applyBorder="1"/>
    <xf numFmtId="167" fontId="0" fillId="6" borderId="12" xfId="0" applyNumberFormat="1" applyFill="1" applyBorder="1" applyAlignment="1">
      <alignment horizontal="center"/>
    </xf>
    <xf numFmtId="167" fontId="0" fillId="6" borderId="13" xfId="0" applyNumberFormat="1" applyFill="1" applyBorder="1" applyAlignment="1">
      <alignment horizontal="center"/>
    </xf>
    <xf numFmtId="167" fontId="0" fillId="6" borderId="14" xfId="0" applyNumberFormat="1" applyFill="1" applyBorder="1" applyAlignment="1">
      <alignment horizontal="center"/>
    </xf>
    <xf numFmtId="167" fontId="2" fillId="6" borderId="13" xfId="0" applyNumberFormat="1" applyFont="1" applyFill="1" applyBorder="1" applyAlignment="1">
      <alignment horizontal="center"/>
    </xf>
    <xf numFmtId="167" fontId="2" fillId="6" borderId="12" xfId="0" applyNumberFormat="1" applyFont="1" applyFill="1" applyBorder="1" applyAlignment="1">
      <alignment horizontal="center"/>
    </xf>
    <xf numFmtId="2" fontId="0" fillId="6" borderId="12" xfId="0" applyNumberFormat="1" applyFill="1" applyBorder="1" applyAlignment="1">
      <alignment horizontal="center"/>
    </xf>
    <xf numFmtId="0" fontId="2" fillId="0" borderId="14" xfId="0" applyFont="1" applyBorder="1"/>
    <xf numFmtId="165" fontId="0" fillId="6" borderId="15" xfId="0" applyNumberFormat="1" applyFill="1" applyBorder="1" applyAlignment="1">
      <alignment horizontal="center"/>
    </xf>
    <xf numFmtId="165" fontId="0" fillId="6" borderId="16" xfId="0" applyNumberFormat="1" applyFill="1" applyBorder="1" applyAlignment="1">
      <alignment horizontal="center"/>
    </xf>
    <xf numFmtId="165" fontId="0" fillId="6" borderId="17" xfId="0" applyNumberFormat="1" applyFill="1" applyBorder="1" applyAlignment="1">
      <alignment horizontal="center"/>
    </xf>
    <xf numFmtId="0" fontId="2" fillId="0" borderId="17" xfId="0" applyFont="1" applyBorder="1"/>
    <xf numFmtId="0" fontId="4" fillId="7" borderId="9" xfId="0" applyFont="1" applyFill="1" applyBorder="1" applyAlignment="1">
      <alignment horizontal="center"/>
    </xf>
    <xf numFmtId="0" fontId="4" fillId="7" borderId="18" xfId="0" applyFont="1" applyFill="1" applyBorder="1" applyAlignment="1">
      <alignment horizontal="center"/>
    </xf>
    <xf numFmtId="0" fontId="4" fillId="7" borderId="19" xfId="0" applyFont="1" applyFill="1" applyBorder="1" applyAlignment="1">
      <alignment horizontal="center"/>
    </xf>
    <xf numFmtId="0" fontId="4" fillId="7" borderId="19" xfId="0" applyFont="1" applyFill="1" applyBorder="1"/>
    <xf numFmtId="43" fontId="6" fillId="0" borderId="0" xfId="18" applyFont="1" applyFill="1" applyAlignment="1">
      <alignment horizontal="center" readingOrder="2"/>
    </xf>
    <xf numFmtId="0" fontId="6" fillId="0" borderId="0" xfId="0" applyFont="1"/>
    <xf numFmtId="168" fontId="6" fillId="0" borderId="1" xfId="15" applyNumberFormat="1" applyFont="1" applyFill="1" applyBorder="1" applyAlignment="1">
      <alignment horizontal="center"/>
    </xf>
    <xf numFmtId="0" fontId="0" fillId="8" borderId="1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168" fontId="6" fillId="0" borderId="20" xfId="15" applyNumberFormat="1" applyFont="1" applyFill="1" applyBorder="1" applyAlignment="1">
      <alignment horizontal="center"/>
    </xf>
    <xf numFmtId="0" fontId="0" fillId="8" borderId="20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3" fontId="6" fillId="0" borderId="0" xfId="0" applyNumberFormat="1" applyFont="1" applyAlignment="1">
      <alignment horizontal="center"/>
    </xf>
    <xf numFmtId="3" fontId="6" fillId="9" borderId="0" xfId="0" applyNumberFormat="1" applyFont="1" applyFill="1" applyAlignment="1">
      <alignment horizontal="center"/>
    </xf>
    <xf numFmtId="0" fontId="0" fillId="9" borderId="0" xfId="0" applyFill="1"/>
    <xf numFmtId="0" fontId="4" fillId="9" borderId="7" xfId="0" applyFont="1" applyFill="1" applyBorder="1"/>
    <xf numFmtId="3" fontId="6" fillId="0" borderId="1" xfId="0" applyNumberFormat="1" applyFont="1" applyBorder="1" applyAlignment="1">
      <alignment horizontal="center"/>
    </xf>
    <xf numFmtId="0" fontId="6" fillId="0" borderId="21" xfId="0" applyFont="1" applyBorder="1"/>
    <xf numFmtId="3" fontId="6" fillId="0" borderId="22" xfId="0" applyNumberFormat="1" applyFont="1" applyBorder="1" applyAlignment="1">
      <alignment horizontal="center"/>
    </xf>
    <xf numFmtId="3" fontId="6" fillId="10" borderId="22" xfId="0" applyNumberFormat="1" applyFont="1" applyFill="1" applyBorder="1" applyAlignment="1">
      <alignment horizontal="center"/>
    </xf>
    <xf numFmtId="3" fontId="6" fillId="0" borderId="23" xfId="0" applyNumberFormat="1" applyFont="1" applyBorder="1" applyAlignment="1">
      <alignment horizontal="center"/>
    </xf>
    <xf numFmtId="0" fontId="6" fillId="0" borderId="22" xfId="0" applyFont="1" applyBorder="1"/>
    <xf numFmtId="166" fontId="6" fillId="11" borderId="24" xfId="0" applyNumberFormat="1" applyFont="1" applyFill="1" applyBorder="1" applyAlignment="1">
      <alignment horizontal="center"/>
    </xf>
    <xf numFmtId="3" fontId="6" fillId="0" borderId="24" xfId="0" applyNumberFormat="1" applyFont="1" applyBorder="1" applyAlignment="1">
      <alignment horizontal="center"/>
    </xf>
    <xf numFmtId="0" fontId="6" fillId="0" borderId="24" xfId="0" applyFont="1" applyBorder="1"/>
    <xf numFmtId="0" fontId="6" fillId="0" borderId="25" xfId="0" applyFont="1" applyBorder="1"/>
    <xf numFmtId="166" fontId="6" fillId="11" borderId="25" xfId="0" applyNumberFormat="1" applyFont="1" applyFill="1" applyBorder="1" applyAlignment="1">
      <alignment horizontal="center"/>
    </xf>
    <xf numFmtId="3" fontId="6" fillId="0" borderId="25" xfId="0" applyNumberFormat="1" applyFont="1" applyBorder="1" applyAlignment="1">
      <alignment horizontal="center"/>
    </xf>
    <xf numFmtId="0" fontId="0" fillId="0" borderId="25" xfId="0" applyBorder="1"/>
    <xf numFmtId="3" fontId="6" fillId="0" borderId="25" xfId="0" applyNumberFormat="1" applyFont="1" applyBorder="1"/>
    <xf numFmtId="0" fontId="8" fillId="0" borderId="25" xfId="0" applyFont="1" applyBorder="1"/>
    <xf numFmtId="166" fontId="6" fillId="9" borderId="9" xfId="0" applyNumberFormat="1" applyFont="1" applyFill="1" applyBorder="1" applyAlignment="1">
      <alignment horizontal="center"/>
    </xf>
    <xf numFmtId="0" fontId="6" fillId="0" borderId="9" xfId="0" applyFont="1" applyBorder="1"/>
    <xf numFmtId="0" fontId="6" fillId="0" borderId="5" xfId="0" applyFont="1" applyBorder="1"/>
    <xf numFmtId="3" fontId="6" fillId="6" borderId="9" xfId="0" applyNumberFormat="1" applyFont="1" applyFill="1" applyBorder="1" applyAlignment="1">
      <alignment horizontal="center"/>
    </xf>
    <xf numFmtId="0" fontId="6" fillId="6" borderId="19" xfId="0" applyFont="1" applyFill="1" applyBorder="1"/>
    <xf numFmtId="3" fontId="0" fillId="0" borderId="4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4" fillId="7" borderId="20" xfId="0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26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21" xfId="0" applyNumberFormat="1" applyFont="1" applyBorder="1" applyAlignment="1">
      <alignment horizontal="center"/>
    </xf>
    <xf numFmtId="0" fontId="4" fillId="0" borderId="5" xfId="0" applyFont="1" applyBorder="1"/>
    <xf numFmtId="3" fontId="4" fillId="0" borderId="26" xfId="0" applyNumberFormat="1" applyFont="1" applyBorder="1" applyAlignment="1">
      <alignment horizontal="center"/>
    </xf>
    <xf numFmtId="9" fontId="2" fillId="0" borderId="26" xfId="15" applyFont="1" applyFill="1" applyBorder="1" applyAlignment="1">
      <alignment horizontal="center"/>
    </xf>
    <xf numFmtId="9" fontId="2" fillId="0" borderId="0" xfId="15" applyFont="1" applyFill="1" applyBorder="1" applyAlignment="1">
      <alignment horizontal="center"/>
    </xf>
    <xf numFmtId="3" fontId="4" fillId="6" borderId="9" xfId="0" applyNumberFormat="1" applyFont="1" applyFill="1" applyBorder="1" applyAlignment="1">
      <alignment horizontal="center"/>
    </xf>
    <xf numFmtId="3" fontId="4" fillId="6" borderId="19" xfId="0" applyNumberFormat="1" applyFont="1" applyFill="1" applyBorder="1" applyAlignment="1">
      <alignment horizontal="center"/>
    </xf>
    <xf numFmtId="3" fontId="4" fillId="6" borderId="18" xfId="0" applyNumberFormat="1" applyFont="1" applyFill="1" applyBorder="1" applyAlignment="1">
      <alignment horizontal="center"/>
    </xf>
    <xf numFmtId="3" fontId="4" fillId="6" borderId="20" xfId="0" applyNumberFormat="1" applyFont="1" applyFill="1" applyBorder="1" applyAlignment="1">
      <alignment horizontal="center"/>
    </xf>
    <xf numFmtId="0" fontId="4" fillId="6" borderId="19" xfId="0" applyFont="1" applyFill="1" applyBorder="1"/>
    <xf numFmtId="3" fontId="4" fillId="0" borderId="4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6" borderId="9" xfId="0" applyFont="1" applyFill="1" applyBorder="1"/>
    <xf numFmtId="3" fontId="0" fillId="2" borderId="0" xfId="0" applyNumberFormat="1" applyFill="1" applyAlignment="1">
      <alignment horizontal="center"/>
    </xf>
    <xf numFmtId="0" fontId="2" fillId="10" borderId="5" xfId="0" applyFont="1" applyFill="1" applyBorder="1"/>
    <xf numFmtId="3" fontId="6" fillId="6" borderId="18" xfId="0" applyNumberFormat="1" applyFont="1" applyFill="1" applyBorder="1" applyAlignment="1">
      <alignment horizontal="center"/>
    </xf>
    <xf numFmtId="3" fontId="6" fillId="6" borderId="19" xfId="0" applyNumberFormat="1" applyFont="1" applyFill="1" applyBorder="1" applyAlignment="1">
      <alignment horizontal="center"/>
    </xf>
    <xf numFmtId="0" fontId="0" fillId="0" borderId="26" xfId="0" applyBorder="1"/>
    <xf numFmtId="168" fontId="0" fillId="0" borderId="26" xfId="15" applyNumberFormat="1" applyFont="1" applyBorder="1" applyAlignment="1">
      <alignment horizontal="center"/>
    </xf>
    <xf numFmtId="0" fontId="0" fillId="10" borderId="5" xfId="0" applyFill="1" applyBorder="1"/>
    <xf numFmtId="3" fontId="0" fillId="2" borderId="26" xfId="0" applyNumberFormat="1" applyFill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9" fillId="0" borderId="0" xfId="0" applyFont="1"/>
    <xf numFmtId="0" fontId="0" fillId="0" borderId="16" xfId="0" applyBorder="1"/>
    <xf numFmtId="165" fontId="0" fillId="0" borderId="16" xfId="0" applyNumberFormat="1" applyBorder="1"/>
    <xf numFmtId="169" fontId="0" fillId="0" borderId="0" xfId="18" applyNumberFormat="1" applyFont="1"/>
    <xf numFmtId="0" fontId="4" fillId="0" borderId="0" xfId="0" applyFont="1" applyAlignment="1">
      <alignment horizontal="center"/>
    </xf>
    <xf numFmtId="3" fontId="0" fillId="6" borderId="27" xfId="0" applyNumberFormat="1" applyFill="1" applyBorder="1" applyAlignment="1">
      <alignment horizontal="center"/>
    </xf>
    <xf numFmtId="3" fontId="0" fillId="6" borderId="28" xfId="0" applyNumberFormat="1" applyFill="1" applyBorder="1" applyAlignment="1">
      <alignment horizontal="center"/>
    </xf>
    <xf numFmtId="3" fontId="0" fillId="6" borderId="29" xfId="0" applyNumberFormat="1" applyFill="1" applyBorder="1" applyAlignment="1">
      <alignment horizontal="center"/>
    </xf>
    <xf numFmtId="3" fontId="0" fillId="6" borderId="30" xfId="0" applyNumberFormat="1" applyFill="1" applyBorder="1" applyAlignment="1">
      <alignment horizontal="center"/>
    </xf>
    <xf numFmtId="3" fontId="0" fillId="6" borderId="31" xfId="0" applyNumberFormat="1" applyFill="1" applyBorder="1" applyAlignment="1">
      <alignment horizontal="center"/>
    </xf>
    <xf numFmtId="0" fontId="4" fillId="0" borderId="3" xfId="0" applyFont="1" applyBorder="1"/>
    <xf numFmtId="165" fontId="2" fillId="6" borderId="32" xfId="0" applyNumberFormat="1" applyFont="1" applyFill="1" applyBorder="1" applyAlignment="1">
      <alignment horizontal="center"/>
    </xf>
    <xf numFmtId="165" fontId="2" fillId="6" borderId="25" xfId="0" applyNumberFormat="1" applyFont="1" applyFill="1" applyBorder="1" applyAlignment="1">
      <alignment horizontal="center"/>
    </xf>
    <xf numFmtId="165" fontId="2" fillId="6" borderId="33" xfId="0" applyNumberFormat="1" applyFont="1" applyFill="1" applyBorder="1" applyAlignment="1">
      <alignment horizontal="center"/>
    </xf>
    <xf numFmtId="165" fontId="2" fillId="6" borderId="12" xfId="0" applyNumberFormat="1" applyFont="1" applyFill="1" applyBorder="1" applyAlignment="1">
      <alignment horizontal="center"/>
    </xf>
    <xf numFmtId="165" fontId="2" fillId="6" borderId="13" xfId="0" applyNumberFormat="1" applyFont="1" applyFill="1" applyBorder="1" applyAlignment="1">
      <alignment horizontal="center"/>
    </xf>
    <xf numFmtId="165" fontId="2" fillId="6" borderId="34" xfId="0" applyNumberFormat="1" applyFont="1" applyFill="1" applyBorder="1" applyAlignment="1">
      <alignment horizontal="center"/>
    </xf>
    <xf numFmtId="3" fontId="0" fillId="6" borderId="32" xfId="0" applyNumberFormat="1" applyFill="1" applyBorder="1" applyAlignment="1">
      <alignment horizontal="center"/>
    </xf>
    <xf numFmtId="3" fontId="0" fillId="6" borderId="25" xfId="0" applyNumberFormat="1" applyFill="1" applyBorder="1" applyAlignment="1">
      <alignment horizontal="center"/>
    </xf>
    <xf numFmtId="3" fontId="0" fillId="6" borderId="33" xfId="0" applyNumberFormat="1" applyFill="1" applyBorder="1" applyAlignment="1">
      <alignment horizontal="center"/>
    </xf>
    <xf numFmtId="3" fontId="0" fillId="6" borderId="34" xfId="0" applyNumberFormat="1" applyFill="1" applyBorder="1" applyAlignment="1">
      <alignment horizontal="center"/>
    </xf>
    <xf numFmtId="3" fontId="0" fillId="6" borderId="35" xfId="0" applyNumberFormat="1" applyFill="1" applyBorder="1" applyAlignment="1">
      <alignment horizontal="center"/>
    </xf>
    <xf numFmtId="3" fontId="0" fillId="6" borderId="36" xfId="0" applyNumberFormat="1" applyFill="1" applyBorder="1" applyAlignment="1">
      <alignment horizontal="center"/>
    </xf>
    <xf numFmtId="3" fontId="0" fillId="6" borderId="37" xfId="0" applyNumberFormat="1" applyFill="1" applyBorder="1" applyAlignment="1">
      <alignment horizontal="center"/>
    </xf>
    <xf numFmtId="3" fontId="0" fillId="6" borderId="22" xfId="0" applyNumberFormat="1" applyFill="1" applyBorder="1" applyAlignment="1">
      <alignment horizontal="center"/>
    </xf>
    <xf numFmtId="3" fontId="0" fillId="6" borderId="38" xfId="0" applyNumberFormat="1" applyFill="1" applyBorder="1" applyAlignment="1">
      <alignment horizontal="center"/>
    </xf>
    <xf numFmtId="3" fontId="0" fillId="6" borderId="39" xfId="0" applyNumberFormat="1" applyFill="1" applyBorder="1" applyAlignment="1">
      <alignment horizontal="center"/>
    </xf>
    <xf numFmtId="0" fontId="4" fillId="0" borderId="8" xfId="0" applyFont="1" applyBorder="1"/>
    <xf numFmtId="2" fontId="0" fillId="0" borderId="0" xfId="0" applyNumberFormat="1"/>
    <xf numFmtId="0" fontId="14" fillId="0" borderId="9" xfId="0" applyFont="1" applyBorder="1"/>
    <xf numFmtId="3" fontId="0" fillId="6" borderId="0" xfId="0" applyNumberFormat="1" applyFill="1" applyAlignment="1">
      <alignment horizontal="center"/>
    </xf>
    <xf numFmtId="0" fontId="2" fillId="0" borderId="40" xfId="0" applyFont="1" applyBorder="1"/>
    <xf numFmtId="165" fontId="0" fillId="6" borderId="0" xfId="0" applyNumberFormat="1" applyFill="1" applyAlignment="1">
      <alignment horizontal="center"/>
    </xf>
    <xf numFmtId="165" fontId="0" fillId="6" borderId="41" xfId="0" applyNumberFormat="1" applyFill="1" applyBorder="1" applyAlignment="1">
      <alignment horizontal="center"/>
    </xf>
    <xf numFmtId="165" fontId="0" fillId="6" borderId="42" xfId="0" applyNumberFormat="1" applyFill="1" applyBorder="1" applyAlignment="1">
      <alignment horizontal="center"/>
    </xf>
    <xf numFmtId="165" fontId="0" fillId="6" borderId="43" xfId="0" applyNumberFormat="1" applyFill="1" applyBorder="1" applyAlignment="1">
      <alignment horizontal="center"/>
    </xf>
    <xf numFmtId="165" fontId="0" fillId="6" borderId="44" xfId="0" applyNumberFormat="1" applyFill="1" applyBorder="1" applyAlignment="1">
      <alignment horizontal="center"/>
    </xf>
    <xf numFmtId="165" fontId="2" fillId="6" borderId="42" xfId="0" applyNumberFormat="1" applyFont="1" applyFill="1" applyBorder="1" applyAlignment="1">
      <alignment horizontal="center"/>
    </xf>
    <xf numFmtId="0" fontId="0" fillId="0" borderId="45" xfId="0" applyBorder="1"/>
    <xf numFmtId="0" fontId="4" fillId="7" borderId="0" xfId="0" applyFont="1" applyFill="1" applyAlignment="1">
      <alignment horizontal="center"/>
    </xf>
    <xf numFmtId="0" fontId="4" fillId="7" borderId="46" xfId="0" applyFont="1" applyFill="1" applyBorder="1" applyAlignment="1">
      <alignment horizontal="center"/>
    </xf>
    <xf numFmtId="0" fontId="4" fillId="7" borderId="47" xfId="0" applyFont="1" applyFill="1" applyBorder="1" applyAlignment="1">
      <alignment horizontal="center"/>
    </xf>
    <xf numFmtId="0" fontId="4" fillId="7" borderId="48" xfId="0" applyFont="1" applyFill="1" applyBorder="1" applyAlignment="1">
      <alignment horizontal="center"/>
    </xf>
    <xf numFmtId="0" fontId="4" fillId="7" borderId="49" xfId="0" applyFont="1" applyFill="1" applyBorder="1"/>
    <xf numFmtId="166" fontId="4" fillId="0" borderId="0" xfId="0" applyNumberFormat="1" applyFont="1"/>
    <xf numFmtId="166" fontId="6" fillId="0" borderId="0" xfId="0" applyNumberFormat="1" applyFont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6" fillId="0" borderId="21" xfId="0" applyNumberFormat="1" applyFont="1" applyBorder="1" applyAlignment="1">
      <alignment horizontal="center"/>
    </xf>
    <xf numFmtId="3" fontId="6" fillId="0" borderId="50" xfId="0" applyNumberFormat="1" applyFont="1" applyBorder="1" applyAlignment="1">
      <alignment horizontal="center"/>
    </xf>
    <xf numFmtId="3" fontId="6" fillId="0" borderId="20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3" fontId="6" fillId="0" borderId="18" xfId="0" applyNumberFormat="1" applyFont="1" applyBorder="1" applyAlignment="1">
      <alignment horizontal="center"/>
    </xf>
    <xf numFmtId="3" fontId="6" fillId="12" borderId="9" xfId="0" applyNumberFormat="1" applyFont="1" applyFill="1" applyBorder="1" applyAlignment="1">
      <alignment horizontal="center"/>
    </xf>
    <xf numFmtId="166" fontId="6" fillId="11" borderId="51" xfId="0" applyNumberFormat="1" applyFont="1" applyFill="1" applyBorder="1" applyAlignment="1">
      <alignment horizontal="center"/>
    </xf>
    <xf numFmtId="166" fontId="6" fillId="11" borderId="52" xfId="0" applyNumberFormat="1" applyFont="1" applyFill="1" applyBorder="1" applyAlignment="1">
      <alignment horizontal="center"/>
    </xf>
    <xf numFmtId="166" fontId="6" fillId="11" borderId="53" xfId="0" applyNumberFormat="1" applyFont="1" applyFill="1" applyBorder="1" applyAlignment="1">
      <alignment horizontal="center"/>
    </xf>
    <xf numFmtId="166" fontId="6" fillId="11" borderId="54" xfId="0" applyNumberFormat="1" applyFont="1" applyFill="1" applyBorder="1" applyAlignment="1">
      <alignment horizontal="center"/>
    </xf>
    <xf numFmtId="3" fontId="6" fillId="0" borderId="54" xfId="0" applyNumberFormat="1" applyFont="1" applyBorder="1" applyAlignment="1">
      <alignment horizontal="center"/>
    </xf>
    <xf numFmtId="0" fontId="6" fillId="0" borderId="53" xfId="0" applyFont="1" applyBorder="1"/>
    <xf numFmtId="166" fontId="6" fillId="11" borderId="33" xfId="0" applyNumberFormat="1" applyFont="1" applyFill="1" applyBorder="1" applyAlignment="1">
      <alignment horizontal="center"/>
    </xf>
    <xf numFmtId="166" fontId="6" fillId="11" borderId="55" xfId="0" applyNumberFormat="1" applyFont="1" applyFill="1" applyBorder="1" applyAlignment="1">
      <alignment horizontal="center"/>
    </xf>
    <xf numFmtId="166" fontId="6" fillId="11" borderId="12" xfId="0" applyNumberFormat="1" applyFont="1" applyFill="1" applyBorder="1" applyAlignment="1">
      <alignment horizontal="center"/>
    </xf>
    <xf numFmtId="166" fontId="6" fillId="11" borderId="13" xfId="0" applyNumberFormat="1" applyFont="1" applyFill="1" applyBorder="1" applyAlignment="1">
      <alignment horizontal="center"/>
    </xf>
    <xf numFmtId="3" fontId="6" fillId="0" borderId="13" xfId="0" applyNumberFormat="1" applyFont="1" applyBorder="1" applyAlignment="1">
      <alignment horizontal="center"/>
    </xf>
    <xf numFmtId="0" fontId="6" fillId="0" borderId="12" xfId="0" applyFont="1" applyBorder="1"/>
    <xf numFmtId="166" fontId="6" fillId="13" borderId="12" xfId="0" applyNumberFormat="1" applyFont="1" applyFill="1" applyBorder="1" applyAlignment="1">
      <alignment horizontal="center"/>
    </xf>
    <xf numFmtId="166" fontId="6" fillId="7" borderId="12" xfId="0" applyNumberFormat="1" applyFont="1" applyFill="1" applyBorder="1" applyAlignment="1">
      <alignment horizontal="center"/>
    </xf>
    <xf numFmtId="3" fontId="6" fillId="0" borderId="12" xfId="0" applyNumberFormat="1" applyFont="1" applyBorder="1" applyAlignment="1">
      <alignment horizontal="center"/>
    </xf>
    <xf numFmtId="0" fontId="8" fillId="0" borderId="12" xfId="0" applyFont="1" applyBorder="1"/>
    <xf numFmtId="3" fontId="6" fillId="0" borderId="33" xfId="0" applyNumberFormat="1" applyFont="1" applyBorder="1"/>
    <xf numFmtId="3" fontId="6" fillId="0" borderId="55" xfId="0" applyNumberFormat="1" applyFont="1" applyBorder="1"/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56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6" fillId="0" borderId="15" xfId="0" applyNumberFormat="1" applyFont="1" applyBorder="1" applyAlignment="1">
      <alignment horizontal="center"/>
    </xf>
    <xf numFmtId="3" fontId="6" fillId="0" borderId="16" xfId="0" applyNumberFormat="1" applyFont="1" applyBorder="1" applyAlignment="1">
      <alignment horizontal="center"/>
    </xf>
    <xf numFmtId="0" fontId="8" fillId="0" borderId="15" xfId="0" applyFont="1" applyBorder="1"/>
    <xf numFmtId="3" fontId="6" fillId="0" borderId="20" xfId="0" applyNumberFormat="1" applyFont="1" applyBorder="1"/>
    <xf numFmtId="3" fontId="6" fillId="0" borderId="9" xfId="0" applyNumberFormat="1" applyFont="1" applyBorder="1"/>
    <xf numFmtId="3" fontId="6" fillId="0" borderId="18" xfId="0" applyNumberFormat="1" applyFont="1" applyBorder="1"/>
    <xf numFmtId="3" fontId="6" fillId="6" borderId="20" xfId="0" applyNumberFormat="1" applyFont="1" applyFill="1" applyBorder="1" applyAlignment="1">
      <alignment horizontal="center"/>
    </xf>
    <xf numFmtId="43" fontId="2" fillId="0" borderId="0" xfId="18" applyFont="1" applyAlignment="1">
      <alignment horizontal="center"/>
    </xf>
    <xf numFmtId="0" fontId="6" fillId="6" borderId="9" xfId="0" applyFont="1" applyFill="1" applyBorder="1"/>
    <xf numFmtId="0" fontId="0" fillId="0" borderId="21" xfId="0" applyBorder="1"/>
    <xf numFmtId="0" fontId="2" fillId="0" borderId="26" xfId="0" applyFont="1" applyBorder="1"/>
    <xf numFmtId="3" fontId="0" fillId="0" borderId="57" xfId="0" applyNumberFormat="1" applyBorder="1" applyAlignment="1">
      <alignment horizontal="center"/>
    </xf>
    <xf numFmtId="0" fontId="4" fillId="7" borderId="9" xfId="0" applyFont="1" applyFill="1" applyBorder="1"/>
    <xf numFmtId="170" fontId="0" fillId="0" borderId="0" xfId="0" applyNumberFormat="1"/>
    <xf numFmtId="170" fontId="0" fillId="0" borderId="0" xfId="18" applyNumberFormat="1" applyFont="1"/>
    <xf numFmtId="43" fontId="15" fillId="14" borderId="0" xfId="18" applyFont="1" applyFill="1"/>
    <xf numFmtId="0" fontId="15" fillId="14" borderId="0" xfId="0" applyFont="1" applyFill="1"/>
    <xf numFmtId="0" fontId="0" fillId="2" borderId="25" xfId="0" applyFill="1" applyBorder="1"/>
    <xf numFmtId="0" fontId="16" fillId="0" borderId="0" xfId="0" applyFont="1"/>
    <xf numFmtId="10" fontId="0" fillId="2" borderId="25" xfId="0" applyNumberFormat="1" applyFill="1" applyBorder="1"/>
    <xf numFmtId="9" fontId="0" fillId="2" borderId="25" xfId="0" applyNumberFormat="1" applyFill="1" applyBorder="1"/>
    <xf numFmtId="43" fontId="0" fillId="0" borderId="25" xfId="0" applyNumberFormat="1" applyBorder="1"/>
    <xf numFmtId="43" fontId="15" fillId="0" borderId="25" xfId="18" applyFont="1" applyBorder="1"/>
    <xf numFmtId="0" fontId="0" fillId="0" borderId="25" xfId="0" applyBorder="1" applyAlignment="1">
      <alignment horizontal="center" vertical="center" wrapText="1"/>
    </xf>
    <xf numFmtId="8" fontId="0" fillId="0" borderId="0" xfId="0" applyNumberFormat="1"/>
    <xf numFmtId="0" fontId="0" fillId="2" borderId="0" xfId="0" applyFill="1"/>
    <xf numFmtId="170" fontId="0" fillId="2" borderId="0" xfId="18" applyNumberFormat="1" applyFont="1" applyFill="1"/>
    <xf numFmtId="10" fontId="0" fillId="2" borderId="25" xfId="15" applyNumberFormat="1" applyFont="1" applyFill="1" applyBorder="1"/>
    <xf numFmtId="0" fontId="16" fillId="0" borderId="25" xfId="0" applyFont="1" applyBorder="1"/>
    <xf numFmtId="3" fontId="0" fillId="2" borderId="25" xfId="0" applyNumberFormat="1" applyFill="1" applyBorder="1"/>
    <xf numFmtId="0" fontId="0" fillId="0" borderId="25" xfId="0" applyBorder="1" applyAlignment="1">
      <alignment horizontal="center"/>
    </xf>
    <xf numFmtId="0" fontId="17" fillId="0" borderId="0" xfId="0" applyFont="1"/>
    <xf numFmtId="0" fontId="17" fillId="2" borderId="0" xfId="0" applyFont="1" applyFill="1"/>
    <xf numFmtId="0" fontId="18" fillId="0" borderId="0" xfId="0" applyFont="1"/>
    <xf numFmtId="9" fontId="4" fillId="15" borderId="9" xfId="15" applyFont="1" applyFill="1" applyBorder="1" applyAlignment="1">
      <alignment horizontal="center"/>
    </xf>
    <xf numFmtId="0" fontId="4" fillId="0" borderId="9" xfId="20" applyFont="1" applyBorder="1">
      <alignment/>
      <protection/>
    </xf>
    <xf numFmtId="3" fontId="17" fillId="0" borderId="0" xfId="0" applyNumberFormat="1" applyFont="1"/>
    <xf numFmtId="3" fontId="17" fillId="2" borderId="0" xfId="0" applyNumberFormat="1" applyFont="1" applyFill="1"/>
    <xf numFmtId="3" fontId="17" fillId="0" borderId="0" xfId="20" applyNumberFormat="1" applyFont="1">
      <alignment/>
      <protection/>
    </xf>
    <xf numFmtId="3" fontId="17" fillId="2" borderId="0" xfId="20" applyNumberFormat="1" applyFont="1" applyFill="1">
      <alignment/>
      <protection/>
    </xf>
    <xf numFmtId="10" fontId="17" fillId="0" borderId="0" xfId="0" applyNumberFormat="1" applyFont="1"/>
    <xf numFmtId="2" fontId="17" fillId="0" borderId="0" xfId="0" applyNumberFormat="1" applyFont="1"/>
    <xf numFmtId="14" fontId="17" fillId="0" borderId="0" xfId="0" applyNumberFormat="1" applyFont="1"/>
    <xf numFmtId="2" fontId="17" fillId="0" borderId="0" xfId="0" applyNumberFormat="1" applyFont="1" applyAlignment="1">
      <alignment horizontal="center"/>
    </xf>
    <xf numFmtId="0" fontId="19" fillId="0" borderId="0" xfId="0" applyFont="1"/>
    <xf numFmtId="171" fontId="17" fillId="0" borderId="0" xfId="0" applyNumberFormat="1" applyFont="1"/>
    <xf numFmtId="171" fontId="17" fillId="2" borderId="0" xfId="0" applyNumberFormat="1" applyFont="1" applyFill="1"/>
    <xf numFmtId="172" fontId="17" fillId="0" borderId="0" xfId="0" applyNumberFormat="1" applyFont="1"/>
    <xf numFmtId="172" fontId="17" fillId="2" borderId="0" xfId="0" applyNumberFormat="1" applyFont="1" applyFill="1"/>
    <xf numFmtId="0" fontId="20" fillId="0" borderId="0" xfId="0" applyFont="1"/>
    <xf numFmtId="3" fontId="20" fillId="2" borderId="0" xfId="0" applyNumberFormat="1" applyFont="1" applyFill="1"/>
    <xf numFmtId="3" fontId="20" fillId="0" borderId="0" xfId="0" applyNumberFormat="1" applyFont="1"/>
    <xf numFmtId="172" fontId="17" fillId="0" borderId="58" xfId="0" applyNumberFormat="1" applyFont="1" applyBorder="1"/>
    <xf numFmtId="172" fontId="17" fillId="2" borderId="58" xfId="0" applyNumberFormat="1" applyFont="1" applyFill="1" applyBorder="1"/>
    <xf numFmtId="3" fontId="17" fillId="0" borderId="58" xfId="0" applyNumberFormat="1" applyFont="1" applyBorder="1"/>
    <xf numFmtId="0" fontId="17" fillId="0" borderId="58" xfId="0" applyFont="1" applyBorder="1"/>
    <xf numFmtId="0" fontId="21" fillId="0" borderId="0" xfId="0" applyFont="1"/>
    <xf numFmtId="0" fontId="20" fillId="16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168" fontId="17" fillId="0" borderId="0" xfId="15" applyNumberFormat="1" applyFont="1"/>
    <xf numFmtId="168" fontId="17" fillId="2" borderId="0" xfId="15" applyNumberFormat="1" applyFont="1" applyFill="1"/>
    <xf numFmtId="2" fontId="17" fillId="0" borderId="16" xfId="0" applyNumberFormat="1" applyFont="1" applyBorder="1"/>
    <xf numFmtId="0" fontId="17" fillId="0" borderId="16" xfId="0" applyFont="1" applyBorder="1"/>
    <xf numFmtId="0" fontId="17" fillId="0" borderId="44" xfId="0" applyFont="1" applyBorder="1"/>
    <xf numFmtId="0" fontId="17" fillId="0" borderId="59" xfId="0" applyFont="1" applyBorder="1"/>
    <xf numFmtId="0" fontId="17" fillId="0" borderId="59" xfId="0" applyFont="1" applyBorder="1" applyAlignment="1">
      <alignment horizontal="right"/>
    </xf>
    <xf numFmtId="0" fontId="17" fillId="0" borderId="0" xfId="0" applyFont="1" applyAlignment="1">
      <alignment wrapText="1"/>
    </xf>
    <xf numFmtId="43" fontId="17" fillId="2" borderId="0" xfId="18" applyFont="1" applyFill="1" applyAlignment="1">
      <alignment wrapText="1"/>
    </xf>
    <xf numFmtId="0" fontId="22" fillId="0" borderId="0" xfId="0" applyFont="1" applyAlignment="1">
      <alignment horizontal="center" wrapText="1"/>
    </xf>
    <xf numFmtId="0" fontId="22" fillId="17" borderId="54" xfId="0" applyFont="1" applyFill="1" applyBorder="1" applyAlignment="1">
      <alignment horizontal="center" wrapText="1"/>
    </xf>
    <xf numFmtId="0" fontId="23" fillId="17" borderId="60" xfId="0" applyFont="1" applyFill="1" applyBorder="1" applyAlignment="1">
      <alignment horizontal="right" wrapText="1"/>
    </xf>
    <xf numFmtId="3" fontId="24" fillId="0" borderId="0" xfId="0" applyNumberFormat="1" applyFont="1" applyAlignment="1">
      <alignment horizontal="center"/>
    </xf>
    <xf numFmtId="2" fontId="20" fillId="13" borderId="0" xfId="0" applyNumberFormat="1" applyFont="1" applyFill="1"/>
    <xf numFmtId="2" fontId="20" fillId="2" borderId="0" xfId="0" applyNumberFormat="1" applyFont="1" applyFill="1"/>
    <xf numFmtId="2" fontId="20" fillId="18" borderId="42" xfId="0" applyNumberFormat="1" applyFont="1" applyFill="1" applyBorder="1" applyAlignment="1">
      <alignment horizontal="center" vertical="center"/>
    </xf>
    <xf numFmtId="0" fontId="20" fillId="18" borderId="44" xfId="0" applyFont="1" applyFill="1" applyBorder="1" applyAlignment="1">
      <alignment horizontal="center" vertical="center"/>
    </xf>
    <xf numFmtId="0" fontId="20" fillId="13" borderId="0" xfId="0" applyFont="1" applyFill="1" applyAlignment="1">
      <alignment horizontal="right"/>
    </xf>
    <xf numFmtId="2" fontId="17" fillId="13" borderId="0" xfId="0" applyNumberFormat="1" applyFont="1" applyFill="1"/>
    <xf numFmtId="2" fontId="17" fillId="2" borderId="0" xfId="0" applyNumberFormat="1" applyFont="1" applyFill="1"/>
    <xf numFmtId="0" fontId="17" fillId="13" borderId="0" xfId="0" applyFont="1" applyFill="1"/>
    <xf numFmtId="0" fontId="20" fillId="13" borderId="0" xfId="0" applyFont="1" applyFill="1"/>
    <xf numFmtId="2" fontId="20" fillId="0" borderId="0" xfId="0" applyNumberFormat="1" applyFont="1"/>
    <xf numFmtId="2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/>
    </xf>
    <xf numFmtId="0" fontId="25" fillId="19" borderId="0" xfId="0" applyFont="1" applyFill="1"/>
    <xf numFmtId="0" fontId="25" fillId="2" borderId="0" xfId="0" applyFont="1" applyFill="1"/>
    <xf numFmtId="172" fontId="20" fillId="0" borderId="0" xfId="0" applyNumberFormat="1" applyFont="1"/>
    <xf numFmtId="172" fontId="20" fillId="2" borderId="0" xfId="0" applyNumberFormat="1" applyFont="1" applyFill="1"/>
    <xf numFmtId="172" fontId="17" fillId="0" borderId="61" xfId="0" applyNumberFormat="1" applyFont="1" applyBorder="1"/>
    <xf numFmtId="172" fontId="17" fillId="2" borderId="61" xfId="0" applyNumberFormat="1" applyFont="1" applyFill="1" applyBorder="1"/>
    <xf numFmtId="172" fontId="20" fillId="0" borderId="62" xfId="0" applyNumberFormat="1" applyFont="1" applyBorder="1"/>
    <xf numFmtId="172" fontId="20" fillId="2" borderId="62" xfId="0" applyNumberFormat="1" applyFont="1" applyFill="1" applyBorder="1"/>
    <xf numFmtId="0" fontId="20" fillId="0" borderId="62" xfId="0" applyFont="1" applyBorder="1"/>
    <xf numFmtId="0" fontId="20" fillId="0" borderId="63" xfId="0" applyFont="1" applyBorder="1"/>
    <xf numFmtId="172" fontId="20" fillId="0" borderId="13" xfId="0" applyNumberFormat="1" applyFont="1" applyBorder="1"/>
    <xf numFmtId="172" fontId="20" fillId="2" borderId="13" xfId="0" applyNumberFormat="1" applyFont="1" applyFill="1" applyBorder="1"/>
    <xf numFmtId="0" fontId="20" fillId="0" borderId="13" xfId="0" applyFont="1" applyBorder="1"/>
    <xf numFmtId="0" fontId="20" fillId="0" borderId="34" xfId="0" applyFont="1" applyBorder="1" applyAlignment="1">
      <alignment horizontal="right" readingOrder="2"/>
    </xf>
    <xf numFmtId="171" fontId="17" fillId="0" borderId="0" xfId="0" applyNumberFormat="1" applyFont="1" applyAlignment="1">
      <alignment vertical="center"/>
    </xf>
    <xf numFmtId="171" fontId="17" fillId="2" borderId="0" xfId="0" applyNumberFormat="1" applyFont="1" applyFill="1" applyAlignment="1">
      <alignment vertical="center"/>
    </xf>
    <xf numFmtId="0" fontId="17" fillId="0" borderId="59" xfId="0" applyFont="1" applyBorder="1" applyAlignment="1">
      <alignment horizontal="right" readingOrder="2"/>
    </xf>
    <xf numFmtId="0" fontId="26" fillId="0" borderId="0" xfId="0" applyFont="1"/>
    <xf numFmtId="0" fontId="27" fillId="0" borderId="59" xfId="0" applyFont="1" applyBorder="1"/>
    <xf numFmtId="171" fontId="20" fillId="0" borderId="13" xfId="0" applyNumberFormat="1" applyFont="1" applyBorder="1"/>
    <xf numFmtId="171" fontId="20" fillId="2" borderId="13" xfId="0" applyNumberFormat="1" applyFont="1" applyFill="1" applyBorder="1"/>
    <xf numFmtId="0" fontId="22" fillId="20" borderId="0" xfId="0" applyFont="1" applyFill="1" applyAlignment="1">
      <alignment horizontal="center"/>
    </xf>
    <xf numFmtId="43" fontId="17" fillId="0" borderId="0" xfId="0" applyNumberFormat="1" applyFont="1"/>
    <xf numFmtId="171" fontId="20" fillId="0" borderId="61" xfId="0" applyNumberFormat="1" applyFont="1" applyBorder="1"/>
    <xf numFmtId="171" fontId="20" fillId="2" borderId="61" xfId="0" applyNumberFormat="1" applyFont="1" applyFill="1" applyBorder="1"/>
    <xf numFmtId="0" fontId="20" fillId="0" borderId="61" xfId="0" applyFont="1" applyBorder="1"/>
    <xf numFmtId="171" fontId="17" fillId="0" borderId="16" xfId="0" applyNumberFormat="1" applyFont="1" applyBorder="1"/>
    <xf numFmtId="0" fontId="17" fillId="21" borderId="16" xfId="0" applyFont="1" applyFill="1" applyBorder="1"/>
    <xf numFmtId="0" fontId="20" fillId="21" borderId="16" xfId="0" applyFont="1" applyFill="1" applyBorder="1"/>
    <xf numFmtId="171" fontId="17" fillId="0" borderId="16" xfId="0" applyNumberFormat="1" applyFont="1" applyBorder="1" applyAlignment="1">
      <alignment horizontal="center" vertical="center"/>
    </xf>
    <xf numFmtId="171" fontId="17" fillId="2" borderId="16" xfId="0" applyNumberFormat="1" applyFont="1" applyFill="1" applyBorder="1" applyAlignment="1">
      <alignment horizontal="center" vertical="center"/>
    </xf>
    <xf numFmtId="171" fontId="17" fillId="0" borderId="16" xfId="0" applyNumberFormat="1" applyFont="1" applyBorder="1" applyAlignment="1">
      <alignment vertical="center"/>
    </xf>
    <xf numFmtId="0" fontId="20" fillId="0" borderId="16" xfId="0" applyFont="1" applyBorder="1"/>
    <xf numFmtId="171" fontId="17" fillId="2" borderId="16" xfId="0" applyNumberFormat="1" applyFont="1" applyFill="1" applyBorder="1" applyAlignment="1">
      <alignment vertical="center"/>
    </xf>
    <xf numFmtId="0" fontId="17" fillId="0" borderId="54" xfId="0" applyFont="1" applyBorder="1"/>
    <xf numFmtId="0" fontId="20" fillId="0" borderId="54" xfId="0" applyFont="1" applyBorder="1"/>
    <xf numFmtId="173" fontId="17" fillId="0" borderId="0" xfId="0" applyNumberFormat="1" applyFont="1"/>
    <xf numFmtId="10" fontId="20" fillId="0" borderId="0" xfId="15" applyNumberFormat="1" applyFont="1" applyFill="1"/>
    <xf numFmtId="10" fontId="20" fillId="2" borderId="0" xfId="15" applyNumberFormat="1" applyFont="1" applyFill="1"/>
    <xf numFmtId="10" fontId="17" fillId="0" borderId="0" xfId="15" applyNumberFormat="1" applyFont="1"/>
    <xf numFmtId="10" fontId="17" fillId="2" borderId="0" xfId="15" applyNumberFormat="1" applyFont="1" applyFill="1"/>
    <xf numFmtId="43" fontId="17" fillId="0" borderId="0" xfId="18" applyFont="1"/>
    <xf numFmtId="3" fontId="24" fillId="22" borderId="0" xfId="0" applyNumberFormat="1" applyFont="1" applyFill="1"/>
    <xf numFmtId="0" fontId="24" fillId="22" borderId="0" xfId="0" applyFont="1" applyFill="1"/>
    <xf numFmtId="3" fontId="20" fillId="0" borderId="64" xfId="0" applyNumberFormat="1" applyFont="1" applyBorder="1"/>
    <xf numFmtId="3" fontId="20" fillId="2" borderId="64" xfId="0" applyNumberFormat="1" applyFont="1" applyFill="1" applyBorder="1"/>
    <xf numFmtId="0" fontId="20" fillId="0" borderId="64" xfId="0" applyFont="1" applyBorder="1"/>
    <xf numFmtId="3" fontId="28" fillId="0" borderId="0" xfId="0" applyNumberFormat="1" applyFont="1" applyAlignment="1">
      <alignment horizontal="center"/>
    </xf>
    <xf numFmtId="3" fontId="28" fillId="2" borderId="0" xfId="0" applyNumberFormat="1" applyFont="1" applyFill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right"/>
    </xf>
    <xf numFmtId="3" fontId="17" fillId="13" borderId="25" xfId="0" applyNumberFormat="1" applyFont="1" applyFill="1" applyBorder="1" applyAlignment="1">
      <alignment horizontal="center" vertical="center"/>
    </xf>
    <xf numFmtId="2" fontId="17" fillId="13" borderId="25" xfId="0" applyNumberFormat="1" applyFont="1" applyFill="1" applyBorder="1" applyAlignment="1">
      <alignment horizontal="center"/>
    </xf>
    <xf numFmtId="1" fontId="17" fillId="13" borderId="25" xfId="0" applyNumberFormat="1" applyFont="1" applyFill="1" applyBorder="1" applyAlignment="1">
      <alignment horizontal="center"/>
    </xf>
    <xf numFmtId="3" fontId="17" fillId="13" borderId="25" xfId="0" applyNumberFormat="1" applyFont="1" applyFill="1" applyBorder="1" applyAlignment="1">
      <alignment horizontal="center"/>
    </xf>
    <xf numFmtId="0" fontId="20" fillId="14" borderId="2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0" fillId="14" borderId="0" xfId="0" applyFont="1" applyFill="1" applyAlignment="1">
      <alignment horizontal="center" vertical="center"/>
    </xf>
    <xf numFmtId="0" fontId="20" fillId="14" borderId="25" xfId="0" applyFont="1" applyFill="1" applyBorder="1" applyAlignment="1">
      <alignment horizontal="center" vertical="center" wrapText="1"/>
    </xf>
    <xf numFmtId="2" fontId="21" fillId="0" borderId="0" xfId="0" applyNumberFormat="1" applyFont="1" applyAlignment="1">
      <alignment horizontal="center"/>
    </xf>
    <xf numFmtId="0" fontId="20" fillId="12" borderId="25" xfId="0" applyFont="1" applyFill="1" applyBorder="1" applyAlignment="1">
      <alignment horizontal="center"/>
    </xf>
    <xf numFmtId="169" fontId="17" fillId="0" borderId="0" xfId="18" applyNumberFormat="1" applyFont="1"/>
    <xf numFmtId="169" fontId="17" fillId="2" borderId="0" xfId="18" applyNumberFormat="1" applyFont="1" applyFill="1"/>
    <xf numFmtId="3" fontId="20" fillId="22" borderId="7" xfId="0" applyNumberFormat="1" applyFont="1" applyFill="1" applyBorder="1" applyAlignment="1">
      <alignment horizontal="center" vertical="center"/>
    </xf>
    <xf numFmtId="3" fontId="20" fillId="2" borderId="7" xfId="0" applyNumberFormat="1" applyFont="1" applyFill="1" applyBorder="1" applyAlignment="1">
      <alignment horizontal="center" vertical="center"/>
    </xf>
    <xf numFmtId="0" fontId="22" fillId="23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22" fillId="24" borderId="0" xfId="0" applyFont="1" applyFill="1" applyAlignment="1">
      <alignment horizont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14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8" Type="http://schemas.openxmlformats.org/officeDocument/2006/relationships/sharedStrings" Target="sharedStrings.xml" /><Relationship Id="rId4" Type="http://schemas.openxmlformats.org/officeDocument/2006/relationships/worksheet" Target="worksheets/sheet3.xml" /><Relationship Id="rId9" Type="http://schemas.openxmlformats.org/officeDocument/2006/relationships/externalLink" Target="externalLinks/externalLink1.xml" /><Relationship Id="rId6" Type="http://schemas.openxmlformats.org/officeDocument/2006/relationships/worksheet" Target="worksheets/sheet5.xml" /><Relationship Id="rId10" Type="http://schemas.openxmlformats.org/officeDocument/2006/relationships/externalLink" Target="externalLinks/externalLink2.xml" /><Relationship Id="rId12" Type="http://schemas.openxmlformats.org/officeDocument/2006/relationships/calcChain" Target="calcChain.xml" /><Relationship Id="rId11" Type="http://schemas.openxmlformats.org/officeDocument/2006/relationships/externalLink" Target="externalLinks/externalLink3.xml" /><Relationship Id="rId3" Type="http://schemas.openxmlformats.org/officeDocument/2006/relationships/worksheet" Target="worksheets/sheet2.xml" /><Relationship Id="rId7" Type="http://schemas.openxmlformats.org/officeDocument/2006/relationships/styles" Target="styles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&#1506;&#1493;&#1514;&#1511;%20&#1513;&#1500;%20&#1488;&#1497;&#1490;&#1493;&#1491;&#1503;%20-%20&#1502;&#1493;&#1491;&#1500;%20&#1512;&#1489;%20&#1513;&#1504;&#1514;&#1497;%20&#1502;&#1506;&#1493;&#1491;&#1499;&#1503;%20&#1500;&#1512;&#1513;&#1493;&#1514;%20&#1492;&#1502;&#1497;&#1501;%20&#1499;&#1493;&#1500;&#1500;%20&#1513;&#1508;&#1491;&#1503;%20&#1490;%20&#1493;&#1502;&#1514;&#1511;&#1503;%20&#1505;&#1497;&#1504;&#1493;&#1503;%20&#1495;&#1493;&#1500;%20%20.xlsm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Z:\Users\eran\AppData\Local\Microsoft\Windows\Temporary%20Internet%20Files\Content.Outlook\38L69SUU\Users\controller\AppData\Local\Microsoft\Windows\Temporary%20Internet%20Files\Content.Outlook\VN8HQRYM\&#1512;&#1497;&#1499;&#1493;&#1494;%20&#1504;&#1514;&#1493;&#1504;&#1497;&#1501;%20&#1500;&#1500;&#1497;&#1488;&#1493;&#1512;.xls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D:\&#1492;&#1502;&#1505;&#1502;&#1499;&#1497;&#1501;%20&#1513;&#1500;&#1497;\&#1506;&#1493;&#1514;&#1511;%20&#1513;&#1500;%20&#1514;&#1495;&#1513;&#1497;&#1489;%20&#1514;&#1506;&#1512;&#1497;&#1507;%20&#1500;&#1492;&#1510;&#1490;&#1492;%20&#1500;&#1510;&#1493;&#1493;&#1514;%20&#1499;&#1500;&#1499;&#1500;&#1497;%20&#1513;&#1500;%20&#1512;&#1513;&#1493;&#1514;%20&#1492;&#1502;&#1497;&#1501;%20-%20&#1500;&#1500;&#1488;%20&#1492;&#1512;&#1510;&#1500;&#1497;&#1492;%20&#1493;&#1512;&#1502;&#1514;%20&#1492;&#1513;&#1512;&#1493;&#1503;%20)4(.xlsm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אגודה הוצאות שוטפות  (רשויות)"/>
      <sheetName val="איגוד הוצ' שוטפות  (רשויות)"/>
      <sheetName val="תקציב איגוד (רשויות)"/>
      <sheetName val="תקציב אגודה (רשויות)"/>
      <sheetName val="השקעות איגוד"/>
      <sheetName val="השקעות אגודה"/>
      <sheetName val="השקעות איגוד (ישן)"/>
      <sheetName val="השקעות אגודה (ישן)"/>
      <sheetName val="אגודה הוצאות שוטפות "/>
      <sheetName val="איגוד הוצ' שוטפות "/>
      <sheetName val="חישוב מרכיב שוטף"/>
      <sheetName val="תקציב איגוד"/>
      <sheetName val="תקציב אגודה"/>
      <sheetName val="תקציב אגודה (2)"/>
      <sheetName val="תקציב מאוחד"/>
      <sheetName val="מאוחד- טיוטא"/>
      <sheetName val="מאוחד"/>
      <sheetName val="ניתוח שפדן השקעות קיימות"/>
      <sheetName val="הצעה לתעריף שפדן 2017"/>
      <sheetName val="תוספת תעריף בגין השקעות חדשות"/>
      <sheetName val="מקורות ושימושים מעודכן"/>
      <sheetName val="דוחות למצגת"/>
      <sheetName val="מקורות ושימושים"/>
      <sheetName val="מחזור הלוואת דקסיה"/>
      <sheetName val="הלוואת פועלים"/>
      <sheetName val="כמויות מול תעריפים"/>
      <sheetName val="לוח שפיצר אגודה"/>
      <sheetName val="לוח שפיצר איגוד"/>
      <sheetName val="לוח שפיצר מאוחד"/>
      <sheetName val="הכנסות מרשויות שבהסכם"/>
      <sheetName val="הכנסות נוספות"/>
      <sheetName val="כמויות מים"/>
      <sheetName val="יתרות בנקאיות"/>
      <sheetName val="תעריף בוצה בלבד"/>
      <sheetName val="תעריף טיהור והולכה"/>
      <sheetName val="תעריף תאגידים"/>
    </sheetNames>
    <sheetDataSet>
      <sheetData sheetId="0"/>
      <sheetData sheetId="1"/>
      <sheetData sheetId="2"/>
      <sheetData sheetId="3"/>
      <sheetData sheetId="4">
        <row r="28">
          <cell r="J28">
            <v>120657</v>
          </cell>
          <cell r="K28">
            <v>87602</v>
          </cell>
          <cell r="L28">
            <v>84981</v>
          </cell>
          <cell r="M28">
            <v>93513</v>
          </cell>
          <cell r="N28">
            <v>117392</v>
          </cell>
          <cell r="O28">
            <v>170312.5</v>
          </cell>
          <cell r="P28">
            <v>125497.5</v>
          </cell>
          <cell r="Q28">
            <v>17000</v>
          </cell>
          <cell r="R28">
            <v>17000</v>
          </cell>
          <cell r="S28">
            <v>2000</v>
          </cell>
          <cell r="T28">
            <v>2000</v>
          </cell>
          <cell r="U28">
            <v>2000</v>
          </cell>
          <cell r="V28">
            <v>2000</v>
          </cell>
          <cell r="W28">
            <v>2000</v>
          </cell>
          <cell r="X28">
            <v>2000</v>
          </cell>
          <cell r="Y28">
            <v>2000</v>
          </cell>
          <cell r="Z28">
            <v>2000</v>
          </cell>
          <cell r="AA28">
            <v>2000</v>
          </cell>
          <cell r="AB28">
            <v>2000</v>
          </cell>
          <cell r="AC28">
            <v>2000</v>
          </cell>
          <cell r="AD28">
            <v>2000</v>
          </cell>
          <cell r="AE28">
            <v>2000</v>
          </cell>
        </row>
      </sheetData>
      <sheetData sheetId="5">
        <row r="25">
          <cell r="K25">
            <v>15231</v>
          </cell>
          <cell r="L25">
            <v>8684</v>
          </cell>
          <cell r="M25">
            <v>39000</v>
          </cell>
          <cell r="N25">
            <v>6000</v>
          </cell>
          <cell r="O25">
            <v>61700</v>
          </cell>
          <cell r="P25">
            <v>204600</v>
          </cell>
          <cell r="Q25">
            <v>310400</v>
          </cell>
          <cell r="R25">
            <v>300400</v>
          </cell>
          <cell r="S25">
            <v>236400</v>
          </cell>
          <cell r="T25">
            <v>72000</v>
          </cell>
          <cell r="U25">
            <v>1000</v>
          </cell>
          <cell r="V25">
            <v>1000</v>
          </cell>
          <cell r="W25">
            <v>1000</v>
          </cell>
          <cell r="X25">
            <v>1000</v>
          </cell>
          <cell r="Y25">
            <v>1000</v>
          </cell>
          <cell r="Z25">
            <v>1000</v>
          </cell>
          <cell r="AA25">
            <v>1000</v>
          </cell>
          <cell r="AB25">
            <v>1000</v>
          </cell>
        </row>
        <row r="26">
          <cell r="K26">
            <v>144311</v>
          </cell>
          <cell r="L26">
            <v>233316</v>
          </cell>
          <cell r="M26">
            <v>231000</v>
          </cell>
          <cell r="N26">
            <v>114195</v>
          </cell>
          <cell r="O26">
            <v>50030</v>
          </cell>
          <cell r="P26">
            <v>35000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</row>
      </sheetData>
      <sheetData sheetId="6"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</sheetData>
      <sheetData sheetId="7">
        <row r="26">
          <cell r="E26">
            <v>0</v>
          </cell>
        </row>
      </sheetData>
      <sheetData sheetId="8">
        <row r="13">
          <cell r="E13">
            <v>50221000</v>
          </cell>
        </row>
        <row r="27">
          <cell r="E27">
            <v>7293000</v>
          </cell>
        </row>
        <row r="87">
          <cell r="B87">
            <v>62066840</v>
          </cell>
          <cell r="C87">
            <v>70614264.2</v>
          </cell>
          <cell r="D87">
            <v>112657789.2</v>
          </cell>
          <cell r="E87">
            <v>111960622.892</v>
          </cell>
          <cell r="F87">
            <v>109518984.92092</v>
          </cell>
          <cell r="G87">
            <v>105302930.570129</v>
          </cell>
          <cell r="H87">
            <v>71472515.6758305</v>
          </cell>
          <cell r="I87">
            <v>71966996.6325888</v>
          </cell>
          <cell r="J87">
            <v>72466422.3989147</v>
          </cell>
          <cell r="K87">
            <v>72970842.4229038</v>
          </cell>
          <cell r="L87">
            <v>73480306.6471329</v>
          </cell>
          <cell r="M87">
            <v>73994865.5136042</v>
          </cell>
          <cell r="N87">
            <v>74514569.9687403</v>
          </cell>
          <cell r="O87">
            <v>75039471.4684276</v>
          </cell>
          <cell r="P87">
            <v>75569621.9831119</v>
          </cell>
          <cell r="Q87">
            <v>76105074.002943</v>
          </cell>
          <cell r="R87">
            <v>76645880.5429725</v>
          </cell>
          <cell r="S87">
            <v>77192095.1484022</v>
          </cell>
          <cell r="T87">
            <v>77743771.8998862</v>
          </cell>
          <cell r="U87">
            <v>78300965.4188851</v>
          </cell>
        </row>
      </sheetData>
      <sheetData sheetId="9">
        <row r="18">
          <cell r="I18">
            <v>44571000</v>
          </cell>
        </row>
        <row r="74">
          <cell r="C74">
            <v>51998500</v>
          </cell>
          <cell r="D74">
            <v>52248380</v>
          </cell>
          <cell r="E74">
            <v>51063270</v>
          </cell>
          <cell r="F74">
            <v>51127457.7</v>
          </cell>
          <cell r="G74">
            <v>51365822.277</v>
          </cell>
          <cell r="H74">
            <v>51606570.49977</v>
          </cell>
          <cell r="I74">
            <v>51849726.2047677</v>
          </cell>
          <cell r="J74">
            <v>52095313.4668154</v>
          </cell>
          <cell r="K74">
            <v>52343356.6014835</v>
          </cell>
          <cell r="L74">
            <v>52593880.1674984</v>
          </cell>
          <cell r="M74">
            <v>52846908.9691733</v>
          </cell>
          <cell r="N74">
            <v>53102468.0588651</v>
          </cell>
          <cell r="O74">
            <v>53360582.7394537</v>
          </cell>
          <cell r="P74">
            <v>53621278.5668483</v>
          </cell>
          <cell r="Q74">
            <v>53884581.3525168</v>
          </cell>
          <cell r="R74">
            <v>54150517.1660419</v>
          </cell>
          <cell r="S74">
            <v>54419112.3377023</v>
          </cell>
          <cell r="T74">
            <v>54690393.4610794</v>
          </cell>
          <cell r="U74">
            <v>54964387.3956902</v>
          </cell>
          <cell r="V74">
            <v>55241121.2696471</v>
          </cell>
        </row>
      </sheetData>
      <sheetData sheetId="10"/>
      <sheetData sheetId="11"/>
      <sheetData sheetId="12"/>
      <sheetData sheetId="13">
        <row r="47">
          <cell r="C47">
            <v>0</v>
          </cell>
          <cell r="D47">
            <v>175828975.290545</v>
          </cell>
          <cell r="E47">
            <v>227683819.780949</v>
          </cell>
          <cell r="F47">
            <v>162524050.936988</v>
          </cell>
          <cell r="G47">
            <v>90613214.7283284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D50">
            <v>-4395724.38226361</v>
          </cell>
          <cell r="E50">
            <v>-8791448.76452723</v>
          </cell>
          <cell r="F50">
            <v>-8791448.76452723</v>
          </cell>
          <cell r="G50">
            <v>-8791448.76452723</v>
          </cell>
          <cell r="H50">
            <v>-8791448.76452723</v>
          </cell>
        </row>
        <row r="51">
          <cell r="E51">
            <v>-5692095.49452372</v>
          </cell>
          <cell r="F51">
            <v>-11384190.9890474</v>
          </cell>
          <cell r="G51">
            <v>-11384190.9890474</v>
          </cell>
          <cell r="H51">
            <v>-11384190.9890474</v>
          </cell>
        </row>
        <row r="52">
          <cell r="F52">
            <v>-4063101.2734247</v>
          </cell>
          <cell r="G52">
            <v>-8126202.54684939</v>
          </cell>
          <cell r="H52">
            <v>-8126202.54684939</v>
          </cell>
        </row>
        <row r="53">
          <cell r="G53">
            <v>-2265330.36820821</v>
          </cell>
          <cell r="H53">
            <v>-4530660.73641642</v>
          </cell>
        </row>
      </sheetData>
      <sheetData sheetId="14">
        <row r="49">
          <cell r="D49">
            <v>67815816</v>
          </cell>
        </row>
      </sheetData>
      <sheetData sheetId="15"/>
      <sheetData sheetId="16"/>
      <sheetData sheetId="17">
        <row r="3">
          <cell r="B3">
            <v>0.031</v>
          </cell>
        </row>
        <row r="9">
          <cell r="B9">
            <v>1.22078781490643</v>
          </cell>
        </row>
        <row r="11">
          <cell r="B11">
            <v>0</v>
          </cell>
        </row>
        <row r="12">
          <cell r="B12">
            <v>0.14</v>
          </cell>
        </row>
      </sheetData>
      <sheetData sheetId="18"/>
      <sheetData sheetId="19"/>
      <sheetData sheetId="20"/>
      <sheetData sheetId="21"/>
      <sheetData sheetId="22"/>
      <sheetData sheetId="23"/>
      <sheetData sheetId="24">
        <row r="4">
          <cell r="C4">
            <v>1500000</v>
          </cell>
        </row>
        <row r="7">
          <cell r="D7">
            <v>1</v>
          </cell>
          <cell r="E7">
            <v>-1953519.23517426</v>
          </cell>
          <cell r="F7">
            <v>-1720000</v>
          </cell>
          <cell r="G7">
            <v>-3673519.23517426</v>
          </cell>
        </row>
        <row r="8">
          <cell r="D8">
            <v>2</v>
          </cell>
          <cell r="E8">
            <v>-2037520.56228676</v>
          </cell>
          <cell r="F8">
            <v>-1635998.67288751</v>
          </cell>
          <cell r="G8">
            <v>-3673519.23517426</v>
          </cell>
        </row>
        <row r="9">
          <cell r="D9">
            <v>3</v>
          </cell>
          <cell r="E9">
            <v>-2125133.94646509</v>
          </cell>
          <cell r="F9">
            <v>-1548385.28870918</v>
          </cell>
          <cell r="G9">
            <v>-3673519.23517426</v>
          </cell>
        </row>
        <row r="10">
          <cell r="D10">
            <v>4</v>
          </cell>
          <cell r="E10">
            <v>-2216514.70616309</v>
          </cell>
          <cell r="F10">
            <v>-1457004.52901118</v>
          </cell>
          <cell r="G10">
            <v>-3673519.23517426</v>
          </cell>
        </row>
        <row r="11">
          <cell r="D11">
            <v>5</v>
          </cell>
          <cell r="E11">
            <v>-2311824.8385281</v>
          </cell>
          <cell r="F11">
            <v>-1361694.39664616</v>
          </cell>
          <cell r="G11">
            <v>-3673519.23517426</v>
          </cell>
        </row>
        <row r="12">
          <cell r="D12">
            <v>6</v>
          </cell>
          <cell r="E12">
            <v>-2411233.30658481</v>
          </cell>
          <cell r="F12">
            <v>-1262285.92858946</v>
          </cell>
          <cell r="G12">
            <v>-3673519.23517426</v>
          </cell>
        </row>
        <row r="13">
          <cell r="D13">
            <v>7</v>
          </cell>
          <cell r="E13">
            <v>-2514916.33876796</v>
          </cell>
          <cell r="F13">
            <v>-1158602.89640631</v>
          </cell>
          <cell r="G13">
            <v>-3673519.23517426</v>
          </cell>
        </row>
        <row r="14">
          <cell r="D14">
            <v>8</v>
          </cell>
          <cell r="E14">
            <v>-2623057.74133498</v>
          </cell>
          <cell r="F14">
            <v>-1050461.49383929</v>
          </cell>
          <cell r="G14">
            <v>-3673519.23517426</v>
          </cell>
        </row>
        <row r="15">
          <cell r="D15">
            <v>9</v>
          </cell>
          <cell r="E15">
            <v>-2735849.22421238</v>
          </cell>
          <cell r="F15">
            <v>-937670.010961883</v>
          </cell>
          <cell r="G15">
            <v>-3673519.23517426</v>
          </cell>
        </row>
        <row r="16">
          <cell r="D16">
            <v>10</v>
          </cell>
          <cell r="E16">
            <v>-2853490.74085351</v>
          </cell>
          <cell r="F16">
            <v>-820028.494320751</v>
          </cell>
          <cell r="G16">
            <v>-3673519.23517426</v>
          </cell>
        </row>
        <row r="17">
          <cell r="D17">
            <v>11</v>
          </cell>
          <cell r="E17">
            <v>-2976190.84271022</v>
          </cell>
          <cell r="F17">
            <v>-697328.39246405</v>
          </cell>
          <cell r="G17">
            <v>-3673519.23517426</v>
          </cell>
        </row>
        <row r="18">
          <cell r="D18">
            <v>12</v>
          </cell>
          <cell r="E18">
            <v>-3104167.04894675</v>
          </cell>
          <cell r="F18">
            <v>-569352.18622751</v>
          </cell>
          <cell r="G18">
            <v>-3673519.23517426</v>
          </cell>
        </row>
        <row r="19">
          <cell r="D19">
            <v>13</v>
          </cell>
          <cell r="E19">
            <v>-3237646.23205146</v>
          </cell>
          <cell r="F19">
            <v>-435873.0031228</v>
          </cell>
          <cell r="G19">
            <v>-3673519.23517426</v>
          </cell>
        </row>
        <row r="20">
          <cell r="D20">
            <v>14</v>
          </cell>
          <cell r="E20">
            <v>-3376865.02002968</v>
          </cell>
          <cell r="F20">
            <v>-296654.215144587</v>
          </cell>
          <cell r="G20">
            <v>-3673519.23517426</v>
          </cell>
        </row>
        <row r="21">
          <cell r="D21">
            <v>15</v>
          </cell>
          <cell r="E21">
            <v>-3522070.21589095</v>
          </cell>
          <cell r="F21">
            <v>-151449.019283311</v>
          </cell>
          <cell r="G21">
            <v>-3673519.23517426</v>
          </cell>
        </row>
        <row r="22">
          <cell r="D22">
            <v>16</v>
          </cell>
          <cell r="E22">
            <v>0</v>
          </cell>
          <cell r="F22">
            <v>0</v>
          </cell>
          <cell r="G22">
            <v>0</v>
          </cell>
        </row>
        <row r="26">
          <cell r="C26">
            <v>1312500</v>
          </cell>
        </row>
        <row r="29">
          <cell r="D29">
            <v>1</v>
          </cell>
          <cell r="E29">
            <v>-1709329.33077748</v>
          </cell>
          <cell r="F29">
            <v>-1505000</v>
          </cell>
        </row>
        <row r="30">
          <cell r="D30">
            <v>2</v>
          </cell>
          <cell r="E30">
            <v>-1782830.49200091</v>
          </cell>
          <cell r="F30">
            <v>-1431498.83877657</v>
          </cell>
        </row>
        <row r="31">
          <cell r="D31">
            <v>3</v>
          </cell>
          <cell r="E31">
            <v>-1859492.20315695</v>
          </cell>
          <cell r="F31">
            <v>-1354837.12762053</v>
          </cell>
        </row>
        <row r="32">
          <cell r="D32">
            <v>4</v>
          </cell>
          <cell r="E32">
            <v>-1939450.3678927</v>
          </cell>
          <cell r="F32">
            <v>-1274878.96288478</v>
          </cell>
        </row>
        <row r="33">
          <cell r="D33">
            <v>5</v>
          </cell>
          <cell r="E33">
            <v>-2022846.73371209</v>
          </cell>
          <cell r="F33">
            <v>-1191482.59706539</v>
          </cell>
        </row>
        <row r="34">
          <cell r="D34">
            <v>6</v>
          </cell>
          <cell r="E34">
            <v>-2109829.14326171</v>
          </cell>
          <cell r="F34">
            <v>-1104500.18751577</v>
          </cell>
        </row>
        <row r="35">
          <cell r="D35">
            <v>7</v>
          </cell>
          <cell r="E35">
            <v>-2200551.79642196</v>
          </cell>
          <cell r="F35">
            <v>-1013777.53435552</v>
          </cell>
        </row>
        <row r="36">
          <cell r="D36">
            <v>8</v>
          </cell>
          <cell r="E36">
            <v>-2295175.52366811</v>
          </cell>
          <cell r="F36">
            <v>-919153.807109376</v>
          </cell>
        </row>
        <row r="37">
          <cell r="D37">
            <v>9</v>
          </cell>
          <cell r="E37">
            <v>-2393868.07118583</v>
          </cell>
          <cell r="F37">
            <v>-820461.259591648</v>
          </cell>
        </row>
        <row r="38">
          <cell r="D38">
            <v>10</v>
          </cell>
          <cell r="E38">
            <v>-2496804.39824682</v>
          </cell>
          <cell r="F38">
            <v>-717524.932530657</v>
          </cell>
        </row>
        <row r="39">
          <cell r="D39">
            <v>11</v>
          </cell>
          <cell r="E39">
            <v>-2604166.98737144</v>
          </cell>
          <cell r="F39">
            <v>-610162.343406043</v>
          </cell>
        </row>
        <row r="40">
          <cell r="D40">
            <v>12</v>
          </cell>
          <cell r="E40">
            <v>-2716146.16782841</v>
          </cell>
          <cell r="F40">
            <v>-498183.162949072</v>
          </cell>
        </row>
        <row r="41">
          <cell r="D41">
            <v>13</v>
          </cell>
          <cell r="E41">
            <v>-2832940.45304503</v>
          </cell>
          <cell r="F41">
            <v>-381388.87773245</v>
          </cell>
        </row>
        <row r="42">
          <cell r="D42">
            <v>14</v>
          </cell>
          <cell r="E42">
            <v>-2954756.89252597</v>
          </cell>
          <cell r="F42">
            <v>-259572.438251514</v>
          </cell>
        </row>
        <row r="43">
          <cell r="D43">
            <v>15</v>
          </cell>
          <cell r="E43">
            <v>-3081811.43890458</v>
          </cell>
          <cell r="F43">
            <v>-132517.891872897</v>
          </cell>
        </row>
        <row r="44">
          <cell r="D44">
            <v>16</v>
          </cell>
          <cell r="E44">
            <v>0</v>
          </cell>
          <cell r="F44">
            <v>0</v>
          </cell>
        </row>
        <row r="48">
          <cell r="C48">
            <v>937500</v>
          </cell>
        </row>
        <row r="51">
          <cell r="D51">
            <v>1</v>
          </cell>
          <cell r="E51">
            <v>-1220949.52198392</v>
          </cell>
          <cell r="F51">
            <v>-1075000</v>
          </cell>
        </row>
        <row r="52">
          <cell r="D52">
            <v>2</v>
          </cell>
          <cell r="E52">
            <v>-1273450.35142922</v>
          </cell>
          <cell r="F52">
            <v>-1022499.17055469</v>
          </cell>
        </row>
        <row r="53">
          <cell r="D53">
            <v>3</v>
          </cell>
          <cell r="E53">
            <v>-1328208.71654068</v>
          </cell>
          <cell r="F53">
            <v>-967740.805443235</v>
          </cell>
        </row>
        <row r="54">
          <cell r="D54">
            <v>4</v>
          </cell>
          <cell r="E54">
            <v>-1385321.69135193</v>
          </cell>
          <cell r="F54">
            <v>-910627.830631986</v>
          </cell>
        </row>
        <row r="55">
          <cell r="D55">
            <v>5</v>
          </cell>
          <cell r="E55">
            <v>-1444890.52408006</v>
          </cell>
          <cell r="F55">
            <v>-851058.997903853</v>
          </cell>
        </row>
        <row r="56">
          <cell r="D56">
            <v>6</v>
          </cell>
          <cell r="E56">
            <v>-1507020.81661551</v>
          </cell>
          <cell r="F56">
            <v>-788928.70536841</v>
          </cell>
        </row>
        <row r="57">
          <cell r="D57">
            <v>7</v>
          </cell>
          <cell r="E57">
            <v>-1571822.71172997</v>
          </cell>
          <cell r="F57">
            <v>-724126.810253943</v>
          </cell>
        </row>
        <row r="58">
          <cell r="D58">
            <v>8</v>
          </cell>
          <cell r="E58">
            <v>-1639411.08833436</v>
          </cell>
          <cell r="F58">
            <v>-656538.433649555</v>
          </cell>
        </row>
        <row r="59">
          <cell r="D59">
            <v>9</v>
          </cell>
          <cell r="E59">
            <v>-1709905.76513274</v>
          </cell>
          <cell r="F59">
            <v>-586043.756851177</v>
          </cell>
        </row>
        <row r="60">
          <cell r="D60">
            <v>10</v>
          </cell>
          <cell r="E60">
            <v>-1783431.71303345</v>
          </cell>
          <cell r="F60">
            <v>-512517.808950469</v>
          </cell>
        </row>
        <row r="61">
          <cell r="D61">
            <v>11</v>
          </cell>
          <cell r="E61">
            <v>-1860119.27669388</v>
          </cell>
          <cell r="F61">
            <v>-435830.245290031</v>
          </cell>
        </row>
        <row r="62">
          <cell r="D62">
            <v>12</v>
          </cell>
          <cell r="E62">
            <v>-1940104.40559172</v>
          </cell>
          <cell r="F62">
            <v>-355845.116392194</v>
          </cell>
        </row>
        <row r="63">
          <cell r="D63">
            <v>13</v>
          </cell>
          <cell r="E63">
            <v>-2023528.89503217</v>
          </cell>
          <cell r="F63">
            <v>-272420.62695175</v>
          </cell>
        </row>
        <row r="64">
          <cell r="D64">
            <v>14</v>
          </cell>
          <cell r="E64">
            <v>-2110540.63751855</v>
          </cell>
          <cell r="F64">
            <v>-185408.884465367</v>
          </cell>
        </row>
        <row r="65">
          <cell r="D65">
            <v>15</v>
          </cell>
          <cell r="E65">
            <v>-2201293.88493185</v>
          </cell>
          <cell r="F65">
            <v>-94655.6370520694</v>
          </cell>
        </row>
        <row r="66">
          <cell r="D66">
            <v>16</v>
          </cell>
          <cell r="E66">
            <v>0</v>
          </cell>
          <cell r="F66">
            <v>0</v>
          </cell>
        </row>
        <row r="70">
          <cell r="C70">
            <v>547500</v>
          </cell>
          <cell r="D70">
            <v>15000000</v>
          </cell>
        </row>
        <row r="73">
          <cell r="D73">
            <v>1</v>
          </cell>
          <cell r="E73">
            <v>-768808.129793462</v>
          </cell>
          <cell r="F73">
            <v>-547500</v>
          </cell>
        </row>
        <row r="74">
          <cell r="D74">
            <v>2</v>
          </cell>
          <cell r="E74">
            <v>-796869.626530924</v>
          </cell>
          <cell r="F74">
            <v>-519438.503262539</v>
          </cell>
        </row>
        <row r="75">
          <cell r="D75">
            <v>3</v>
          </cell>
          <cell r="E75">
            <v>-825955.367899303</v>
          </cell>
          <cell r="F75">
            <v>-490352.76189416</v>
          </cell>
        </row>
        <row r="76">
          <cell r="D76">
            <v>4</v>
          </cell>
          <cell r="E76">
            <v>-856102.738827627</v>
          </cell>
          <cell r="F76">
            <v>-460205.390965835</v>
          </cell>
        </row>
        <row r="77">
          <cell r="D77">
            <v>5</v>
          </cell>
          <cell r="E77">
            <v>-887350.488794836</v>
          </cell>
          <cell r="F77">
            <v>-428957.640998627</v>
          </cell>
        </row>
        <row r="78">
          <cell r="D78">
            <v>6</v>
          </cell>
          <cell r="E78">
            <v>-919738.781635847</v>
          </cell>
          <cell r="F78">
            <v>-396569.348157616</v>
          </cell>
        </row>
        <row r="79">
          <cell r="D79">
            <v>7</v>
          </cell>
          <cell r="E79">
            <v>-953309.247165555</v>
          </cell>
          <cell r="F79">
            <v>-362998.882627907</v>
          </cell>
        </row>
        <row r="80">
          <cell r="D80">
            <v>8</v>
          </cell>
          <cell r="E80">
            <v>-988105.034687098</v>
          </cell>
          <cell r="F80">
            <v>-328203.095106364</v>
          </cell>
        </row>
        <row r="81">
          <cell r="D81">
            <v>9</v>
          </cell>
          <cell r="E81">
            <v>-1024170.86845318</v>
          </cell>
          <cell r="F81">
            <v>-292137.261340285</v>
          </cell>
        </row>
        <row r="82">
          <cell r="D82">
            <v>10</v>
          </cell>
          <cell r="E82">
            <v>-1061553.10515172</v>
          </cell>
          <cell r="F82">
            <v>-254755.024641744</v>
          </cell>
        </row>
        <row r="83">
          <cell r="D83">
            <v>11</v>
          </cell>
          <cell r="E83">
            <v>-1100299.79348976</v>
          </cell>
          <cell r="F83">
            <v>-216008.336303707</v>
          </cell>
        </row>
        <row r="84">
          <cell r="D84">
            <v>12</v>
          </cell>
          <cell r="E84">
            <v>-1140460.73595213</v>
          </cell>
          <cell r="F84">
            <v>-175847.393841331</v>
          </cell>
        </row>
        <row r="85">
          <cell r="D85">
            <v>13</v>
          </cell>
          <cell r="E85">
            <v>-1182087.55281438</v>
          </cell>
          <cell r="F85">
            <v>-134220.576979078</v>
          </cell>
        </row>
        <row r="86">
          <cell r="D86">
            <v>14</v>
          </cell>
          <cell r="E86">
            <v>-1225233.74849211</v>
          </cell>
          <cell r="F86">
            <v>-91074.3813013527</v>
          </cell>
        </row>
        <row r="87">
          <cell r="D87">
            <v>15</v>
          </cell>
          <cell r="E87">
            <v>-1269954.78031207</v>
          </cell>
          <cell r="F87">
            <v>-46353.3494813906</v>
          </cell>
        </row>
        <row r="88">
          <cell r="D88">
            <v>16</v>
          </cell>
          <cell r="E88">
            <v>0</v>
          </cell>
          <cell r="F88">
            <v>0</v>
          </cell>
        </row>
      </sheetData>
      <sheetData sheetId="25"/>
      <sheetData sheetId="26"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</row>
        <row r="49">
          <cell r="C49">
            <v>5160000</v>
          </cell>
        </row>
        <row r="86">
          <cell r="W86">
            <v>-373764.305190557</v>
          </cell>
          <cell r="X86">
            <v>0</v>
          </cell>
          <cell r="Y86">
            <v>0</v>
          </cell>
          <cell r="Z86">
            <v>0</v>
          </cell>
        </row>
        <row r="87">
          <cell r="W87">
            <v>-9065957.449157</v>
          </cell>
          <cell r="X87">
            <v>0</v>
          </cell>
          <cell r="Y87">
            <v>0</v>
          </cell>
          <cell r="Z87">
            <v>0</v>
          </cell>
        </row>
        <row r="94">
          <cell r="C94">
            <v>8027351.07034384</v>
          </cell>
        </row>
        <row r="131">
          <cell r="V131">
            <v>-1138949.41811311</v>
          </cell>
          <cell r="W131">
            <v>-581460.716148786</v>
          </cell>
          <cell r="X131">
            <v>0</v>
          </cell>
          <cell r="Y131">
            <v>0</v>
          </cell>
        </row>
        <row r="132">
          <cell r="V132">
            <v>-14103802.9521671</v>
          </cell>
          <cell r="W132">
            <v>-14103802.9521671</v>
          </cell>
          <cell r="X132">
            <v>0</v>
          </cell>
          <cell r="Y132">
            <v>0</v>
          </cell>
        </row>
        <row r="138">
          <cell r="C138">
            <v>9034387.54712612</v>
          </cell>
        </row>
        <row r="175">
          <cell r="U175">
            <v>-1883390.36255986</v>
          </cell>
          <cell r="V175">
            <v>-1281831.37247127</v>
          </cell>
          <cell r="W175">
            <v>-654405.345808879</v>
          </cell>
          <cell r="X175">
            <v>0</v>
          </cell>
        </row>
        <row r="176">
          <cell r="U176">
            <v>-15873134.3181084</v>
          </cell>
          <cell r="V176">
            <v>-15873134.3181084</v>
          </cell>
          <cell r="W176">
            <v>-15873134.3181084</v>
          </cell>
          <cell r="X176">
            <v>0</v>
          </cell>
        </row>
        <row r="182">
          <cell r="C182">
            <v>7834955.02941392</v>
          </cell>
        </row>
        <row r="219">
          <cell r="T219">
            <v>-2133531.98113232</v>
          </cell>
          <cell r="U219">
            <v>-1633345.7820483</v>
          </cell>
          <cell r="V219">
            <v>-1111651.57640366</v>
          </cell>
          <cell r="W219">
            <v>-567524.519916309</v>
          </cell>
        </row>
        <row r="220">
          <cell r="T220">
            <v>-13765769.1691328</v>
          </cell>
          <cell r="U220">
            <v>-13765769.1691328</v>
          </cell>
          <cell r="V220">
            <v>-13765769.1691328</v>
          </cell>
          <cell r="W220">
            <v>-13765769.1691328</v>
          </cell>
        </row>
        <row r="228">
          <cell r="G228">
            <v>-58430263.9346932</v>
          </cell>
        </row>
        <row r="252">
          <cell r="D252">
            <v>-31044787.7849773</v>
          </cell>
          <cell r="E252">
            <v>-29867212.3105395</v>
          </cell>
          <cell r="F252">
            <v>-28639001.0907009</v>
          </cell>
          <cell r="G252">
            <v>-27357976.7884092</v>
          </cell>
          <cell r="H252">
            <v>-26021868.441119</v>
          </cell>
          <cell r="I252">
            <v>-24628307.4348953</v>
          </cell>
          <cell r="J252">
            <v>-23174823.305404</v>
          </cell>
          <cell r="K252">
            <v>-21658839.3583446</v>
          </cell>
          <cell r="L252">
            <v>-20077668.1015616</v>
          </cell>
          <cell r="M252">
            <v>-18428506.4807369</v>
          </cell>
          <cell r="N252">
            <v>-16708430.9102168</v>
          </cell>
          <cell r="O252">
            <v>-14914392.0901643</v>
          </cell>
          <cell r="P252">
            <v>-13043209.6008496</v>
          </cell>
          <cell r="Q252">
            <v>-11091566.2644943</v>
          </cell>
          <cell r="R252">
            <v>-9056002.26467574</v>
          </cell>
          <cell r="S252">
            <v>-6932909.01286499</v>
          </cell>
          <cell r="T252">
            <v>-4718522.75122637</v>
          </cell>
          <cell r="U252">
            <v>-2408917.8803373</v>
          </cell>
        </row>
        <row r="286">
          <cell r="D286">
            <v>-28235952.6116828</v>
          </cell>
          <cell r="E286">
            <v>-27164920.4782631</v>
          </cell>
          <cell r="F286">
            <v>-26047833.9631064</v>
          </cell>
          <cell r="G286">
            <v>-24882712.727798</v>
          </cell>
          <cell r="H286">
            <v>-23667491.2793712</v>
          </cell>
          <cell r="I286">
            <v>-22400015.3086622</v>
          </cell>
          <cell r="J286">
            <v>-21078037.8712126</v>
          </cell>
          <cell r="K286">
            <v>-19699215.4039527</v>
          </cell>
          <cell r="L286">
            <v>-18261103.5706007</v>
          </cell>
          <cell r="M286">
            <v>-16761152.9284145</v>
          </cell>
          <cell r="N286">
            <v>-15196704.4086142</v>
          </cell>
          <cell r="O286">
            <v>-13564984.6024626</v>
          </cell>
          <cell r="P286">
            <v>-11863100.8446465</v>
          </cell>
          <cell r="Q286">
            <v>-10088036.0852442</v>
          </cell>
          <cell r="R286">
            <v>-8236643.54118772</v>
          </cell>
          <cell r="S286">
            <v>-6305641.11773676</v>
          </cell>
          <cell r="T286">
            <v>-4291605.5900774</v>
          </cell>
        </row>
        <row r="291">
          <cell r="C291">
            <v>1148946.67220163</v>
          </cell>
        </row>
      </sheetData>
      <sheetData sheetId="27">
        <row r="4">
          <cell r="C4">
            <v>3375000</v>
          </cell>
          <cell r="D4">
            <v>90000000</v>
          </cell>
        </row>
        <row r="39">
          <cell r="C39">
            <v>2812500</v>
          </cell>
          <cell r="D39">
            <v>75000000</v>
          </cell>
        </row>
        <row r="74">
          <cell r="C74">
            <v>1743750.00638707</v>
          </cell>
          <cell r="D74">
            <v>46500000.1703218</v>
          </cell>
        </row>
        <row r="109">
          <cell r="C109">
            <v>2568749.99891686</v>
          </cell>
        </row>
        <row r="144">
          <cell r="C144">
            <v>2403589.91191805</v>
          </cell>
        </row>
        <row r="147">
          <cell r="G147">
            <v>-5886422.51660118</v>
          </cell>
        </row>
        <row r="178">
          <cell r="C178">
            <v>3287709.66951738</v>
          </cell>
        </row>
        <row r="181">
          <cell r="G181">
            <v>-7548415.44415033</v>
          </cell>
        </row>
        <row r="212">
          <cell r="C212">
            <v>3372971.90810244</v>
          </cell>
        </row>
        <row r="215">
          <cell r="G215">
            <v>-7203882.08378882</v>
          </cell>
        </row>
        <row r="249">
          <cell r="G249">
            <v>-3673519.23517426</v>
          </cell>
        </row>
        <row r="283">
          <cell r="G283">
            <v>-1377569.71319035</v>
          </cell>
        </row>
        <row r="318">
          <cell r="G318">
            <v>0</v>
          </cell>
        </row>
        <row r="340">
          <cell r="C340">
            <v>1495167.4322534</v>
          </cell>
        </row>
        <row r="343">
          <cell r="G343">
            <v>-3193329.25708662</v>
          </cell>
        </row>
        <row r="374">
          <cell r="C374">
            <v>832302.214164466</v>
          </cell>
        </row>
        <row r="377">
          <cell r="G377">
            <v>-1777603.60070424</v>
          </cell>
        </row>
        <row r="411">
          <cell r="G411">
            <v>-4132709.13957105</v>
          </cell>
        </row>
        <row r="445">
          <cell r="G445">
            <v>-4591899.04396783</v>
          </cell>
        </row>
        <row r="479">
          <cell r="G479">
            <v>0</v>
          </cell>
        </row>
        <row r="513">
          <cell r="G513">
            <v>0</v>
          </cell>
        </row>
      </sheetData>
      <sheetData sheetId="28"/>
      <sheetData sheetId="29">
        <row r="101">
          <cell r="E101">
            <v>1.3178</v>
          </cell>
        </row>
        <row r="102">
          <cell r="E102">
            <v>3.8518</v>
          </cell>
        </row>
        <row r="148">
          <cell r="B148">
            <v>13239996</v>
          </cell>
          <cell r="C148">
            <v>15842983</v>
          </cell>
          <cell r="D148">
            <v>15842983</v>
          </cell>
          <cell r="E148">
            <v>16001412.83</v>
          </cell>
          <cell r="F148">
            <v>16161426.9583</v>
          </cell>
          <cell r="G148">
            <v>16323041.227883</v>
          </cell>
          <cell r="H148">
            <v>16486271.6401618</v>
          </cell>
          <cell r="I148">
            <v>16651134.3565634</v>
          </cell>
          <cell r="J148">
            <v>16817645.7001291</v>
          </cell>
          <cell r="K148">
            <v>16985822.1571304</v>
          </cell>
          <cell r="L148">
            <v>17155680.3787017</v>
          </cell>
          <cell r="M148">
            <v>17327237.1824887</v>
          </cell>
          <cell r="N148">
            <v>17500509.5543136</v>
          </cell>
          <cell r="O148">
            <v>17675514.6498567</v>
          </cell>
          <cell r="P148">
            <v>17852269.7963553</v>
          </cell>
          <cell r="Q148">
            <v>18030792.4943188</v>
          </cell>
          <cell r="R148">
            <v>18211100.419262</v>
          </cell>
          <cell r="S148">
            <v>18393211.4234547</v>
          </cell>
          <cell r="T148">
            <v>18577143.5376892</v>
          </cell>
          <cell r="U148">
            <v>18762914.9730661</v>
          </cell>
        </row>
        <row r="158">
          <cell r="B158">
            <v>38548004</v>
          </cell>
          <cell r="C158">
            <v>41865101.07</v>
          </cell>
          <cell r="D158">
            <v>41939871.07</v>
          </cell>
          <cell r="E158">
            <v>41937738.1807</v>
          </cell>
          <cell r="F158">
            <v>42357115.562507</v>
          </cell>
          <cell r="G158">
            <v>42780686.7181321</v>
          </cell>
          <cell r="H158">
            <v>43208493.5853134</v>
          </cell>
          <cell r="I158">
            <v>43640578.5211665</v>
          </cell>
          <cell r="J158">
            <v>44076984.3063782</v>
          </cell>
          <cell r="K158">
            <v>44517754.149442</v>
          </cell>
          <cell r="L158">
            <v>44962931.6909364</v>
          </cell>
          <cell r="M158">
            <v>45412561.0078458</v>
          </cell>
          <cell r="N158">
            <v>45866686.6179242</v>
          </cell>
          <cell r="O158">
            <v>46325353.4841035</v>
          </cell>
          <cell r="P158">
            <v>46788607.0189445</v>
          </cell>
          <cell r="Q158">
            <v>47256493.0891339</v>
          </cell>
          <cell r="R158">
            <v>47729058.0200253</v>
          </cell>
          <cell r="S158">
            <v>48206348.6002255</v>
          </cell>
          <cell r="T158">
            <v>48688412.0862278</v>
          </cell>
          <cell r="U158">
            <v>49175296.2070901</v>
          </cell>
          <cell r="V158">
            <v>49667049.169161</v>
          </cell>
        </row>
        <row r="177">
          <cell r="B177">
            <v>11721176.532</v>
          </cell>
          <cell r="C177">
            <v>12304984.1504</v>
          </cell>
          <cell r="D177">
            <v>11979840.8504</v>
          </cell>
          <cell r="E177">
            <v>11816607.324904</v>
          </cell>
          <cell r="F177">
            <v>11934773.398153</v>
          </cell>
          <cell r="G177">
            <v>12054121.1321346</v>
          </cell>
          <cell r="H177">
            <v>12174662.3434559</v>
          </cell>
          <cell r="I177">
            <v>12296408.9668905</v>
          </cell>
          <cell r="J177">
            <v>12419373.0565594</v>
          </cell>
          <cell r="K177">
            <v>12543566.787125</v>
          </cell>
          <cell r="L177">
            <v>12669002.4549962</v>
          </cell>
          <cell r="M177">
            <v>12795692.4795462</v>
          </cell>
          <cell r="N177">
            <v>12923649.4043416</v>
          </cell>
          <cell r="O177">
            <v>13052885.8983851</v>
          </cell>
          <cell r="P177">
            <v>13183414.7573689</v>
          </cell>
          <cell r="Q177">
            <v>13315248.9049426</v>
          </cell>
          <cell r="R177">
            <v>13448401.393992</v>
          </cell>
          <cell r="S177">
            <v>13582885.407932</v>
          </cell>
          <cell r="T177">
            <v>13718714.2620113</v>
          </cell>
          <cell r="U177">
            <v>13855901.4046314</v>
          </cell>
          <cell r="V177">
            <v>13994460.4186777</v>
          </cell>
        </row>
        <row r="196">
          <cell r="B196">
            <v>36409142.6096552</v>
          </cell>
          <cell r="C196">
            <v>39893433.6059517</v>
          </cell>
          <cell r="D196">
            <v>40019433.6059517</v>
          </cell>
          <cell r="E196">
            <v>41222282.7254334</v>
          </cell>
          <cell r="F196">
            <v>41634505.5526877</v>
          </cell>
          <cell r="G196">
            <v>42050850.6082146</v>
          </cell>
          <cell r="H196">
            <v>42471359.1142968</v>
          </cell>
          <cell r="I196">
            <v>42896072.7054397</v>
          </cell>
          <cell r="J196">
            <v>43325033.4324941</v>
          </cell>
          <cell r="K196">
            <v>43758283.7668191</v>
          </cell>
          <cell r="L196">
            <v>44195866.6044873</v>
          </cell>
          <cell r="M196">
            <v>44637825.2705321</v>
          </cell>
          <cell r="N196">
            <v>45084203.5232375</v>
          </cell>
          <cell r="O196">
            <v>45535045.5584698</v>
          </cell>
          <cell r="P196">
            <v>45990396.0140545</v>
          </cell>
          <cell r="Q196">
            <v>46450299.9741951</v>
          </cell>
          <cell r="R196">
            <v>46914802.973937</v>
          </cell>
          <cell r="S196">
            <v>47383951.0036764</v>
          </cell>
          <cell r="T196">
            <v>47857790.5137132</v>
          </cell>
          <cell r="U196">
            <v>48336368.4188503</v>
          </cell>
          <cell r="V196">
            <v>48819732.1030388</v>
          </cell>
        </row>
      </sheetData>
      <sheetData sheetId="30">
        <row r="5">
          <cell r="D5">
            <v>2212000</v>
          </cell>
          <cell r="E5">
            <v>2234120</v>
          </cell>
          <cell r="F5">
            <v>2234120</v>
          </cell>
          <cell r="G5">
            <v>2256461.2</v>
          </cell>
          <cell r="H5">
            <v>2279025.812</v>
          </cell>
          <cell r="I5">
            <v>2301816.07012</v>
          </cell>
          <cell r="J5">
            <v>2324834.2308212</v>
          </cell>
          <cell r="K5">
            <v>2348082.57312941</v>
          </cell>
          <cell r="L5">
            <v>2371563.39886071</v>
          </cell>
          <cell r="M5">
            <v>2395279.03284931</v>
          </cell>
          <cell r="N5">
            <v>2419231.82317781</v>
          </cell>
          <cell r="O5">
            <v>2443424.14140959</v>
          </cell>
          <cell r="P5">
            <v>2467858.38282368</v>
          </cell>
          <cell r="Q5">
            <v>2492536.96665192</v>
          </cell>
          <cell r="R5">
            <v>2517462.33631844</v>
          </cell>
          <cell r="S5">
            <v>2542636.95968162</v>
          </cell>
          <cell r="T5">
            <v>2568063.32927844</v>
          </cell>
          <cell r="U5">
            <v>2593743.96257122</v>
          </cell>
          <cell r="V5">
            <v>2619681.40219693</v>
          </cell>
          <cell r="W5">
            <v>2645878.2162189</v>
          </cell>
          <cell r="X5">
            <v>2672336.99838109</v>
          </cell>
          <cell r="Y5">
            <v>2699060.3683649</v>
          </cell>
          <cell r="Z5">
            <v>2726050.97204855</v>
          </cell>
          <cell r="AA5">
            <v>2753311.48176904</v>
          </cell>
          <cell r="AB5">
            <v>2780844.59658673</v>
          </cell>
        </row>
        <row r="6">
          <cell r="D6">
            <v>4387000</v>
          </cell>
          <cell r="E6">
            <v>0</v>
          </cell>
        </row>
        <row r="8">
          <cell r="D8">
            <v>400000</v>
          </cell>
          <cell r="E8">
            <v>1600000</v>
          </cell>
          <cell r="F8">
            <v>1600000</v>
          </cell>
          <cell r="G8">
            <v>1600000</v>
          </cell>
          <cell r="H8">
            <v>3200000</v>
          </cell>
          <cell r="I8">
            <v>3200000</v>
          </cell>
          <cell r="J8">
            <v>3200000</v>
          </cell>
          <cell r="K8">
            <v>3200000</v>
          </cell>
          <cell r="L8">
            <v>3200000</v>
          </cell>
          <cell r="M8">
            <v>3200000</v>
          </cell>
          <cell r="N8">
            <v>3200000</v>
          </cell>
          <cell r="O8">
            <v>3200000</v>
          </cell>
          <cell r="P8">
            <v>3200000</v>
          </cell>
          <cell r="Q8">
            <v>3200000</v>
          </cell>
          <cell r="R8">
            <v>3200000</v>
          </cell>
          <cell r="S8">
            <v>3200000</v>
          </cell>
          <cell r="T8">
            <v>3200000</v>
          </cell>
          <cell r="U8">
            <v>3200000</v>
          </cell>
          <cell r="V8">
            <v>3200000</v>
          </cell>
          <cell r="W8">
            <v>3200000</v>
          </cell>
          <cell r="X8">
            <v>3200000</v>
          </cell>
          <cell r="Y8">
            <v>3200000</v>
          </cell>
          <cell r="Z8">
            <v>3200000</v>
          </cell>
          <cell r="AA8">
            <v>3200000</v>
          </cell>
          <cell r="AB8">
            <v>3200000</v>
          </cell>
        </row>
        <row r="9">
          <cell r="D9">
            <v>200000</v>
          </cell>
          <cell r="E9">
            <v>250000</v>
          </cell>
          <cell r="F9">
            <v>250000</v>
          </cell>
          <cell r="G9">
            <v>250000</v>
          </cell>
          <cell r="H9">
            <v>250000</v>
          </cell>
          <cell r="I9">
            <v>250000</v>
          </cell>
          <cell r="J9">
            <v>250000</v>
          </cell>
          <cell r="K9">
            <v>250000</v>
          </cell>
          <cell r="L9">
            <v>250000</v>
          </cell>
          <cell r="M9">
            <v>250000</v>
          </cell>
          <cell r="N9">
            <v>250000</v>
          </cell>
          <cell r="O9">
            <v>250000</v>
          </cell>
          <cell r="P9">
            <v>250000</v>
          </cell>
          <cell r="Q9">
            <v>250000</v>
          </cell>
          <cell r="R9">
            <v>250000</v>
          </cell>
          <cell r="S9">
            <v>250000</v>
          </cell>
          <cell r="T9">
            <v>250000</v>
          </cell>
          <cell r="U9">
            <v>250000</v>
          </cell>
          <cell r="V9">
            <v>250000</v>
          </cell>
          <cell r="W9">
            <v>250000</v>
          </cell>
          <cell r="X9">
            <v>250000</v>
          </cell>
          <cell r="Y9">
            <v>250000</v>
          </cell>
          <cell r="Z9">
            <v>250000</v>
          </cell>
          <cell r="AA9">
            <v>250000</v>
          </cell>
          <cell r="AB9">
            <v>250000</v>
          </cell>
        </row>
        <row r="10">
          <cell r="C10">
            <v>648000</v>
          </cell>
          <cell r="D10">
            <v>648000</v>
          </cell>
          <cell r="E10">
            <v>648000</v>
          </cell>
          <cell r="F10">
            <v>708000</v>
          </cell>
          <cell r="G10">
            <v>708000</v>
          </cell>
          <cell r="H10">
            <v>708000</v>
          </cell>
          <cell r="I10">
            <v>708000</v>
          </cell>
          <cell r="J10">
            <v>708000</v>
          </cell>
          <cell r="K10">
            <v>708000</v>
          </cell>
          <cell r="L10">
            <v>708000</v>
          </cell>
          <cell r="M10">
            <v>708000</v>
          </cell>
          <cell r="N10">
            <v>708000</v>
          </cell>
          <cell r="O10">
            <v>708000</v>
          </cell>
          <cell r="P10">
            <v>708000</v>
          </cell>
          <cell r="Q10">
            <v>708000</v>
          </cell>
          <cell r="R10">
            <v>708000</v>
          </cell>
          <cell r="S10">
            <v>708000</v>
          </cell>
          <cell r="T10">
            <v>708000</v>
          </cell>
          <cell r="U10">
            <v>708000</v>
          </cell>
          <cell r="V10">
            <v>708000</v>
          </cell>
          <cell r="W10">
            <v>708000</v>
          </cell>
          <cell r="X10">
            <v>708000</v>
          </cell>
          <cell r="Y10">
            <v>708000</v>
          </cell>
          <cell r="Z10">
            <v>708000</v>
          </cell>
          <cell r="AA10">
            <v>708000</v>
          </cell>
        </row>
        <row r="18">
          <cell r="C18">
            <v>6700000</v>
          </cell>
          <cell r="D18">
            <v>600000</v>
          </cell>
        </row>
        <row r="19">
          <cell r="C19">
            <v>80000000</v>
          </cell>
        </row>
        <row r="21">
          <cell r="C21">
            <v>18000000</v>
          </cell>
        </row>
      </sheetData>
      <sheetData sheetId="31">
        <row r="176">
          <cell r="B176">
            <v>36206505</v>
          </cell>
          <cell r="C176">
            <v>37912023.825</v>
          </cell>
        </row>
        <row r="177">
          <cell r="B177">
            <v>7389719</v>
          </cell>
          <cell r="C177">
            <v>8261141</v>
          </cell>
        </row>
        <row r="178">
          <cell r="B178">
            <v>12165008</v>
          </cell>
          <cell r="C178">
            <v>12756329</v>
          </cell>
        </row>
        <row r="179">
          <cell r="B179">
            <v>14467655</v>
          </cell>
          <cell r="C179">
            <v>14108998</v>
          </cell>
        </row>
        <row r="181">
          <cell r="B181">
            <v>9609920</v>
          </cell>
          <cell r="C181">
            <v>8887071.56</v>
          </cell>
        </row>
        <row r="182">
          <cell r="B182">
            <v>3257515</v>
          </cell>
          <cell r="C182">
            <v>2977873.49122807</v>
          </cell>
        </row>
        <row r="183">
          <cell r="B183">
            <v>10372820</v>
          </cell>
          <cell r="C183">
            <v>10927000</v>
          </cell>
        </row>
      </sheetData>
      <sheetData sheetId="32">
        <row r="7">
          <cell r="D7">
            <v>36159978</v>
          </cell>
        </row>
      </sheetData>
      <sheetData sheetId="33">
        <row r="9">
          <cell r="K9">
            <v>51523983.3614028</v>
          </cell>
          <cell r="L9">
            <v>52100832.3921361</v>
          </cell>
          <cell r="M9">
            <v>52621840.7160574</v>
          </cell>
          <cell r="N9">
            <v>53148059.123218</v>
          </cell>
          <cell r="O9">
            <v>53679539.7144502</v>
          </cell>
          <cell r="P9">
            <v>54216335.1115947</v>
          </cell>
          <cell r="Q9">
            <v>54758498.4627106</v>
          </cell>
          <cell r="R9">
            <v>55306083.4473377</v>
          </cell>
          <cell r="S9">
            <v>55859144.2818111</v>
          </cell>
          <cell r="T9">
            <v>56417735.7246292</v>
          </cell>
          <cell r="U9">
            <v>56981913.0818755</v>
          </cell>
          <cell r="V9">
            <v>57551732.2126943</v>
          </cell>
          <cell r="W9">
            <v>58127249.5348212</v>
          </cell>
          <cell r="X9">
            <v>58708522.0301695</v>
          </cell>
          <cell r="Y9">
            <v>40740232.9163401</v>
          </cell>
        </row>
      </sheetData>
      <sheetData sheetId="34">
        <row r="23">
          <cell r="F23">
            <v>0.01</v>
          </cell>
        </row>
        <row r="29">
          <cell r="E29">
            <v>0</v>
          </cell>
        </row>
      </sheetData>
      <sheetData sheetId="3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הנחות עבודה"/>
      <sheetName val="ריכוז"/>
      <sheetName val="חישוב מע&quot;מ"/>
      <sheetName val=" הוצאות שאינן מוכרות למע&quot;מ 2010"/>
      <sheetName val="בדיקת מ&quot;ה פחת עם מע&quot;מ"/>
      <sheetName val="בדיקת מ&quot;ה פחת בלי מע&quot;מ"/>
      <sheetName val="ביאור פחת"/>
      <sheetName val="גיליון1"/>
      <sheetName val="תברי&quot;ם ל31.12.09"/>
      <sheetName val="רשימת נכסים ע&quot;פ ספר נכסים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00">
          <cell r="AI100">
            <v>55790.4612068966</v>
          </cell>
          <cell r="AK100">
            <v>82672.0129310345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תחזית ספיקות וקיבולת טיפול"/>
      <sheetName val="תעריף הוני"/>
      <sheetName val="תעריף תפעולי"/>
      <sheetName val="ריכוז תוצאות"/>
    </sheetNames>
    <sheetDataSet>
      <sheetData sheetId="0">
        <row r="11">
          <cell r="I11">
            <v>137240000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comments" Target="../comments3.xml" /><Relationship Id="rId2" Type="http://schemas.openxmlformats.org/officeDocument/2006/relationships/vmlDrawing" Target="../drawings/vmlDrawing1.v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comments" Target="../comments4.xml" /><Relationship Id="rId2" Type="http://schemas.openxmlformats.org/officeDocument/2006/relationships/vmlDrawing" Target="../drawings/vmlDrawing2.vml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comments" Target="../comments5.xml" /><Relationship Id="rId2" Type="http://schemas.openxmlformats.org/officeDocument/2006/relationships/vmlDrawing" Target="../drawings/vmlDrawing3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2DDA7-595B-43F2-AF81-7FE7E6ED9DE6}">
  <dimension ref="A2:M15"/>
  <sheetViews>
    <sheetView rightToLeft="1" workbookViewId="0" topLeftCell="A1">
      <selection pane="topLeft" activeCell="D3" sqref="D3"/>
    </sheetView>
  </sheetViews>
  <sheetFormatPr defaultRowHeight="12.75"/>
  <sheetData>
    <row r="2" spans="4:13" ht="15">
      <c r="D2" s="218">
        <v>2017</v>
      </c>
      <c r="E2" s="218">
        <f>+D2+1</f>
        <v>2018</v>
      </c>
      <c r="F2" s="218">
        <f>+E2+1</f>
        <v>2019</v>
      </c>
      <c r="G2" s="218">
        <f>+F2+1</f>
        <v>2020</v>
      </c>
      <c r="H2" s="218">
        <f>+G2+1</f>
        <v>2021</v>
      </c>
      <c r="I2" s="218">
        <f>+H2+1</f>
        <v>2022</v>
      </c>
      <c r="J2" s="218">
        <f>+I2+1</f>
        <v>2023</v>
      </c>
      <c r="K2" s="218">
        <f>+J2+1</f>
        <v>2024</v>
      </c>
      <c r="L2" s="218">
        <f>+K2+1</f>
        <v>2025</v>
      </c>
      <c r="M2" s="218">
        <f>+L2+1</f>
        <v>2026</v>
      </c>
    </row>
    <row r="3" spans="1:13" ht="14.25">
      <c r="A3" s="4" t="s">
        <v>3</v>
      </c>
      <c r="D3" s="3">
        <f>'עלויות ההולכה'!H71+'עלויות ההולכה'!H73+'עלויות המטש'!H77</f>
        <v>2.4999999999999996</v>
      </c>
      <c r="E3" s="2">
        <f>+D3</f>
        <v>2.4999999999999996</v>
      </c>
      <c r="F3" s="2">
        <f>+E3</f>
        <v>2.4999999999999996</v>
      </c>
      <c r="G3" s="2">
        <f>+F3</f>
        <v>2.4999999999999996</v>
      </c>
      <c r="H3" s="2">
        <f>+G3</f>
        <v>2.4999999999999996</v>
      </c>
      <c r="I3" s="2">
        <f>+H3</f>
        <v>2.4999999999999996</v>
      </c>
      <c r="J3" s="2">
        <f>+I3</f>
        <v>2.4999999999999996</v>
      </c>
      <c r="K3" s="2">
        <f>+J3</f>
        <v>2.4999999999999996</v>
      </c>
      <c r="L3" s="2">
        <f>+K3</f>
        <v>2.4999999999999996</v>
      </c>
      <c r="M3" s="2">
        <f>+L3</f>
        <v>2.4999999999999996</v>
      </c>
    </row>
    <row r="4" spans="4:4" ht="14.25">
      <c r="D4" s="3"/>
    </row>
    <row r="5" spans="1:13" ht="14.25">
      <c r="A5" s="4" t="s">
        <v>2</v>
      </c>
      <c r="D5" s="3">
        <f>+IF(D2&gt;'תוספת השקעות חדשות'!$B$5,0.03,0)</f>
        <v>0</v>
      </c>
      <c r="E5" s="3">
        <f>+IF(E2&gt;'תוספת השקעות חדשות'!$B$5,0.03,0)</f>
        <v>0</v>
      </c>
      <c r="F5" s="3">
        <f>+IF(F2&gt;'תוספת השקעות חדשות'!$B$5,0.03,0)</f>
        <v>0</v>
      </c>
      <c r="G5" s="3">
        <f>+IF(G2&gt;'תוספת השקעות חדשות'!$B$5,0.03,0)</f>
        <v>0</v>
      </c>
      <c r="H5" s="3">
        <f>+IF(H2&gt;'תוספת השקעות חדשות'!$B$5,0.03,0)</f>
        <v>0.029999999999999999</v>
      </c>
      <c r="I5" s="3">
        <f>+IF(I2&gt;'תוספת השקעות חדשות'!$B$5,0.03,0)</f>
        <v>0.029999999999999999</v>
      </c>
      <c r="J5" s="3">
        <f>+IF(J2&gt;'תוספת השקעות חדשות'!$B$5,0.03,0)</f>
        <v>0.029999999999999999</v>
      </c>
      <c r="K5" s="3">
        <f>+IF(K2&gt;'תוספת השקעות חדשות'!$B$5,0.03,0)</f>
        <v>0.029999999999999999</v>
      </c>
      <c r="L5" s="3">
        <f>+IF(L2&gt;'תוספת השקעות חדשות'!$B$5,0.03,0)</f>
        <v>0.029999999999999999</v>
      </c>
      <c r="M5" s="3">
        <f>+IF(M2&gt;'תוספת השקעות חדשות'!$B$5,0.03,0)</f>
        <v>0.029999999999999999</v>
      </c>
    </row>
    <row r="6" spans="4:13" ht="14.25"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6.5">
      <c r="A7" s="4" t="s">
        <v>1</v>
      </c>
      <c r="D7" s="5">
        <f>'תוספת השקעות חדשות'!F18</f>
        <v>0.25375889424924347</v>
      </c>
      <c r="E7" s="5">
        <f>'תוספת השקעות חדשות'!G18</f>
        <v>0.57225786858356753</v>
      </c>
      <c r="F7" s="5">
        <f>'תוספת השקעות חדשות'!H18</f>
        <v>0.56941081451101261</v>
      </c>
      <c r="G7" s="5">
        <f>'תוספת השקעות חדשות'!I18</f>
        <v>0.56657792488657965</v>
      </c>
      <c r="H7" s="5">
        <f>'תוספת השקעות חדשות'!J18</f>
        <v>0.58842085648740505</v>
      </c>
      <c r="I7" s="5">
        <f>'תוספת השקעות חדשות'!K18</f>
        <v>0.53398139607573958</v>
      </c>
      <c r="J7" s="5">
        <f>'תוספת השקעות חדשות'!L18</f>
        <v>0.48545117316370046</v>
      </c>
      <c r="K7" s="5">
        <f>'תוספת השקעות חדשות'!M18</f>
        <v>0.44209077461535223</v>
      </c>
      <c r="L7" s="5">
        <f>'תוספת השקעות חדשות'!N18</f>
        <v>0.4335931815332616</v>
      </c>
      <c r="M7" s="5">
        <f>'תוספת השקעות חדשות'!O18</f>
        <v>0.43359318153326154</v>
      </c>
    </row>
    <row r="8" ht="14.25"/>
    <row r="9" spans="1:13" ht="14.25">
      <c r="A9" s="4" t="s">
        <v>0</v>
      </c>
      <c r="D9" s="2">
        <f>SUM(D3:D7)</f>
        <v>2.753758894249243</v>
      </c>
      <c r="E9" s="2">
        <f>SUM(E3:E7)</f>
        <v>3.0722578685835673</v>
      </c>
      <c r="F9" s="2">
        <f>SUM(F3:F7)</f>
        <v>3.0694108145110119</v>
      </c>
      <c r="G9" s="2">
        <f>SUM(G3:G7)</f>
        <v>3.0665779248865794</v>
      </c>
      <c r="H9" s="2">
        <f>SUM(H3:H7)</f>
        <v>3.1184208564874045</v>
      </c>
      <c r="I9" s="2">
        <f>SUM(I3:I7)</f>
        <v>3.0639813960757389</v>
      </c>
      <c r="J9" s="2">
        <f>SUM(J3:J7)</f>
        <v>3.0154511731636999</v>
      </c>
      <c r="K9" s="2">
        <f>SUM(K3:K7)</f>
        <v>2.9720907746153515</v>
      </c>
      <c r="L9" s="2">
        <f>SUM(L3:L7)</f>
        <v>2.9635931815332608</v>
      </c>
      <c r="M9" s="2">
        <f>SUM(M3:M7)</f>
        <v>2.9635931815332608</v>
      </c>
    </row>
    <row r="10" ht="14.25"/>
    <row r="11" ht="14.25"/>
    <row r="12" spans="4:13" ht="14.25"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4.25"/>
    <row r="14" spans="8:8" ht="14.25">
      <c r="H14" s="2"/>
    </row>
    <row r="15" spans="4:13" ht="14.25"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77D78-E280-4111-A4B8-37E68CB98A24}">
  <dimension ref="A1:AO37"/>
  <sheetViews>
    <sheetView rightToLeft="1" workbookViewId="0" topLeftCell="A1">
      <selection pane="topLeft" activeCell="A1" sqref="A1:XFD1048576"/>
    </sheetView>
  </sheetViews>
  <sheetFormatPr defaultRowHeight="14.25"/>
  <cols>
    <col min="1" max="1" width="10.5" bestFit="1" customWidth="1"/>
    <col min="2" max="2" width="10.875" bestFit="1" customWidth="1"/>
    <col min="6" max="6" width="13.875" bestFit="1" customWidth="1"/>
    <col min="7" max="7" width="11" bestFit="1" customWidth="1"/>
    <col min="8" max="9" width="11.125" bestFit="1" customWidth="1"/>
    <col min="10" max="11" width="11.25" bestFit="1" customWidth="1"/>
    <col min="12" max="12" width="12.5" bestFit="1" customWidth="1"/>
    <col min="13" max="28" width="11.25" bestFit="1" customWidth="1"/>
    <col min="29" max="29" width="11" bestFit="1" customWidth="1"/>
    <col min="30" max="31" width="10" bestFit="1" customWidth="1"/>
    <col min="32" max="33" width="10.625" bestFit="1" customWidth="1"/>
    <col min="34" max="41" width="11.625" bestFit="1" customWidth="1"/>
    <col min="42" max="44" width="11.5" bestFit="1" customWidth="1"/>
  </cols>
  <sheetData>
    <row r="1" spans="3:15" ht="15">
      <c r="C1" t="s">
        <v>156</v>
      </c>
      <c r="J1" s="228" t="s">
        <v>155</v>
      </c>
      <c r="K1" s="86"/>
      <c r="L1" s="230" t="s">
        <v>143</v>
      </c>
      <c r="M1" s="230"/>
      <c r="N1" s="230"/>
      <c r="O1" s="230"/>
    </row>
    <row r="2" spans="1:15" ht="15">
      <c r="A2" t="s">
        <v>154</v>
      </c>
      <c r="B2" s="229">
        <f>'[3]תחזית ספיקות וקיבולת טיפול'!$I$11/1000</f>
        <v>137240</v>
      </c>
      <c r="C2" t="s">
        <v>153</v>
      </c>
      <c r="E2" t="s">
        <v>152</v>
      </c>
      <c r="F2" s="217">
        <v>0</v>
      </c>
      <c r="G2" t="s">
        <v>151</v>
      </c>
      <c r="J2" s="86"/>
      <c r="K2" s="221"/>
      <c r="L2" s="228">
        <v>15</v>
      </c>
      <c r="M2" s="228">
        <v>20</v>
      </c>
      <c r="N2" s="228">
        <v>25</v>
      </c>
      <c r="O2" s="228">
        <v>30</v>
      </c>
    </row>
    <row r="3" spans="1:15" ht="15">
      <c r="A3" t="s">
        <v>150</v>
      </c>
      <c r="B3" s="227">
        <v>0.0050000000000000001</v>
      </c>
      <c r="C3" t="s">
        <v>149</v>
      </c>
      <c r="E3" t="s">
        <v>127</v>
      </c>
      <c r="F3" s="217">
        <v>280</v>
      </c>
      <c r="J3" s="223" t="s">
        <v>148</v>
      </c>
      <c r="K3" s="222">
        <v>1</v>
      </c>
      <c r="L3" s="221">
        <f>-PMT(($B$14+1)/(1+$B$3)-1,L$2,HLOOKUP($B$5-1,$F$15:$AO$32,18,0))*(1+$B$3)*$K3/$J$17</f>
        <v>0.42005469208776197</v>
      </c>
      <c r="M3" s="221">
        <f>-PMT(($B$14+1)/(1+$B$3)-1,M$2,HLOOKUP($B$5-1,$F$15:$AO$32,18,0))*(1+$B$3)*$K3/$J$17</f>
        <v>0.33353321656404744</v>
      </c>
      <c r="N3" s="221">
        <f>-PMT(($B$14+1)/(1+$B$3)-1,N$2,HLOOKUP($B$5-1,$F$15:$AO$32,18,0))*(1+$B$3)*$K3/$J$17</f>
        <v>0.28213788534906742</v>
      </c>
      <c r="O3" s="221">
        <f>-PMT(($B$14+1)/(1+$B$3)-1,O$2,HLOOKUP($B$5-1,$F$15:$AO$32,18,0))*(1+$B$3)*$K3/$J$17</f>
        <v>0.24829984450816078</v>
      </c>
    </row>
    <row r="4" spans="5:15" ht="15">
      <c r="E4" t="s">
        <v>147</v>
      </c>
      <c r="F4" s="226">
        <f>'ניתוח פעילות מאוחד לפני השקעות '!$N$82-50000</f>
        <v>0</v>
      </c>
      <c r="J4" s="223"/>
      <c r="K4" s="222">
        <v>1.1000000000000001</v>
      </c>
      <c r="L4" s="221">
        <f>-PMT(($B$14+1)/(1+$B$3)-1,L$2,HLOOKUP($B$5-1,$F$15:$AO$32,18,0))*(1+$B$3)*$K4/$J$17</f>
        <v>0.46206016129653821</v>
      </c>
      <c r="M4" s="221">
        <f>-PMT(($B$14+1)/(1+$B$3)-1,M$2,HLOOKUP($B$5-1,$F$15:$AO$32,18,0))*(1+$B$3)*$K4/$J$17</f>
        <v>0.3668865382204522</v>
      </c>
      <c r="N4" s="221">
        <f>-PMT(($B$14+1)/(1+$B$3)-1,N$2,HLOOKUP($B$5-1,$F$15:$AO$32,18,0))*(1+$B$3)*$K4/$J$17</f>
        <v>0.31035167388397417</v>
      </c>
      <c r="O4" s="221">
        <f>-PMT(($B$14+1)/(1+$B$3)-1,O$2,HLOOKUP($B$5-1,$F$15:$AO$32,18,0))*(1+$B$3)*$K4/$J$17</f>
        <v>0.27312982895897692</v>
      </c>
    </row>
    <row r="5" spans="1:15" ht="15">
      <c r="A5" t="s">
        <v>146</v>
      </c>
      <c r="B5" s="217">
        <v>2020</v>
      </c>
      <c r="D5" t="s">
        <v>145</v>
      </c>
      <c r="H5" s="217">
        <f>B5</f>
        <v>2020</v>
      </c>
      <c r="J5" s="223"/>
      <c r="K5" s="222">
        <v>1.2</v>
      </c>
      <c r="L5" s="221">
        <f>-PMT(($B$14+1)/(1+$B$3)-1,L$2,HLOOKUP($B$5-1,$F$15:$AO$32,18,0))*(1+$B$3)*$K5/$J$17</f>
        <v>0.50406563050531439</v>
      </c>
      <c r="M5" s="221">
        <f>-PMT(($B$14+1)/(1+$B$3)-1,M$2,HLOOKUP($B$5-1,$F$15:$AO$32,18,0))*(1+$B$3)*$K5/$J$17</f>
        <v>0.4002398598768569</v>
      </c>
      <c r="N5" s="221">
        <f>-PMT(($B$14+1)/(1+$B$3)-1,N$2,HLOOKUP($B$5-1,$F$15:$AO$32,18,0))*(1+$B$3)*$K5/$J$17</f>
        <v>0.33856546241888091</v>
      </c>
      <c r="O5" s="221">
        <f>-PMT(($B$14+1)/(1+$B$3)-1,O$2,HLOOKUP($B$5-1,$F$15:$AO$32,18,0))*(1+$B$3)*$K5/$J$17</f>
        <v>0.29795981340979294</v>
      </c>
    </row>
    <row r="6" spans="1:15" ht="15">
      <c r="A6" t="s">
        <v>144</v>
      </c>
      <c r="B6" s="217">
        <v>1000</v>
      </c>
      <c r="D6" t="s">
        <v>143</v>
      </c>
      <c r="E6" s="225">
        <v>20</v>
      </c>
      <c r="F6" t="s">
        <v>142</v>
      </c>
      <c r="G6" s="224">
        <f>-PMT((B14+1)/(1+B3)-1,E6,HLOOKUP(B5-1,F15:AO32,18,0))*(1+B3)</f>
        <v>46929.951992751812</v>
      </c>
      <c r="H6" t="s">
        <v>141</v>
      </c>
      <c r="I6" s="3">
        <f>IFERROR(((1+B3)^(E6+1)-(1+B3))/(B3)/(E6),1)</f>
        <v>1.0542005507266095</v>
      </c>
      <c r="J6" s="223"/>
      <c r="K6" s="222">
        <v>1.3</v>
      </c>
      <c r="L6" s="221">
        <f>-PMT(($B$14+1)/(1+$B$3)-1,L$2,HLOOKUP($B$5-1,$F$15:$AO$32,18,0))*(1+$B$3)*$K6/$J$17</f>
        <v>0.54607109971409062</v>
      </c>
      <c r="M6" s="221">
        <f>-PMT(($B$14+1)/(1+$B$3)-1,M$2,HLOOKUP($B$5-1,$F$15:$AO$32,18,0))*(1+$B$3)*$K6/$J$17</f>
        <v>0.43359318153326165</v>
      </c>
      <c r="N6" s="221">
        <f>-PMT(($B$14+1)/(1+$B$3)-1,N$2,HLOOKUP($B$5-1,$F$15:$AO$32,18,0))*(1+$B$3)*$K6/$J$17</f>
        <v>0.36677925095378766</v>
      </c>
      <c r="O6" s="221">
        <f>-PMT(($B$14+1)/(1+$B$3)-1,O$2,HLOOKUP($B$5-1,$F$15:$AO$32,18,0))*(1+$B$3)*$K6/$J$17</f>
        <v>0.32278979786060902</v>
      </c>
    </row>
    <row r="7" spans="7:15" ht="15">
      <c r="G7" s="224"/>
      <c r="J7" s="223"/>
      <c r="K7" s="222">
        <v>1.3999999999999999</v>
      </c>
      <c r="L7" s="221">
        <f>-PMT(($B$14+1)/(1+$B$3)-1,L$2,HLOOKUP($B$5-1,$F$15:$AO$32,18,0))*(1+$B$3)*$K7/$J$17</f>
        <v>0.58807656892286664</v>
      </c>
      <c r="M7" s="221">
        <f>-PMT(($B$14+1)/(1+$B$3)-1,M$2,HLOOKUP($B$5-1,$F$15:$AO$32,18,0))*(1+$B$3)*$K7/$J$17</f>
        <v>0.46694650318966641</v>
      </c>
      <c r="N7" s="221">
        <f>-PMT(($B$14+1)/(1+$B$3)-1,N$2,HLOOKUP($B$5-1,$F$15:$AO$32,18,0))*(1+$B$3)*$K7/$J$17</f>
        <v>0.39499303948869441</v>
      </c>
      <c r="O7" s="221">
        <f>-PMT(($B$14+1)/(1+$B$3)-1,O$2,HLOOKUP($B$5-1,$F$15:$AO$32,18,0))*(1+$B$3)*$K7/$J$17</f>
        <v>0.3476197823114251</v>
      </c>
    </row>
    <row r="8" spans="1:8" ht="14.25">
      <c r="A8" t="s">
        <v>140</v>
      </c>
      <c r="B8" t="s">
        <v>139</v>
      </c>
      <c r="C8">
        <v>6</v>
      </c>
      <c r="D8">
        <v>5</v>
      </c>
      <c r="E8">
        <v>4</v>
      </c>
      <c r="F8">
        <v>3</v>
      </c>
      <c r="G8">
        <v>2</v>
      </c>
      <c r="H8">
        <v>1</v>
      </c>
    </row>
    <row r="9" spans="3:8" ht="14.25">
      <c r="C9" s="217"/>
      <c r="D9" s="217"/>
      <c r="E9" s="220">
        <v>0.125</v>
      </c>
      <c r="F9" s="220">
        <v>0.2833</v>
      </c>
      <c r="G9" s="220">
        <v>0.2833</v>
      </c>
      <c r="H9" s="220">
        <v>0.2833</v>
      </c>
    </row>
    <row r="11" spans="1:9" ht="15">
      <c r="A11" t="s">
        <v>51</v>
      </c>
      <c r="B11" s="218" t="s">
        <v>4</v>
      </c>
      <c r="C11" s="218">
        <v>2016</v>
      </c>
      <c r="D11" s="218">
        <v>2017</v>
      </c>
      <c r="E11" s="218">
        <v>2018</v>
      </c>
      <c r="F11" s="218">
        <v>2019</v>
      </c>
      <c r="G11" s="218">
        <v>2020</v>
      </c>
      <c r="H11" s="218">
        <v>2021</v>
      </c>
      <c r="I11" s="218">
        <v>2022</v>
      </c>
    </row>
    <row r="12" spans="2:9" ht="14.25">
      <c r="B12">
        <f>SUM(C12:I12)</f>
        <v>974.90000000000009</v>
      </c>
      <c r="C12">
        <f>IFERROR(HLOOKUP($B$5-C11,C8:H9,2,0)*$B$6,0)</f>
        <v>125</v>
      </c>
      <c r="D12">
        <f>IFERROR(HLOOKUP($B$5-D11,D8:I9,2,0)*$B$6,0)</f>
        <v>283.30000000000001</v>
      </c>
      <c r="E12">
        <f>IFERROR(HLOOKUP($B$5-E11,E8:J9,2,0)*$B$6,0)</f>
        <v>283.30000000000001</v>
      </c>
      <c r="F12">
        <f>IFERROR(HLOOKUP($B$5-F11,F8:K9,2,0)*$B$6,0)</f>
        <v>283.30000000000001</v>
      </c>
      <c r="G12">
        <f>IFERROR(HLOOKUP($B$5-G11,G8:L9,2,0)*$B$6,0)</f>
        <v>0</v>
      </c>
      <c r="H12">
        <f>IFERROR(HLOOKUP($B$5-H11,H8:M9,2,0)*$B$6,0)</f>
        <v>0</v>
      </c>
      <c r="I12">
        <f>IFERROR(HLOOKUP($B$5-I11,I8:N9,2,0)*$B$6,0)</f>
        <v>0</v>
      </c>
    </row>
    <row r="14" spans="1:2" ht="14.25">
      <c r="A14" t="s">
        <v>130</v>
      </c>
      <c r="B14" s="219">
        <v>0.029999999999999999</v>
      </c>
    </row>
    <row r="15" spans="6:41" ht="15">
      <c r="F15" s="218">
        <v>2016</v>
      </c>
      <c r="G15" s="218">
        <v>2017</v>
      </c>
      <c r="H15" s="218">
        <v>2018</v>
      </c>
      <c r="I15" s="218">
        <v>2019</v>
      </c>
      <c r="J15" s="218">
        <v>2020</v>
      </c>
      <c r="K15" s="218">
        <v>2021</v>
      </c>
      <c r="L15" s="218">
        <v>2022</v>
      </c>
      <c r="M15" s="218">
        <v>2023</v>
      </c>
      <c r="N15" s="218">
        <v>2024</v>
      </c>
      <c r="O15" s="218">
        <v>2025</v>
      </c>
      <c r="P15" s="218">
        <v>2026</v>
      </c>
      <c r="Q15" s="218">
        <v>2027</v>
      </c>
      <c r="R15" s="218">
        <v>2028</v>
      </c>
      <c r="S15" s="218">
        <v>2029</v>
      </c>
      <c r="T15" s="218">
        <v>2030</v>
      </c>
      <c r="U15" s="218">
        <v>2031</v>
      </c>
      <c r="V15" s="218">
        <v>2032</v>
      </c>
      <c r="W15" s="218">
        <v>2033</v>
      </c>
      <c r="X15" s="218">
        <v>2034</v>
      </c>
      <c r="Y15" s="218">
        <v>2035</v>
      </c>
      <c r="Z15" s="218">
        <v>2036</v>
      </c>
      <c r="AA15" s="218">
        <v>2037</v>
      </c>
      <c r="AB15" s="218">
        <v>2038</v>
      </c>
      <c r="AC15" s="218">
        <v>2039</v>
      </c>
      <c r="AD15" s="218">
        <v>2040</v>
      </c>
      <c r="AE15" s="218">
        <v>2041</v>
      </c>
      <c r="AF15" s="218">
        <v>2042</v>
      </c>
      <c r="AG15" s="218">
        <v>2043</v>
      </c>
      <c r="AH15" s="218">
        <v>2044</v>
      </c>
      <c r="AI15" s="218">
        <v>2045</v>
      </c>
      <c r="AJ15" s="218">
        <v>2046</v>
      </c>
      <c r="AK15" s="218">
        <v>2047</v>
      </c>
      <c r="AL15" s="218">
        <v>2048</v>
      </c>
      <c r="AM15" s="218">
        <v>2049</v>
      </c>
      <c r="AN15" s="218">
        <v>2050</v>
      </c>
      <c r="AO15" s="218">
        <v>2051</v>
      </c>
    </row>
    <row r="16" spans="1:2" ht="14.25">
      <c r="A16" t="s">
        <v>138</v>
      </c>
      <c r="B16" s="217">
        <v>1.3</v>
      </c>
    </row>
    <row r="17" spans="4:41" ht="14.25">
      <c r="D17" t="s">
        <v>137</v>
      </c>
      <c r="F17" s="214">
        <f>B2*(1+$B$3)</f>
        <v>137926.19999999998</v>
      </c>
      <c r="G17" s="214">
        <f>F17*($B$3+1)</f>
        <v>138615.83099999998</v>
      </c>
      <c r="H17" s="214">
        <f>G17*($B$3+1)</f>
        <v>139308.91015499996</v>
      </c>
      <c r="I17" s="214">
        <f>H17*($B$3+1)</f>
        <v>140005.45470577496</v>
      </c>
      <c r="J17" s="214">
        <f>I17*($B$3+1)</f>
        <v>140705.48197930382</v>
      </c>
      <c r="K17" s="214">
        <f>J17*($B$3+1)</f>
        <v>141409.00938920034</v>
      </c>
      <c r="L17" s="214">
        <f>K17*($B$3+1)</f>
        <v>142116.05443614631</v>
      </c>
      <c r="M17" s="214">
        <f>L17*($B$3+1)</f>
        <v>142826.63470832704</v>
      </c>
      <c r="N17" s="214">
        <f>M17*($B$3+1)</f>
        <v>143540.76788186867</v>
      </c>
      <c r="O17" s="214">
        <f>N17*($B$3+1)</f>
        <v>144258.47172127801</v>
      </c>
      <c r="P17" s="214">
        <f>O17*($B$3+1)</f>
        <v>144979.76407988439</v>
      </c>
      <c r="Q17" s="214">
        <f>P17*($B$3+1)</f>
        <v>145704.66290028379</v>
      </c>
      <c r="R17" s="214">
        <f>Q17*($B$3+1)</f>
        <v>146433.18621478518</v>
      </c>
      <c r="S17" s="214">
        <f>R17*($B$3+1)</f>
        <v>147165.3521458591</v>
      </c>
      <c r="T17" s="214">
        <f>S17*($B$3+1)</f>
        <v>147901.17890658838</v>
      </c>
      <c r="U17" s="214">
        <f>T17*($B$3+1)</f>
        <v>148640.6848011213</v>
      </c>
      <c r="V17" s="214">
        <f>U17*($B$3+1)</f>
        <v>149383.8882251269</v>
      </c>
      <c r="W17" s="214">
        <f>V17*($B$3+1)</f>
        <v>150130.80766625251</v>
      </c>
      <c r="X17" s="214">
        <f>W17*($B$3+1)</f>
        <v>150881.46170458375</v>
      </c>
      <c r="Y17" s="214">
        <f>X17*($B$3+1)</f>
        <v>151635.86901310665</v>
      </c>
      <c r="Z17" s="214">
        <f>Y17*($B$3+1)</f>
        <v>152394.04835817218</v>
      </c>
      <c r="AA17" s="214">
        <f>Z17*($B$3+1)</f>
        <v>153156.01859996302</v>
      </c>
      <c r="AB17" s="214">
        <f>AA17*($B$3+1)</f>
        <v>153921.79869296282</v>
      </c>
      <c r="AC17" s="214">
        <f>AB17*($B$3+1)</f>
        <v>154691.40768642761</v>
      </c>
      <c r="AD17" s="214">
        <f>AC17*($B$3+1)</f>
        <v>155464.86472485974</v>
      </c>
      <c r="AE17" s="214">
        <f>AD17*($B$3+1)</f>
        <v>156242.18904848403</v>
      </c>
      <c r="AF17" s="214">
        <f>AE17*($B$3+1)</f>
        <v>157023.39999372643</v>
      </c>
      <c r="AG17" s="214">
        <f>AF17*($B$3+1)</f>
        <v>157808.51699369506</v>
      </c>
      <c r="AH17" s="214">
        <f>AG17*($B$3+1)</f>
        <v>158597.55957866352</v>
      </c>
      <c r="AI17" s="214">
        <f>AH17*($B$3+1)</f>
        <v>159390.54737655682</v>
      </c>
      <c r="AJ17" s="214">
        <f>AI17*($B$3+1)</f>
        <v>160187.50011343957</v>
      </c>
      <c r="AK17" s="214">
        <f>AJ17*($B$3+1)</f>
        <v>160988.43761400675</v>
      </c>
      <c r="AL17" s="214">
        <f>AK17*($B$3+1)</f>
        <v>161793.37980207676</v>
      </c>
      <c r="AM17" s="214">
        <f>AL17*($B$3+1)</f>
        <v>162602.34670108711</v>
      </c>
      <c r="AN17" s="214">
        <f>AM17*($B$3+1)</f>
        <v>163415.35843459252</v>
      </c>
      <c r="AO17" s="214">
        <f>AN17*($B$3+1)</f>
        <v>164232.43522676546</v>
      </c>
    </row>
    <row r="18" spans="1:41" ht="15">
      <c r="A18" t="s">
        <v>136</v>
      </c>
      <c r="B18" s="217">
        <v>8.5</v>
      </c>
      <c r="D18" s="216" t="s">
        <v>135</v>
      </c>
      <c r="E18" s="216"/>
      <c r="F18" s="215">
        <f>F21/F17</f>
        <v>0.25375889424924347</v>
      </c>
      <c r="G18" s="215">
        <f>G21/G17</f>
        <v>0.57225786858356753</v>
      </c>
      <c r="H18" s="215">
        <f>H21/H17</f>
        <v>0.56941081451101261</v>
      </c>
      <c r="I18" s="215">
        <f>I21/I17</f>
        <v>0.56657792488657965</v>
      </c>
      <c r="J18" s="215">
        <f>J21/J17</f>
        <v>0.58842085648740505</v>
      </c>
      <c r="K18" s="215">
        <f>K21/K17</f>
        <v>0.53398139607573958</v>
      </c>
      <c r="L18" s="215">
        <f>L21/L17</f>
        <v>0.48545117316370046</v>
      </c>
      <c r="M18" s="215">
        <f>M21/M17</f>
        <v>0.44209077461535223</v>
      </c>
      <c r="N18" s="215">
        <f>N21/N17</f>
        <v>0.4335931815332616</v>
      </c>
      <c r="O18" s="215">
        <f>O21/O17</f>
        <v>0.43359318153326154</v>
      </c>
      <c r="P18" s="215">
        <f>P21/P17</f>
        <v>0.43359318153326154</v>
      </c>
      <c r="Q18" s="215">
        <f>Q21/Q17</f>
        <v>0.4335931815332616</v>
      </c>
      <c r="R18" s="215">
        <f>R21/R17</f>
        <v>0.4335931815332616</v>
      </c>
      <c r="S18" s="215">
        <f>S21/S17</f>
        <v>0.4335931815332616</v>
      </c>
      <c r="T18" s="215">
        <f>T21/T17</f>
        <v>0.4335931815332616</v>
      </c>
      <c r="U18" s="215">
        <f>U21/U17</f>
        <v>0.4335931815332616</v>
      </c>
      <c r="V18" s="215">
        <f>V21/V17</f>
        <v>0.4335931815332616</v>
      </c>
      <c r="W18" s="215">
        <f>W21/W17</f>
        <v>0.43359318153326154</v>
      </c>
      <c r="X18" s="215">
        <f>X21/X17</f>
        <v>0.4335931815332616</v>
      </c>
      <c r="Y18" s="215">
        <f>Y21/Y17</f>
        <v>0.43359318153326154</v>
      </c>
      <c r="Z18" s="215">
        <f>Z21/Z17</f>
        <v>0.4335931815332616</v>
      </c>
      <c r="AA18" s="215">
        <f>AA21/AA17</f>
        <v>0.4335931815332616</v>
      </c>
      <c r="AB18" s="215">
        <f>AB21/AB17</f>
        <v>0.4335931815332616</v>
      </c>
      <c r="AC18" s="215">
        <f>AC21/AC17</f>
        <v>0.4335931815332616</v>
      </c>
      <c r="AD18" s="215">
        <f>AD21/AD17</f>
        <v>0</v>
      </c>
      <c r="AE18" s="215">
        <f>AE21/AE17</f>
        <v>0</v>
      </c>
      <c r="AF18" s="215">
        <f>AF21/AF17</f>
        <v>0</v>
      </c>
      <c r="AG18" s="215">
        <f>AG21/AG17</f>
        <v>0</v>
      </c>
      <c r="AH18" s="215">
        <f>AH21/AH17</f>
        <v>0</v>
      </c>
      <c r="AI18" s="215">
        <f>AI21/AI17</f>
        <v>0</v>
      </c>
      <c r="AJ18" s="215">
        <f>AJ21/AJ17</f>
        <v>0</v>
      </c>
      <c r="AK18" s="215">
        <f>AK21/AK17</f>
        <v>0</v>
      </c>
      <c r="AL18" s="215">
        <f>AL21/AL17</f>
        <v>0</v>
      </c>
      <c r="AM18" s="215">
        <f>AM21/AM17</f>
        <v>0</v>
      </c>
      <c r="AN18" s="215">
        <f>AN21/AN17</f>
        <v>0</v>
      </c>
      <c r="AO18" s="215">
        <f>AO21/AO17</f>
        <v>0</v>
      </c>
    </row>
    <row r="19" spans="4:41" ht="14.25">
      <c r="D19" t="s">
        <v>134</v>
      </c>
      <c r="F19" s="214">
        <f>IFERROR(HLOOKUP(F15,$C$11:$L$12,2,0),0)*1000</f>
        <v>125000</v>
      </c>
      <c r="G19" s="214">
        <f>IFERROR(HLOOKUP(G15,$C$11:$L$12,2,0),0)*1000</f>
        <v>283300</v>
      </c>
      <c r="H19" s="214">
        <f>IFERROR(HLOOKUP(H15,$C$11:$L$12,2,0),0)*1000</f>
        <v>283300</v>
      </c>
      <c r="I19" s="214">
        <f>IFERROR(HLOOKUP(I15,$C$11:$L$12,2,0),0)*1000</f>
        <v>283300</v>
      </c>
      <c r="J19" s="214">
        <f>IFERROR(HLOOKUP(J15,$C$11:$L$12,2,0),0)*1000</f>
        <v>0</v>
      </c>
      <c r="K19" s="214">
        <f>IFERROR(HLOOKUP(K15,$C$11:$L$12,2,0),0)*1000</f>
        <v>0</v>
      </c>
      <c r="L19" s="214">
        <f>IFERROR(HLOOKUP(L15,$C$11:$L$12,2,0),0)*1000</f>
        <v>0</v>
      </c>
      <c r="M19" s="214">
        <f>IFERROR(HLOOKUP(M15,$C$11:$L$12,2,0),0)*1000</f>
        <v>0</v>
      </c>
      <c r="N19" s="214">
        <f>IFERROR(HLOOKUP(N15,$C$11:$L$12,2,0),0)*1000</f>
        <v>0</v>
      </c>
      <c r="O19" s="214">
        <f>IFERROR(HLOOKUP(O15,$C$11:$L$12,2,0),0)*1000</f>
        <v>0</v>
      </c>
      <c r="P19" s="214">
        <f>IFERROR(HLOOKUP(P15,$C$11:$L$12,2,0),0)*1000</f>
        <v>0</v>
      </c>
      <c r="Q19" s="214">
        <f>IFERROR(HLOOKUP(Q15,$C$11:$L$12,2,0),0)*1000</f>
        <v>0</v>
      </c>
      <c r="R19" s="214">
        <f>IFERROR(HLOOKUP(R15,$C$11:$L$12,2,0),0)*1000</f>
        <v>0</v>
      </c>
      <c r="S19" s="214">
        <f>IFERROR(HLOOKUP(S15,$C$11:$L$12,2,0),0)*1000</f>
        <v>0</v>
      </c>
      <c r="T19" s="214">
        <f>IFERROR(HLOOKUP(T15,$C$11:$L$12,2,0),0)*1000</f>
        <v>0</v>
      </c>
      <c r="U19" s="214">
        <f>IFERROR(HLOOKUP(U15,$C$11:$L$12,2,0),0)*1000</f>
        <v>0</v>
      </c>
      <c r="V19" s="214">
        <f>IFERROR(HLOOKUP(V15,$C$11:$L$12,2,0),0)*1000</f>
        <v>0</v>
      </c>
      <c r="W19" s="214">
        <f>IFERROR(HLOOKUP(W15,$C$11:$L$12,2,0),0)*1000</f>
        <v>0</v>
      </c>
      <c r="X19" s="214">
        <f>IFERROR(HLOOKUP(X15,$C$11:$L$12,2,0),0)*1000</f>
        <v>0</v>
      </c>
      <c r="Y19" s="214">
        <f>IFERROR(HLOOKUP(Y15,$C$11:$L$12,2,0),0)*1000</f>
        <v>0</v>
      </c>
      <c r="Z19" s="213"/>
      <c r="AA19" s="213"/>
      <c r="AB19" s="213"/>
      <c r="AC19" s="213"/>
      <c r="AD19" s="213"/>
      <c r="AE19" s="213"/>
      <c r="AF19" s="213"/>
      <c r="AG19" s="213"/>
      <c r="AH19" s="213"/>
      <c r="AI19" s="213"/>
      <c r="AJ19" s="213"/>
      <c r="AK19" s="213"/>
      <c r="AL19" s="213"/>
      <c r="AM19" s="213"/>
      <c r="AN19" s="213"/>
      <c r="AO19" s="213"/>
    </row>
    <row r="20" spans="6:41" ht="14.25"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  <c r="AK20" s="213"/>
      <c r="AL20" s="213"/>
      <c r="AM20" s="213"/>
      <c r="AN20" s="213"/>
      <c r="AO20" s="213"/>
    </row>
    <row r="21" spans="4:41" ht="14.25">
      <c r="D21" t="s">
        <v>133</v>
      </c>
      <c r="F21" s="213">
        <f>F34+F35+F25*$B$16</f>
        <v>35000</v>
      </c>
      <c r="G21" s="213">
        <f>G34+G35+G25*$B$16</f>
        <v>79324</v>
      </c>
      <c r="H21" s="213">
        <f>H34+H35+H25*$B$16</f>
        <v>79324</v>
      </c>
      <c r="I21" s="213">
        <f>I34+I35+I25*$B$16</f>
        <v>79324</v>
      </c>
      <c r="J21" s="3">
        <f>J34+J35+MAX(J25*$B$16,(J32-I29)/$B$18)</f>
        <v>82794.040218735085</v>
      </c>
      <c r="K21" s="3">
        <f>K34+K35+MAX(K25*$B$16,(K32-J29)/$B$18)</f>
        <v>75509.780251332559</v>
      </c>
      <c r="L21" s="3">
        <f>L34+L35+MAX(L25*$B$16,(L32-K29)/$B$18)</f>
        <v>68990.405351423542</v>
      </c>
      <c r="M21" s="3">
        <f>M34+M35+MAX(M25*$B$16,(M32-L29)/$B$18)</f>
        <v>63142.337573908255</v>
      </c>
      <c r="N21" s="3">
        <f>N34+N35+MAX(N25*$B$16,(N32-M29)/$B$18)</f>
        <v>62238.298225626844</v>
      </c>
      <c r="O21" s="3">
        <f>O34+O35+MAX(O25*$B$16,(O32-N29)/$B$18)</f>
        <v>62549.489716754972</v>
      </c>
      <c r="P21" s="3">
        <f>P34+P35+MAX(P25*$B$16,(P32-O29)/$B$18)</f>
        <v>62862.237165338745</v>
      </c>
      <c r="Q21" s="3">
        <f>Q34+Q35+MAX(Q25*$B$16,(Q32-P29)/$B$18)</f>
        <v>63176.548351165431</v>
      </c>
      <c r="R21" s="3">
        <f>R34+R35+MAX(R25*$B$16,(R32-Q29)/$B$18)</f>
        <v>63492.431092921252</v>
      </c>
      <c r="S21" s="3">
        <f>S34+S35+MAX(S25*$B$16,(S32-R29)/$B$18)</f>
        <v>63809.893248385852</v>
      </c>
      <c r="T21" s="3">
        <f>T34+T35+MAX(T25*$B$16,(T32-S29)/$B$18)</f>
        <v>64128.942714627774</v>
      </c>
      <c r="U21" s="3">
        <f>U34+U35+MAX(U25*$B$16,(U32-T29)/$B$18)</f>
        <v>64449.58742820091</v>
      </c>
      <c r="V21" s="3">
        <f>V34+V35+MAX(V25*$B$16,(V32-U29)/$B$18)</f>
        <v>64771.835365341904</v>
      </c>
      <c r="W21" s="3">
        <f>W34+W35+MAX(W25*$B$16,(W32-V29)/$B$18)</f>
        <v>65095.694542168603</v>
      </c>
      <c r="X21" s="3">
        <f>X34+X35+MAX(X25*$B$16,(X32-W29)/$B$18)</f>
        <v>65421.173014879438</v>
      </c>
      <c r="Y21" s="3">
        <f>Y34+Y35+MAX(Y25*$B$16,(Y32-X29)/$B$18)</f>
        <v>65748.278879953825</v>
      </c>
      <c r="Z21" s="3">
        <f>Z34+Z35+MAX(Z25*$B$16,(Z32-Y29)/$B$18)</f>
        <v>66077.020274353592</v>
      </c>
      <c r="AA21" s="3">
        <f>AA34+AA35+MAX(AA25*$B$16,(AA32-Z29)/$B$18)</f>
        <v>66407.405375725357</v>
      </c>
      <c r="AB21" s="3">
        <f>AB34+AB35+MAX(AB25*$B$16,(AB32-AA29)/$B$18)</f>
        <v>66739.442402603978</v>
      </c>
      <c r="AC21" s="3">
        <f>AC34+AC35+MAX(AC25*$B$16,(AC32-AB29)/$B$18)</f>
        <v>67073.139614616986</v>
      </c>
      <c r="AD21" s="3">
        <f>AD34+AD35+MAX(AD25*$B$16,(AD32-AC29)/$B$18)</f>
        <v>0</v>
      </c>
      <c r="AE21" s="3">
        <f>AE34+AE35+MAX(AE25*$B$16,(AE32-AD29)/$B$18)</f>
        <v>0</v>
      </c>
      <c r="AF21" s="3">
        <f>AF34+AF35+MAX(AF25*$B$16,(AF32-AE29)/$B$18)</f>
        <v>0</v>
      </c>
      <c r="AG21" s="3">
        <f>AG34+AG35+MAX(AG25*$B$16,(AG32-AF29)/$B$18)</f>
        <v>0</v>
      </c>
      <c r="AH21" s="3">
        <f>AH34+AH35+MAX(AH25*$B$16,(AH32-AG29)/$B$18)</f>
        <v>0</v>
      </c>
      <c r="AI21" s="3">
        <f>AI34+AI35+MAX(AI25*$B$16,(AI32-AH29)/$B$18)</f>
        <v>0</v>
      </c>
      <c r="AJ21" s="3">
        <f>AJ34+AJ35+MAX(AJ25*$B$16,(AJ32-AI29)/$B$18)</f>
        <v>0</v>
      </c>
      <c r="AK21" s="3">
        <f>AK34+AK35+MAX(AK25*$B$16,(AK32-AJ29)/$B$18)</f>
        <v>0</v>
      </c>
      <c r="AL21" s="3">
        <f>AL34+AL35+MAX(AL25*$B$16,(AL32-AK29)/$B$18)</f>
        <v>0</v>
      </c>
      <c r="AM21" s="3">
        <f>AM34+AM35+MAX(AM25*$B$16,(AM32-AL29)/$B$18)</f>
        <v>0</v>
      </c>
      <c r="AN21" s="3">
        <f>AN34+AN35+MAX(AN25*$B$16,(AN32-AM29)/$B$18)</f>
        <v>0</v>
      </c>
      <c r="AO21" s="3">
        <f>AO34+AO35+MAX(AO25*$B$16,(AO32-AN29)/$B$18)</f>
        <v>0</v>
      </c>
    </row>
    <row r="22" spans="6:41" ht="14.25"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</row>
    <row r="23" spans="4:41" ht="14.25">
      <c r="D23" t="s">
        <v>132</v>
      </c>
      <c r="F23" s="213">
        <f>F19-F34</f>
        <v>90000</v>
      </c>
      <c r="G23" s="213">
        <f>G19-G34</f>
        <v>203976</v>
      </c>
      <c r="H23" s="213">
        <f>H19-H34</f>
        <v>203976</v>
      </c>
      <c r="I23" s="213">
        <f>I19-I34-I36</f>
        <v>203976</v>
      </c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O23" s="213"/>
    </row>
    <row r="24" spans="6:41" ht="14.25"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T24" s="213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  <c r="AJ24" s="213"/>
      <c r="AK24" s="213"/>
      <c r="AL24" s="213"/>
      <c r="AM24" s="213"/>
      <c r="AN24" s="213"/>
      <c r="AO24" s="213"/>
    </row>
    <row r="25" spans="4:41" ht="14.25">
      <c r="D25" t="s">
        <v>131</v>
      </c>
      <c r="F25" s="214">
        <f>IF(F15=$B$5,$G$6*1000,IF(F15&gt;$E$6-1+$B$5,0,E25*(1+$B$3)))</f>
        <v>0</v>
      </c>
      <c r="G25" s="214">
        <f>IF(G15=$B$5,$G$6*1000,IF(G15&gt;$E$6-1+$B$5,0,F25*(1+$B$3)))</f>
        <v>0</v>
      </c>
      <c r="H25" s="214">
        <f>IF(H15=$B$5,$G$6*1000,IF(H15&gt;$E$6-1+$B$5,0,G25*(1+$B$3)))</f>
        <v>0</v>
      </c>
      <c r="I25" s="214">
        <f>IF(I15=$B$5,$G$6*1000,IF(I15&gt;$E$6-1+$B$5,0,H25*(1+$B$3)))</f>
        <v>0</v>
      </c>
      <c r="J25" s="214">
        <f>IF(J15=$B$5,$G$6,IF(J15&gt;$E$6-1+$B$5,0,I25*(1+$B$3)))</f>
        <v>46929.951992751812</v>
      </c>
      <c r="K25" s="214">
        <f>IF(K15=$B$5,$G$6,IF(K15&gt;$E$6-1+$B$5,0,J25*(1+$B$3)))</f>
        <v>47164.601752715564</v>
      </c>
      <c r="L25" s="214">
        <f>IF(L15=$B$5,$G$6,IF(L15&gt;$E$6-1+$B$5,0,K25*(1+$B$3)))</f>
        <v>47400.424761479138</v>
      </c>
      <c r="M25" s="214">
        <f>IF(M15=$B$5,$G$6,IF(M15&gt;$E$6-1+$B$5,0,L25*(1+$B$3)))</f>
        <v>47637.426885286528</v>
      </c>
      <c r="N25" s="214">
        <f>IF(N15=$B$5,$G$6,IF(N15&gt;$E$6-1+$B$5,0,M25*(1+$B$3)))</f>
        <v>47875.614019712957</v>
      </c>
      <c r="O25" s="214">
        <f>IF(O15=$B$5,$G$6,IF(O15&gt;$E$6-1+$B$5,0,N25*(1+$B$3)))</f>
        <v>48114.992089811516</v>
      </c>
      <c r="P25" s="214">
        <f>IF(P15=$B$5,$G$6,IF(P15&gt;$E$6-1+$B$5,0,O25*(1+$B$3)))</f>
        <v>48355.567050260572</v>
      </c>
      <c r="Q25" s="214">
        <f>IF(Q15=$B$5,$G$6,IF(Q15&gt;$E$6-1+$B$5,0,P25*(1+$B$3)))</f>
        <v>48597.34488551187</v>
      </c>
      <c r="R25" s="214">
        <f>IF(R15=$B$5,$G$6,IF(R15&gt;$E$6-1+$B$5,0,Q25*(1+$B$3)))</f>
        <v>48840.331609939421</v>
      </c>
      <c r="S25" s="214">
        <f>IF(S15=$B$5,$G$6,IF(S15&gt;$E$6-1+$B$5,0,R25*(1+$B$3)))</f>
        <v>49084.533267989114</v>
      </c>
      <c r="T25" s="214">
        <f>IF(T15=$B$5,$G$6,IF(T15&gt;$E$6-1+$B$5,0,S25*(1+$B$3)))</f>
        <v>49329.955934329053</v>
      </c>
      <c r="U25" s="214">
        <f>IF(U15=$B$5,$G$6,IF(U15&gt;$E$6-1+$B$5,0,T25*(1+$B$3)))</f>
        <v>49576.605714000696</v>
      </c>
      <c r="V25" s="214">
        <f>IF(V15=$B$5,$G$6,IF(V15&gt;$E$6-1+$B$5,0,U25*(1+$B$3)))</f>
        <v>49824.488742570691</v>
      </c>
      <c r="W25" s="214">
        <f>IF(W15=$B$5,$G$6,IF(W15&gt;$E$6-1+$B$5,0,V25*(1+$B$3)))</f>
        <v>50073.611186283539</v>
      </c>
      <c r="X25" s="214">
        <f>IF(X15=$B$5,$G$6,IF(X15&gt;$E$6-1+$B$5,0,W25*(1+$B$3)))</f>
        <v>50323.979242214948</v>
      </c>
      <c r="Y25" s="214">
        <f>IF(Y15=$B$5,$G$6,IF(Y15&gt;$E$6-1+$B$5,0,X25*(1+$B$3)))</f>
        <v>50575.59913842602</v>
      </c>
      <c r="Z25" s="214">
        <f>IF(Z15=$B$5,$G$6,IF(Z15&gt;$E$6-1+$B$5,0,Y25*(1+$B$3)))</f>
        <v>50828.477134118148</v>
      </c>
      <c r="AA25" s="214">
        <f>IF(AA15=$B$5,$G$6,IF(AA15&gt;$E$6-1+$B$5,0,Z25*(1+$B$3)))</f>
        <v>51082.619519788735</v>
      </c>
      <c r="AB25" s="214">
        <f>IF(AB15=$B$5,$G$6,IF(AB15&gt;$E$6-1+$B$5,0,AA25*(1+$B$3)))</f>
        <v>51338.032617387675</v>
      </c>
      <c r="AC25" s="214">
        <f>IF(AC15=$B$5,$G$6,IF(AC15&gt;$E$6-1+$B$5,0,AB25*(1+$B$3)))</f>
        <v>51594.722780474607</v>
      </c>
      <c r="AD25" s="214">
        <f>IF(AD15=$B$5,$G$6,IF(AD15&gt;$E$6-1+$B$5,0,AC25*(1+$B$3)))</f>
        <v>0</v>
      </c>
      <c r="AE25" s="214">
        <f>IF(AE15=$B$5,$G$6,IF(AE15&gt;$E$6-1+$B$5,0,AD25*(1+$B$3)))</f>
        <v>0</v>
      </c>
      <c r="AF25" s="214">
        <f>IF(AF15=$B$5,$G$6,IF(AF15&gt;$E$6-1+$B$5,0,AE25*(1+$B$3)))</f>
        <v>0</v>
      </c>
      <c r="AG25" s="214">
        <f>IF(AG15=$B$5,$G$6,IF(AG15&gt;$E$6-1+$B$5,0,AF25*(1+$B$3)))</f>
        <v>0</v>
      </c>
      <c r="AH25" s="214">
        <f>IF(AH15=$B$5,$G$6,IF(AH15&gt;$E$6-1+$B$5,0,AG25*(1+$B$3)))</f>
        <v>0</v>
      </c>
      <c r="AI25" s="214">
        <f>IF(AI15=$B$5,$G$6,IF(AI15&gt;$E$6-1+$B$5,0,AH25*(1+$B$3)))</f>
        <v>0</v>
      </c>
      <c r="AJ25" s="214">
        <f>IF(AJ15=$B$5,$G$6,IF(AJ15&gt;$E$6-1+$B$5,0,AI25*(1+$B$3)))</f>
        <v>0</v>
      </c>
      <c r="AK25" s="214">
        <f>IF(AK15=$B$5,$G$6,IF(AK15&gt;$E$6-1+$B$5,0,AJ25*(1+$B$3)))</f>
        <v>0</v>
      </c>
      <c r="AL25" s="214">
        <f>IF(AL15=$B$5,$G$6,IF(AL15&gt;$E$6-1+$B$5,0,AK25*(1+$B$3)))</f>
        <v>0</v>
      </c>
      <c r="AM25" s="214">
        <f>IF(AM15=$B$5,$G$6,IF(AM15&gt;$E$6-1+$B$5,0,AL25*(1+$B$3)))</f>
        <v>0</v>
      </c>
      <c r="AN25" s="214">
        <f>IF(AN15=$B$5,$G$6,IF(AN15&gt;$E$6-1+$B$5,0,AM25*(1+$B$3)))</f>
        <v>0</v>
      </c>
      <c r="AO25" s="214">
        <f>IF(AO15=$B$5,$G$6,IF(AO15&gt;$E$6-1+$B$5,0,AN25*(1+$B$3)))</f>
        <v>0</v>
      </c>
    </row>
    <row r="26" spans="6:41" ht="14.25"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3"/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  <c r="AF26" s="213"/>
      <c r="AG26" s="213"/>
      <c r="AH26" s="213"/>
      <c r="AI26" s="213"/>
      <c r="AJ26" s="213"/>
      <c r="AK26" s="213"/>
      <c r="AL26" s="213"/>
      <c r="AM26" s="213"/>
      <c r="AN26" s="213"/>
      <c r="AO26" s="213"/>
    </row>
    <row r="27" spans="4:41" ht="14.25">
      <c r="D27" t="s">
        <v>130</v>
      </c>
      <c r="F27" s="213"/>
      <c r="G27" s="213">
        <f>F32*$B$14</f>
        <v>2700</v>
      </c>
      <c r="H27" s="213">
        <f>G32*$B$14</f>
        <v>8900.2799999999988</v>
      </c>
      <c r="I27" s="213">
        <f>H32*$B$14</f>
        <v>15286.5684</v>
      </c>
      <c r="J27" s="213">
        <f>I32*$B$14</f>
        <v>21864.445452</v>
      </c>
      <c r="K27" s="213">
        <f>J32*$B$14</f>
        <v>21112.480255777446</v>
      </c>
      <c r="L27" s="213">
        <f>K32*$B$14</f>
        <v>20330.916610869303</v>
      </c>
      <c r="M27" s="213">
        <f>L32*$B$14</f>
        <v>19518.831366351009</v>
      </c>
      <c r="N27" s="213">
        <f>M32*$B$14</f>
        <v>18675.273500782943</v>
      </c>
      <c r="O27" s="213">
        <f>N32*$B$14</f>
        <v>17799.263285215042</v>
      </c>
      <c r="P27" s="213">
        <f>O32*$B$14</f>
        <v>16889.791421077149</v>
      </c>
      <c r="Q27" s="213">
        <f>P32*$B$14</f>
        <v>15945.818152201648</v>
      </c>
      <c r="R27" s="213">
        <f>Q32*$B$14</f>
        <v>14966.272350202342</v>
      </c>
      <c r="S27" s="213">
        <f>R32*$B$14</f>
        <v>13950.05057241023</v>
      </c>
      <c r="T27" s="213">
        <f>S32*$B$14</f>
        <v>12896.016091542862</v>
      </c>
      <c r="U27" s="213">
        <f>T32*$B$14</f>
        <v>11802.997896259278</v>
      </c>
      <c r="V27" s="213">
        <f>U32*$B$14</f>
        <v>10669.789661727036</v>
      </c>
      <c r="W27" s="213">
        <f>V32*$B$14</f>
        <v>9495.1486893017263</v>
      </c>
      <c r="X27" s="213">
        <f>W32*$B$14</f>
        <v>8277.7948143922713</v>
      </c>
      <c r="Y27" s="213">
        <f>X32*$B$14</f>
        <v>7016.4092815575905</v>
      </c>
      <c r="Z27" s="213">
        <f>Y32*$B$14</f>
        <v>5709.6335858515376</v>
      </c>
      <c r="AA27" s="213">
        <f>Z32*$B$14</f>
        <v>4356.0682794035383</v>
      </c>
      <c r="AB27" s="213">
        <f>AA32*$B$14</f>
        <v>2954.2717421919833</v>
      </c>
      <c r="AC27" s="213">
        <f>AB32*$B$14</f>
        <v>1502.7589159361123</v>
      </c>
      <c r="AD27" s="213">
        <f>AC32*$B$14</f>
        <v>-4.2564352042973039E-11</v>
      </c>
      <c r="AE27" s="213">
        <f>AD32*$B$14</f>
        <v>-4.3841282604262227E-11</v>
      </c>
      <c r="AF27" s="213">
        <f>AE32*$B$14</f>
        <v>-4.5156521082390094E-11</v>
      </c>
      <c r="AG27" s="213">
        <f>AF32*$B$14</f>
        <v>-4.6511216714861796E-11</v>
      </c>
      <c r="AH27" s="213">
        <f>AG32*$B$14</f>
        <v>-4.7906553216307652E-11</v>
      </c>
      <c r="AI27" s="213">
        <f>AH32*$B$14</f>
        <v>-4.9343749812796879E-11</v>
      </c>
      <c r="AJ27" s="213">
        <f>AI32*$B$14</f>
        <v>-5.0824062307180788E-11</v>
      </c>
      <c r="AK27" s="213">
        <f>AJ32*$B$14</f>
        <v>-5.2348784176396215E-11</v>
      </c>
      <c r="AL27" s="213">
        <f>AK32*$B$14</f>
        <v>-5.3919247701688096E-11</v>
      </c>
      <c r="AM27" s="213">
        <f>AL32*$B$14</f>
        <v>-5.5536825132738738E-11</v>
      </c>
      <c r="AN27" s="213">
        <f>AM32*$B$14</f>
        <v>-5.7202929886720903E-11</v>
      </c>
      <c r="AO27" s="213">
        <f>AN32*$B$14</f>
        <v>-5.8919017783322524E-11</v>
      </c>
    </row>
    <row r="28" spans="6:41" ht="14.25"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</row>
    <row r="29" spans="4:41" ht="14.25">
      <c r="D29" t="s">
        <v>129</v>
      </c>
      <c r="F29" s="213">
        <f>F21-F19+F23-F25+E29+F36</f>
        <v>0</v>
      </c>
      <c r="G29" s="213">
        <f>G21-G19+G23-G25+F29+G36</f>
        <v>0</v>
      </c>
      <c r="H29" s="213">
        <f>H21-H19+H23-H25+G29+H36</f>
        <v>0</v>
      </c>
      <c r="I29" s="213">
        <f>I21-I19+I23-I25+H29+I36</f>
        <v>0</v>
      </c>
      <c r="J29" s="213">
        <f>J21-J19+J23-J25+I29+J36</f>
        <v>35864.088225983272</v>
      </c>
      <c r="K29" s="213">
        <f>K21-K19+K23-K25+J29+K36</f>
        <v>64209.266724600267</v>
      </c>
      <c r="L29" s="213">
        <f>L21-L19+L23-L25+K29+L36</f>
        <v>85799.247314544671</v>
      </c>
      <c r="M29" s="213">
        <f>M21-M19+M23-M25+L29+M36</f>
        <v>101304.15800316641</v>
      </c>
      <c r="N29" s="213">
        <f>N21-N19+N23-N25+M29+N36</f>
        <v>115666.84220908029</v>
      </c>
      <c r="O29" s="213">
        <f>O21-O19+O23-O25+N29+O36</f>
        <v>130101.33983602375</v>
      </c>
      <c r="P29" s="213">
        <f>P21-P19+P23-P25+O29+P36</f>
        <v>144608.00995110191</v>
      </c>
      <c r="Q29" s="213">
        <f>Q21-Q19+Q23-Q25+P29+Q36</f>
        <v>159187.21341675546</v>
      </c>
      <c r="R29" s="213">
        <f>R21-R19+R23-R25+Q29+R36</f>
        <v>173839.3128997373</v>
      </c>
      <c r="S29" s="213">
        <f>S21-S19+S23-S25+R29+S36</f>
        <v>188564.67288013402</v>
      </c>
      <c r="T29" s="213">
        <f>T21-T19+T23-T25+S29+T36</f>
        <v>203363.65966043275</v>
      </c>
      <c r="U29" s="213">
        <f>U21-U19+U23-U25+T29+U36</f>
        <v>218236.64137463295</v>
      </c>
      <c r="V29" s="213">
        <f>V21-V19+V23-V25+U29+V36</f>
        <v>233183.98799740415</v>
      </c>
      <c r="W29" s="213">
        <f>W21-W19+W23-W25+V29+W36</f>
        <v>248206.07135328921</v>
      </c>
      <c r="X29" s="213">
        <f>X21-X19+X23-X25+W29+X36</f>
        <v>263303.26512595371</v>
      </c>
      <c r="Y29" s="213">
        <f>Y21-Y19+Y23-Y25+X29+Y36</f>
        <v>278475.94486748154</v>
      </c>
      <c r="Z29" s="213">
        <f>Z21-Z19+Z23-Z25+Y29+Z36</f>
        <v>293724.48800771695</v>
      </c>
      <c r="AA29" s="213">
        <f>AA21-AA19+AA23-AA25+Z29+AA36</f>
        <v>309049.27386365359</v>
      </c>
      <c r="AB29" s="213">
        <f>AB21-AB19+AB23-AB25+AA29+AB36</f>
        <v>324450.68364886992</v>
      </c>
      <c r="AC29" s="213">
        <f>AC21-AC19+AC23-AC25+AB29+AC36</f>
        <v>339929.10048301227</v>
      </c>
      <c r="AD29" s="213">
        <f>AD21-AD19+AD23-AD25+AC29+AD36</f>
        <v>339929.10048301227</v>
      </c>
      <c r="AE29" s="213">
        <f>AE21-AE19+AE23-AE25+AD29+AE36</f>
        <v>339929.10048301227</v>
      </c>
      <c r="AF29" s="213">
        <f>AF21-AF19+AF23-AF25+AE29+AF36</f>
        <v>339929.10048301227</v>
      </c>
      <c r="AG29" s="213">
        <f>AG21-AG19+AG23-AG25+AF29+AG36</f>
        <v>339929.10048301227</v>
      </c>
      <c r="AH29" s="213">
        <f>AH21-AH19+AH23-AH25+AG29+AH36</f>
        <v>339929.10048301227</v>
      </c>
      <c r="AI29" s="213">
        <f>AI21-AI19+AI23-AI25+AH29+AI36</f>
        <v>339929.10048301227</v>
      </c>
      <c r="AJ29" s="213">
        <f>AJ21-AJ19+AJ23-AJ25+AI29+AJ36</f>
        <v>339929.10048301227</v>
      </c>
      <c r="AK29" s="213">
        <f>AK21-AK19+AK23-AK25+AJ29+AK36</f>
        <v>339929.10048301227</v>
      </c>
      <c r="AL29" s="213">
        <f>AL21-AL19+AL23-AL25+AK29+AL36</f>
        <v>339929.10048301227</v>
      </c>
      <c r="AM29" s="213">
        <f>AM21-AM19+AM23-AM25+AL29+AM36</f>
        <v>339929.10048301227</v>
      </c>
      <c r="AN29" s="213">
        <f>AN21-AN19+AN23-AN25+AM29+AN36</f>
        <v>339929.10048301227</v>
      </c>
      <c r="AO29" s="213">
        <f>AO21-AO19+AO23-AO25+AN29+AO36</f>
        <v>339929.10048301227</v>
      </c>
    </row>
    <row r="30" spans="6:41" ht="14.25"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213"/>
    </row>
    <row r="31" spans="6:41" ht="14.25"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213"/>
    </row>
    <row r="32" spans="4:41" ht="14.25">
      <c r="D32" t="s">
        <v>128</v>
      </c>
      <c r="F32" s="214">
        <f>F23-F25+F27+E32</f>
        <v>90000</v>
      </c>
      <c r="G32" s="214">
        <f>G23-G25+G27+F32</f>
        <v>296676</v>
      </c>
      <c r="H32" s="214">
        <f>H23-H25+H27+G32</f>
        <v>509552.28000000003</v>
      </c>
      <c r="I32" s="214">
        <f>I23-I25+I27+H32</f>
        <v>728814.84840000002</v>
      </c>
      <c r="J32" s="214">
        <f>J23-J25+J27+I32</f>
        <v>703749.34185924823</v>
      </c>
      <c r="K32" s="214">
        <f>K23-K25+K27+J32</f>
        <v>677697.22036231006</v>
      </c>
      <c r="L32" s="214">
        <f>L23-L25+L27+K32</f>
        <v>650627.71221170027</v>
      </c>
      <c r="M32" s="214">
        <f>M23-M25+M27+L32</f>
        <v>622509.1166927648</v>
      </c>
      <c r="N32" s="214">
        <f>N23-N25+N27+M32</f>
        <v>593308.77617383481</v>
      </c>
      <c r="O32" s="214">
        <f>O23-O25+O27+N32</f>
        <v>562993.04736923834</v>
      </c>
      <c r="P32" s="214">
        <f>P23-P25+P27+O32</f>
        <v>531527.27174005494</v>
      </c>
      <c r="Q32" s="214">
        <f>Q23-Q25+Q27+P32</f>
        <v>498875.74500674475</v>
      </c>
      <c r="R32" s="214">
        <f>R23-R25+R27+Q32</f>
        <v>465001.68574700766</v>
      </c>
      <c r="S32" s="214">
        <f>S23-S25+S27+R32</f>
        <v>429867.20305142878</v>
      </c>
      <c r="T32" s="214">
        <f>T23-T25+T27+S32</f>
        <v>393433.2632086426</v>
      </c>
      <c r="U32" s="214">
        <f>U23-U25+U27+T32</f>
        <v>355659.6553909012</v>
      </c>
      <c r="V32" s="214">
        <f>V23-V25+V27+U32</f>
        <v>316504.95631005755</v>
      </c>
      <c r="W32" s="214">
        <f>W23-W25+W27+V32</f>
        <v>275926.49381307571</v>
      </c>
      <c r="X32" s="214">
        <f>X23-X25+X27+W32</f>
        <v>233880.30938525303</v>
      </c>
      <c r="Y32" s="214">
        <f>Y23-Y25+Y27+X32</f>
        <v>190321.11952838459</v>
      </c>
      <c r="Z32" s="214">
        <f>Z23-Z25+Z27+Y32</f>
        <v>145202.27598011796</v>
      </c>
      <c r="AA32" s="214">
        <f>AA23-AA25+AA27+Z32</f>
        <v>98475.724739732774</v>
      </c>
      <c r="AB32" s="214">
        <f>AB23-AB25+AB27+AA32</f>
        <v>50091.96386453708</v>
      </c>
      <c r="AC32" s="214">
        <f>AC23-AC25+AC27+AB32</f>
        <v>-1.4188117347657681E-09</v>
      </c>
      <c r="AD32" s="214">
        <f>AD23-AD25+AD27+AC32</f>
        <v>-1.4613760868087411E-09</v>
      </c>
      <c r="AE32" s="214">
        <f>AE23-AE25+AE27+AD32</f>
        <v>-1.5052173694130032E-09</v>
      </c>
      <c r="AF32" s="214">
        <f>AF23-AF25+AF27+AE32</f>
        <v>-1.5503738904953934E-09</v>
      </c>
      <c r="AG32" s="214">
        <f>AG23-AG25+AG27+AF32</f>
        <v>-1.5968851072102552E-09</v>
      </c>
      <c r="AH32" s="214">
        <f>AH23-AH25+AH27+AG32</f>
        <v>-1.6447916604265628E-09</v>
      </c>
      <c r="AI32" s="214">
        <f>AI23-AI25+AI27+AH32</f>
        <v>-1.6941354102393597E-09</v>
      </c>
      <c r="AJ32" s="214">
        <f>AJ23-AJ25+AJ27+AI32</f>
        <v>-1.7449594725465405E-09</v>
      </c>
      <c r="AK32" s="214">
        <f>AK23-AK25+AK27+AJ32</f>
        <v>-1.7973082567229366E-09</v>
      </c>
      <c r="AL32" s="214">
        <f>AL23-AL25+AL27+AK32</f>
        <v>-1.8512275044246247E-09</v>
      </c>
      <c r="AM32" s="214">
        <f>AM23-AM25+AM27+AL32</f>
        <v>-1.9067643295573634E-09</v>
      </c>
      <c r="AN32" s="214">
        <f>AN23-AN25+AN27+AM32</f>
        <v>-1.9639672594440842E-09</v>
      </c>
      <c r="AO32" s="214">
        <f>AO23-AO25+AO27+AN32</f>
        <v>-2.0228862772274066E-09</v>
      </c>
    </row>
    <row r="34" spans="4:11" ht="14.25">
      <c r="D34" t="s">
        <v>127</v>
      </c>
      <c r="F34" s="1">
        <f>$F$3*F19/$B$6</f>
        <v>35000</v>
      </c>
      <c r="G34" s="1">
        <f>$F$3*G19/$B$6</f>
        <v>79324</v>
      </c>
      <c r="H34" s="1">
        <f>$F$3*H19/$B$6</f>
        <v>79324</v>
      </c>
      <c r="I34" s="1">
        <f>$F$3*I19/$B$6</f>
        <v>79324</v>
      </c>
      <c r="J34" s="1">
        <f>$F$3*J19/$B$6</f>
        <v>0</v>
      </c>
      <c r="K34" s="1">
        <f>$F$3*K19/$B$6</f>
        <v>0</v>
      </c>
    </row>
    <row r="35" spans="4:41" ht="14.25">
      <c r="D35" t="s">
        <v>126</v>
      </c>
      <c r="F35" s="214">
        <f>IF(AND(F15&lt;$B$5,F15+1&gt;$B$5-$F$2),$G$6,0)</f>
        <v>0</v>
      </c>
      <c r="G35" s="214">
        <f>IF(AND(G15&lt;$B$5,G15+1&gt;$B$5-$F$2),$G$6,0)</f>
        <v>0</v>
      </c>
      <c r="H35" s="214">
        <f>IF(AND(H15&lt;$B$5,H15+1&gt;$B$5-$F$2),$G$6,0)</f>
        <v>0</v>
      </c>
      <c r="I35" s="214">
        <f>IF(AND(I15&lt;$B$5,I15+1&gt;$B$5-$F$2),$G$6,0)</f>
        <v>0</v>
      </c>
      <c r="J35" s="214">
        <f>IF(AND(J15&lt;$B$5,J15+1&gt;$B$5-$F$2),$G$6,0)</f>
        <v>0</v>
      </c>
      <c r="K35" s="214">
        <f>IF(AND(K15&lt;$B$5,K15+1&gt;$B$5-$F$2),$G$6,0)</f>
        <v>0</v>
      </c>
      <c r="L35" s="214">
        <f>IF(AND(L15&lt;$B$5,L15+1&gt;$B$5-$F$2),$G$6,0)</f>
        <v>0</v>
      </c>
      <c r="M35" s="214">
        <f>IF(AND(M15&lt;$B$5,M15+1&gt;$B$5-$F$2),$G$6,0)</f>
        <v>0</v>
      </c>
      <c r="N35" s="214">
        <f>IF(AND(N15&lt;$B$5,N15+1&gt;$B$5-$F$2),$G$6,0)</f>
        <v>0</v>
      </c>
      <c r="O35" s="214">
        <f>IF(AND(O15&lt;$B$5,O15+1&gt;$B$5-$F$2),$G$6,0)</f>
        <v>0</v>
      </c>
      <c r="P35" s="214">
        <f>IF(AND(P15&lt;$B$5,P15+1&gt;$B$5-$F$2),$G$6,0)</f>
        <v>0</v>
      </c>
      <c r="Q35" s="214">
        <f>IF(AND(Q15&lt;$B$5,Q15+1&gt;$B$5-$F$2),$G$6,0)</f>
        <v>0</v>
      </c>
      <c r="R35" s="214">
        <f>IF(AND(R15&lt;$B$5,R15+1&gt;$B$5-$F$2),$G$6,0)</f>
        <v>0</v>
      </c>
      <c r="S35" s="214">
        <f>IF(AND(S15&lt;$B$5,S15+1&gt;$B$5-$F$2),$G$6,0)</f>
        <v>0</v>
      </c>
      <c r="T35" s="214">
        <f>IF(AND(T15&lt;$B$5,T15+1&gt;$B$5-$F$2),$G$6,0)</f>
        <v>0</v>
      </c>
      <c r="U35" s="214">
        <f>IF(AND(U15&lt;$B$5,U15+1&gt;$B$5-$F$2),$G$6,0)</f>
        <v>0</v>
      </c>
      <c r="V35" s="214">
        <f>IF(AND(V15&lt;$B$5,V15+1&gt;$B$5-$F$2),$G$6,0)</f>
        <v>0</v>
      </c>
      <c r="W35" s="214">
        <f>IF(AND(W15&lt;$B$5,W15+1&gt;$B$5-$F$2),$G$6,0)</f>
        <v>0</v>
      </c>
      <c r="X35" s="214">
        <f>IF(AND(X15&lt;$B$5,X15+1&gt;$B$5-$F$2),$G$6,0)</f>
        <v>0</v>
      </c>
      <c r="Y35" s="214">
        <f>IF(AND(Y15&lt;$B$5,Y15+1&gt;$B$5-$F$2),$G$6,0)</f>
        <v>0</v>
      </c>
      <c r="Z35" s="214">
        <f>IF(AND(Z15&lt;$B$5,Z15+1&gt;$B$5-$F$2),$G$6,0)</f>
        <v>0</v>
      </c>
      <c r="AA35" s="214">
        <f>IF(AND(AA15&lt;$B$5,AA15+1&gt;$B$5-$F$2),$G$6,0)</f>
        <v>0</v>
      </c>
      <c r="AB35" s="214">
        <f>IF(AND(AB15&lt;$B$5,AB15+1&gt;$B$5-$F$2),$G$6,0)</f>
        <v>0</v>
      </c>
      <c r="AC35" s="214">
        <f>IF(AND(AC15&lt;$B$5,AC15+1&gt;$B$5-$F$2),$G$6,0)</f>
        <v>0</v>
      </c>
      <c r="AD35" s="214">
        <f>IF(AND(AD15&lt;$B$5,AD15+1&gt;$B$5-$F$2),$G$6,0)</f>
        <v>0</v>
      </c>
      <c r="AE35" s="214">
        <f>IF(AND(AE15&lt;$B$5,AE15+1&gt;$B$5-$F$2),$G$6,0)</f>
        <v>0</v>
      </c>
      <c r="AF35" s="214">
        <f>IF(AND(AF15&lt;$B$5,AF15+1&gt;$B$5-$F$2),$G$6,0)</f>
        <v>0</v>
      </c>
      <c r="AG35" s="214">
        <f>IF(AND(AG15&lt;$B$5,AG15+1&gt;$B$5-$F$2),$G$6,0)</f>
        <v>0</v>
      </c>
      <c r="AH35" s="214">
        <f>IF(AND(AH15&lt;$B$5,AH15+1&gt;$B$5-$F$2),$G$6,0)</f>
        <v>0</v>
      </c>
      <c r="AI35" s="214">
        <f>IF(AND(AI15&lt;$B$5,AI15+1&gt;$B$5-$F$2),$G$6,0)</f>
        <v>0</v>
      </c>
      <c r="AJ35" s="214">
        <f>IF(AND(AJ15&lt;$B$5,AJ15+1&gt;$B$5-$F$2),$G$6,0)</f>
        <v>0</v>
      </c>
      <c r="AK35" s="214">
        <f>IF(AND(AK15&lt;$B$5,AK15+1&gt;$B$5-$F$2),$G$6,0)</f>
        <v>0</v>
      </c>
      <c r="AL35" s="214">
        <f>IF(AND(AL15&lt;$B$5,AL15+1&gt;$B$5-$F$2),$G$6,0)</f>
        <v>0</v>
      </c>
      <c r="AM35" s="214">
        <f>IF(AND(AM15&lt;$B$5,AM15+1&gt;$B$5-$F$2),$G$6,0)</f>
        <v>0</v>
      </c>
      <c r="AN35" s="214">
        <f>IF(AND(AN15&lt;$B$5,AN15+1&gt;$B$5-$F$2),$G$6,0)</f>
        <v>0</v>
      </c>
      <c r="AO35" s="214">
        <f>IF(AND(AO15&lt;$B$5,AO15+1&gt;$B$5-$F$2),$G$6,0)</f>
        <v>0</v>
      </c>
    </row>
    <row r="36" spans="4:28" ht="14.25">
      <c r="D36" t="s">
        <v>125</v>
      </c>
      <c r="I36" s="213">
        <f>F4</f>
        <v>0</v>
      </c>
      <c r="AB36" s="3"/>
    </row>
    <row r="37" spans="10:10" ht="14.25">
      <c r="J37">
        <f>J32/J21</f>
        <v>8.5</v>
      </c>
    </row>
  </sheetData>
  <mergeCells count="2">
    <mergeCell ref="L1:O1"/>
    <mergeCell ref="J3:J7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3D63D-5883-472C-931D-BAE6FFB2A87C}">
  <dimension ref="A1:FV99"/>
  <sheetViews>
    <sheetView rightToLeft="1" workbookViewId="0" topLeftCell="A1">
      <selection pane="topLeft" activeCell="I77" sqref="I77"/>
    </sheetView>
  </sheetViews>
  <sheetFormatPr defaultRowHeight="14.25"/>
  <cols>
    <col min="1" max="1" width="58.5" customWidth="1"/>
    <col min="2" max="2" width="11.5" hidden="1" customWidth="1"/>
    <col min="3" max="3" width="12.25" hidden="1" customWidth="1"/>
    <col min="4" max="4" width="12.125" customWidth="1"/>
    <col min="5" max="7" width="13.25" bestFit="1" customWidth="1"/>
    <col min="8" max="8" width="14" bestFit="1" customWidth="1"/>
    <col min="9" max="11" width="13.25" bestFit="1" customWidth="1"/>
    <col min="12" max="12" width="13" bestFit="1" customWidth="1"/>
    <col min="13" max="20" width="13.25" bestFit="1" customWidth="1"/>
    <col min="21" max="21" width="13.25" customWidth="1"/>
    <col min="22" max="26" width="12.25" bestFit="1" customWidth="1"/>
  </cols>
  <sheetData>
    <row r="1" spans="1:1" ht="16.5" thickBot="1">
      <c r="A1" s="124" t="s">
        <v>124</v>
      </c>
    </row>
    <row r="2" spans="1:26" ht="15" thickBot="1">
      <c r="A2" s="212" t="s">
        <v>84</v>
      </c>
      <c r="B2" s="97">
        <v>2010</v>
      </c>
      <c r="C2" s="59">
        <v>2011</v>
      </c>
      <c r="D2" s="60">
        <v>2012</v>
      </c>
      <c r="E2" s="58">
        <v>2013</v>
      </c>
      <c r="F2" s="59">
        <v>2014</v>
      </c>
      <c r="G2" s="58">
        <v>2015</v>
      </c>
      <c r="H2" s="59">
        <v>2016</v>
      </c>
      <c r="I2" s="58">
        <v>2017</v>
      </c>
      <c r="J2" s="59">
        <v>2018</v>
      </c>
      <c r="K2" s="58">
        <v>2019</v>
      </c>
      <c r="L2" s="97">
        <v>2020</v>
      </c>
      <c r="M2" s="58">
        <v>2021</v>
      </c>
      <c r="N2" s="58">
        <v>2022</v>
      </c>
      <c r="O2" s="58">
        <v>2023</v>
      </c>
      <c r="P2" s="58">
        <v>2024</v>
      </c>
      <c r="Q2" s="58">
        <v>2025</v>
      </c>
      <c r="R2" s="58">
        <v>2026</v>
      </c>
      <c r="S2" s="59">
        <v>2027</v>
      </c>
      <c r="T2" s="58">
        <v>2028</v>
      </c>
      <c r="U2" s="59">
        <v>2029</v>
      </c>
      <c r="V2" s="58">
        <v>2030</v>
      </c>
      <c r="W2" s="97">
        <v>2031</v>
      </c>
      <c r="X2" s="58">
        <f>W2+1</f>
        <v>2032</v>
      </c>
      <c r="Y2" s="58">
        <f>X2+1</f>
        <v>2033</v>
      </c>
      <c r="Z2" s="58">
        <f>Y2+1</f>
        <v>2034</v>
      </c>
    </row>
    <row r="3" spans="1:26" ht="14.25">
      <c r="A3" s="119" t="s">
        <v>83</v>
      </c>
      <c r="B3" s="96">
        <f>B77*B78+B88</f>
        <v>96789918.038900003</v>
      </c>
      <c r="C3" s="211">
        <f>C77*C78+C88</f>
        <v>114593168.09199999</v>
      </c>
      <c r="D3" s="96">
        <f>D77*D78+D88</f>
        <v>132920597.45536</v>
      </c>
      <c r="E3" s="95">
        <f>E77*E78+E88</f>
        <v>163245420.01613048</v>
      </c>
      <c r="F3" s="96">
        <f>F77*F78+F88</f>
        <v>132000479.59015708</v>
      </c>
      <c r="G3" s="95">
        <f>G77*G78+G88</f>
        <v>141517750.46624732</v>
      </c>
      <c r="H3" s="96">
        <f>H77*H78+H88</f>
        <v>138982548.66056496</v>
      </c>
      <c r="I3" s="95">
        <f>I77*I78+I88</f>
        <v>140372374.1471706</v>
      </c>
      <c r="J3" s="96">
        <f>J77*J78+J88</f>
        <v>141776097.88864231</v>
      </c>
      <c r="K3" s="95">
        <f>K77*K78+K88</f>
        <v>143193858.86752874</v>
      </c>
      <c r="L3" s="94">
        <f>L77*L78+L88</f>
        <v>144625797.45620403</v>
      </c>
      <c r="M3" s="95">
        <f>M77*M78+M88</f>
        <v>146072055.43076608</v>
      </c>
      <c r="N3" s="95">
        <f>N77*N78+N88</f>
        <v>147532775.98507372</v>
      </c>
      <c r="O3" s="95">
        <f>O77*O78+O88</f>
        <v>149008103.74492449</v>
      </c>
      <c r="P3" s="95">
        <f>P77*P78+P88</f>
        <v>150498184.7823737</v>
      </c>
      <c r="Q3" s="95">
        <f>Q77*Q78+Q88</f>
        <v>152003166.63019744</v>
      </c>
      <c r="R3" s="95">
        <f>R77*R78+R88</f>
        <v>153523198.2964994</v>
      </c>
      <c r="S3" s="96">
        <f>S77*S78+S88</f>
        <v>155058430.27946439</v>
      </c>
      <c r="T3" s="95">
        <f>T77*T78+T88</f>
        <v>156609014.58225906</v>
      </c>
      <c r="U3" s="96">
        <f>U77*U78+U88</f>
        <v>158175104.72808164</v>
      </c>
      <c r="V3" s="95">
        <f>V77*V78+V88</f>
        <v>159756855.77536246</v>
      </c>
      <c r="W3" s="94">
        <f>V3*1.01</f>
        <v>161354424.33311608</v>
      </c>
      <c r="X3" s="95">
        <f>W3*1.01</f>
        <v>162967968.57644725</v>
      </c>
      <c r="Y3" s="95">
        <f>X3*1.01</f>
        <v>164597648.26221171</v>
      </c>
      <c r="Z3" s="95">
        <f>Y3*1.01</f>
        <v>166243624.74483383</v>
      </c>
    </row>
    <row r="4" spans="1:26" ht="14.25">
      <c r="A4" s="119" t="s">
        <v>82</v>
      </c>
      <c r="B4" s="96">
        <f>'[1]הכנסות מרשויות שבהסכם'!B177</f>
        <v>11721176.532</v>
      </c>
      <c r="C4" s="95">
        <f>'[1]הכנסות מרשויות שבהסכם'!C177</f>
        <v>12304984.150400002</v>
      </c>
      <c r="D4" s="96">
        <f>'[1]הכנסות מרשויות שבהסכם'!D177</f>
        <v>11979840.850400001</v>
      </c>
      <c r="E4" s="95">
        <f>'[1]הכנסות מרשויות שבהסכם'!E177</f>
        <v>11816607.324903999</v>
      </c>
      <c r="F4" s="96">
        <f>'[1]הכנסות מרשויות שבהסכם'!F177</f>
        <v>11934773.398153041</v>
      </c>
      <c r="G4" s="95">
        <f>'[1]הכנסות מרשויות שבהסכם'!G177</f>
        <v>12054121.132134572</v>
      </c>
      <c r="H4" s="96">
        <f>'[1]הכנסות מרשויות שבהסכם'!H177</f>
        <v>12174662.343455914</v>
      </c>
      <c r="I4" s="95">
        <f>'[1]הכנסות מרשויות שבהסכם'!I177</f>
        <v>12296408.966890477</v>
      </c>
      <c r="J4" s="96">
        <f>'[1]הכנסות מרשויות שבהסכם'!J177</f>
        <v>12419373.05655938</v>
      </c>
      <c r="K4" s="95">
        <f>'[1]הכנסות מרשויות שבהסכם'!K177</f>
        <v>12543566.787124971</v>
      </c>
      <c r="L4" s="94">
        <f>'[1]הכנסות מרשויות שבהסכם'!L177</f>
        <v>12669002.454996225</v>
      </c>
      <c r="M4" s="95">
        <f>'[1]הכנסות מרשויות שבהסכם'!M177</f>
        <v>12795692.479546186</v>
      </c>
      <c r="N4" s="95">
        <f>'[1]הכנסות מרשויות שבהסכם'!N177</f>
        <v>12923649.404341649</v>
      </c>
      <c r="O4" s="95">
        <f>'[1]הכנסות מרשויות שבהסכם'!O177</f>
        <v>13052885.898385065</v>
      </c>
      <c r="P4" s="95">
        <f>'[1]הכנסות מרשויות שבהסכם'!P177</f>
        <v>13183414.757368917</v>
      </c>
      <c r="Q4" s="95">
        <f>'[1]הכנסות מרשויות שבהסכם'!Q177</f>
        <v>13315248.904942604</v>
      </c>
      <c r="R4" s="95">
        <f>'[1]הכנסות מרשויות שבהסכם'!R177</f>
        <v>13448401.393992031</v>
      </c>
      <c r="S4" s="96">
        <f>'[1]הכנסות מרשויות שבהסכם'!S177</f>
        <v>13582885.407931952</v>
      </c>
      <c r="T4" s="95">
        <f>'[1]הכנסות מרשויות שבהסכם'!T177</f>
        <v>13718714.262011271</v>
      </c>
      <c r="U4" s="96">
        <f>'[1]הכנסות מרשויות שבהסכם'!U177</f>
        <v>13855901.404631384</v>
      </c>
      <c r="V4" s="95">
        <f>'[1]הכנסות מרשויות שבהסכם'!V177</f>
        <v>13994460.418677699</v>
      </c>
      <c r="W4" s="94">
        <f>V4*1.01</f>
        <v>14134405.022864476</v>
      </c>
      <c r="X4" s="95">
        <f>W4*1.01</f>
        <v>14275749.07309312</v>
      </c>
      <c r="Y4" s="95">
        <f>X4*1.01</f>
        <v>14418506.563824052</v>
      </c>
      <c r="Z4" s="95">
        <f>Y4*1.01</f>
        <v>14562691.629462292</v>
      </c>
    </row>
    <row r="5" spans="1:24" ht="14.25">
      <c r="A5" s="119" t="s">
        <v>123</v>
      </c>
      <c r="C5" s="95">
        <f>'[1]הכנסות נוספות'!C21</f>
        <v>18000000</v>
      </c>
      <c r="D5" s="96"/>
      <c r="E5" s="95"/>
      <c r="F5" s="96"/>
      <c r="G5" s="95"/>
      <c r="H5" s="96"/>
      <c r="I5" s="95"/>
      <c r="J5" s="96"/>
      <c r="K5" s="95"/>
      <c r="L5" s="94"/>
      <c r="M5" s="95"/>
      <c r="N5" s="95"/>
      <c r="O5" s="95"/>
      <c r="P5" s="95"/>
      <c r="Q5" s="95"/>
      <c r="R5" s="95"/>
      <c r="S5" s="96"/>
      <c r="T5" s="95"/>
      <c r="U5" s="96"/>
      <c r="V5" s="95"/>
      <c r="W5" s="94"/>
      <c r="X5" s="20"/>
    </row>
    <row r="6" spans="1:24" ht="14.25">
      <c r="A6" s="210" t="s">
        <v>122</v>
      </c>
      <c r="B6" s="96">
        <f>'[1]הכנסות נוספות'!C19</f>
        <v>80000000</v>
      </c>
      <c r="C6" s="119"/>
      <c r="E6" s="119"/>
      <c r="G6" s="119"/>
      <c r="I6" s="119"/>
      <c r="K6" s="119"/>
      <c r="L6" s="20"/>
      <c r="M6" s="119"/>
      <c r="N6" s="119"/>
      <c r="O6" s="119"/>
      <c r="P6" s="119"/>
      <c r="Q6" s="119"/>
      <c r="R6" s="119"/>
      <c r="T6" s="119"/>
      <c r="V6" s="119"/>
      <c r="W6" s="20"/>
      <c r="X6" s="20"/>
    </row>
    <row r="7" spans="1:24" ht="15" thickBot="1">
      <c r="A7" s="119"/>
      <c r="B7" s="96"/>
      <c r="C7" s="209"/>
      <c r="E7" s="209"/>
      <c r="G7" s="119"/>
      <c r="I7" s="119"/>
      <c r="K7" s="119"/>
      <c r="L7" s="20"/>
      <c r="M7" s="119"/>
      <c r="N7" s="119"/>
      <c r="O7" s="119"/>
      <c r="P7" s="119"/>
      <c r="Q7" s="119"/>
      <c r="R7" s="119"/>
      <c r="T7" s="119"/>
      <c r="V7" s="119"/>
      <c r="W7" s="20"/>
      <c r="X7" s="20"/>
    </row>
    <row r="8" spans="1:26" ht="15.75" thickBot="1">
      <c r="A8" s="208" t="s">
        <v>74</v>
      </c>
      <c r="B8" s="206">
        <f>SUM(B3:B7)</f>
        <v>188511094.57090002</v>
      </c>
      <c r="C8" s="92">
        <f>SUM(C3:C7)</f>
        <v>144898152.24239999</v>
      </c>
      <c r="D8" s="92">
        <f>SUM(D3:D7)</f>
        <v>144900438.30576</v>
      </c>
      <c r="E8" s="92">
        <f>SUM(E3:E7)</f>
        <v>175062027.34103447</v>
      </c>
      <c r="F8" s="118">
        <f>SUM(F3:F7)</f>
        <v>143935252.98831013</v>
      </c>
      <c r="G8" s="92">
        <f>SUM(G3:G7)</f>
        <v>153571871.59838188</v>
      </c>
      <c r="H8" s="117">
        <f>SUM(H3:H7)</f>
        <v>151157211.00402087</v>
      </c>
      <c r="I8" s="92">
        <f>SUM(I3:I7)</f>
        <v>152668783.11406109</v>
      </c>
      <c r="J8" s="117">
        <f>SUM(J3:J7)</f>
        <v>154195470.9452017</v>
      </c>
      <c r="K8" s="92">
        <f>SUM(K3:K7)</f>
        <v>155737425.6546537</v>
      </c>
      <c r="L8" s="206">
        <f>SUM(L3:L7)</f>
        <v>157294799.91120026</v>
      </c>
      <c r="M8" s="92">
        <f>SUM(M3:M7)</f>
        <v>158867747.91031227</v>
      </c>
      <c r="N8" s="92">
        <f>SUM(N3:N7)</f>
        <v>160456425.38941535</v>
      </c>
      <c r="O8" s="92">
        <f>SUM(O3:O7)</f>
        <v>162060989.64330956</v>
      </c>
      <c r="P8" s="92">
        <f>SUM(P3:P7)</f>
        <v>163681599.53974262</v>
      </c>
      <c r="Q8" s="92">
        <f>SUM(Q3:Q7)</f>
        <v>165318415.53514004</v>
      </c>
      <c r="R8" s="92">
        <f>SUM(R3:R7)</f>
        <v>166971599.69049144</v>
      </c>
      <c r="S8" s="117">
        <f>SUM(S3:S7)</f>
        <v>168641315.68739635</v>
      </c>
      <c r="T8" s="92">
        <f>SUM(T3:T7)</f>
        <v>170327728.84427032</v>
      </c>
      <c r="U8" s="117">
        <f>SUM(U3:U7)</f>
        <v>172031006.13271302</v>
      </c>
      <c r="V8" s="92">
        <f>SUM(V3:V7)</f>
        <v>173751316.19404015</v>
      </c>
      <c r="W8" s="206">
        <f>SUM(W3:W7)</f>
        <v>175488829.35598058</v>
      </c>
      <c r="X8" s="92">
        <f>SUM(X3:X7)</f>
        <v>177243717.64954037</v>
      </c>
      <c r="Y8" s="92">
        <f>SUM(Y3:Y7)</f>
        <v>179016154.82603577</v>
      </c>
      <c r="Z8" s="92">
        <f>SUM(Z3:Z7)</f>
        <v>180806316.37429613</v>
      </c>
    </row>
    <row r="9" ht="15" thickBot="1"/>
    <row r="10" spans="1:26" ht="15" thickBot="1">
      <c r="A10" s="61" t="s">
        <v>121</v>
      </c>
      <c r="B10" s="58">
        <v>2010</v>
      </c>
      <c r="C10" s="58">
        <v>2011</v>
      </c>
      <c r="D10" s="59">
        <v>2012</v>
      </c>
      <c r="E10" s="58">
        <v>2013</v>
      </c>
      <c r="F10" s="59">
        <v>2014</v>
      </c>
      <c r="G10" s="58">
        <v>2015</v>
      </c>
      <c r="H10" s="59">
        <v>2016</v>
      </c>
      <c r="I10" s="58">
        <v>2017</v>
      </c>
      <c r="J10" s="59">
        <v>2018</v>
      </c>
      <c r="K10" s="58">
        <v>2019</v>
      </c>
      <c r="L10" s="58">
        <v>2020</v>
      </c>
      <c r="M10" s="58">
        <v>2021</v>
      </c>
      <c r="N10" s="58">
        <v>2022</v>
      </c>
      <c r="O10" s="58">
        <v>2023</v>
      </c>
      <c r="P10" s="58">
        <v>2024</v>
      </c>
      <c r="Q10" s="59">
        <v>2025</v>
      </c>
      <c r="R10" s="58">
        <v>2026</v>
      </c>
      <c r="S10" s="59">
        <v>2027</v>
      </c>
      <c r="T10" s="58">
        <v>2028</v>
      </c>
      <c r="U10" s="59">
        <v>2029</v>
      </c>
      <c r="V10" s="58">
        <v>2030</v>
      </c>
      <c r="W10" s="97">
        <v>2031</v>
      </c>
      <c r="X10" s="58">
        <v>2032</v>
      </c>
      <c r="Y10" s="58">
        <v>2033</v>
      </c>
      <c r="Z10" s="58">
        <v>2034</v>
      </c>
    </row>
    <row r="11" spans="1:26" ht="14.25">
      <c r="A11" s="21" t="s">
        <v>120</v>
      </c>
      <c r="B11" s="95">
        <f>'[1]איגוד הוצ'' שוטפות '!I18</f>
        <v>44571000</v>
      </c>
      <c r="C11" s="95">
        <f>'[1]איגוד הוצ'' שוטפות '!C74</f>
        <v>51998500</v>
      </c>
      <c r="D11" s="96">
        <f>'[1]איגוד הוצ'' שוטפות '!D74</f>
        <v>52248380</v>
      </c>
      <c r="E11" s="95">
        <f>'[1]איגוד הוצ'' שוטפות '!E74</f>
        <v>51063270</v>
      </c>
      <c r="F11" s="96">
        <f>'[1]איגוד הוצ'' שוטפות '!F74</f>
        <v>51127457.700000003</v>
      </c>
      <c r="G11" s="95">
        <f>'[1]איגוד הוצ'' שוטפות '!G74</f>
        <v>51365822.276999995</v>
      </c>
      <c r="H11" s="96">
        <f>'[1]איגוד הוצ'' שוטפות '!H74</f>
        <v>51606570.499770001</v>
      </c>
      <c r="I11" s="95">
        <f>'[1]איגוד הוצ'' שוטפות '!I74</f>
        <v>51849726.204767704</v>
      </c>
      <c r="J11" s="96">
        <f>'[1]איגוד הוצ'' שוטפות '!J74</f>
        <v>52095313.466815382</v>
      </c>
      <c r="K11" s="95">
        <f>'[1]איגוד הוצ'' שוטפות '!K74</f>
        <v>52343356.601483539</v>
      </c>
      <c r="L11" s="95">
        <f>'[1]איגוד הוצ'' שוטפות '!L74</f>
        <v>52593880.167498365</v>
      </c>
      <c r="M11" s="95">
        <f>'[1]איגוד הוצ'' שוטפות '!M74</f>
        <v>52846908.969173349</v>
      </c>
      <c r="N11" s="95">
        <f>'[1]איגוד הוצ'' שוטפות '!N74</f>
        <v>53102468.058865085</v>
      </c>
      <c r="O11" s="95">
        <f>'[1]איגוד הוצ'' שוטפות '!O74</f>
        <v>53360582.739453733</v>
      </c>
      <c r="P11" s="95">
        <f>'[1]איגוד הוצ'' שוטפות '!P74</f>
        <v>53621278.566848278</v>
      </c>
      <c r="Q11" s="96">
        <f>'[1]איגוד הוצ'' שוטפות '!Q74</f>
        <v>53884581.352516755</v>
      </c>
      <c r="R11" s="95">
        <f>'[1]איגוד הוצ'' שוטפות '!R74</f>
        <v>54150517.166041926</v>
      </c>
      <c r="S11" s="96">
        <f>'[1]איגוד הוצ'' שוטפות '!S74</f>
        <v>54419112.337702341</v>
      </c>
      <c r="T11" s="95">
        <f>'[1]איגוד הוצ'' שוטפות '!T74</f>
        <v>54690393.461079374</v>
      </c>
      <c r="U11" s="96">
        <f>'[1]איגוד הוצ'' שוטפות '!U74</f>
        <v>54964387.395690158</v>
      </c>
      <c r="V11" s="95">
        <f>'[1]איגוד הוצ'' שוטפות '!V74</f>
        <v>55241121.269647062</v>
      </c>
      <c r="W11" s="96">
        <f>V11*1.01</f>
        <v>55793532.482343532</v>
      </c>
      <c r="X11" s="96">
        <f>W11*1.01</f>
        <v>56351467.807166971</v>
      </c>
      <c r="Y11" s="96">
        <f>X11*1.01</f>
        <v>56914982.485238642</v>
      </c>
      <c r="Z11" s="96">
        <f>Y11*1.01</f>
        <v>57484132.310091026</v>
      </c>
    </row>
    <row r="12" spans="1:26" ht="15" thickBot="1">
      <c r="A12" s="21" t="s">
        <v>119</v>
      </c>
      <c r="B12" s="95"/>
      <c r="C12" s="95"/>
      <c r="D12" s="96"/>
      <c r="E12" s="95">
        <v>0</v>
      </c>
      <c r="F12" s="96">
        <v>0</v>
      </c>
      <c r="G12" s="95">
        <v>0</v>
      </c>
      <c r="H12" s="96">
        <v>0</v>
      </c>
      <c r="I12" s="95">
        <v>0</v>
      </c>
      <c r="J12" s="96"/>
      <c r="K12" s="95"/>
      <c r="L12" s="95"/>
      <c r="M12" s="95"/>
      <c r="N12" s="95"/>
      <c r="O12" s="95"/>
      <c r="P12" s="95"/>
      <c r="Q12" s="96"/>
      <c r="R12" s="95"/>
      <c r="S12" s="96"/>
      <c r="T12" s="95"/>
      <c r="U12" s="96"/>
      <c r="V12" s="95"/>
      <c r="W12" s="94"/>
      <c r="X12" s="94"/>
      <c r="Y12" s="94"/>
      <c r="Z12" s="94"/>
    </row>
    <row r="13" spans="1:26" ht="15" thickBot="1">
      <c r="A13" s="110" t="s">
        <v>66</v>
      </c>
      <c r="B13" s="106">
        <f>B8-B11-B12</f>
        <v>143940094.57090002</v>
      </c>
      <c r="C13" s="106">
        <f>C8-C11</f>
        <v>92899652.242399991</v>
      </c>
      <c r="D13" s="108">
        <f>D8-D11</f>
        <v>92652058.305759996</v>
      </c>
      <c r="E13" s="106">
        <f>E8-E11-E12</f>
        <v>123998757.34103447</v>
      </c>
      <c r="F13" s="106">
        <f>F8-F11-F12</f>
        <v>92807795.288310125</v>
      </c>
      <c r="G13" s="106">
        <f>G8-G11-G12</f>
        <v>102206049.32138188</v>
      </c>
      <c r="H13" s="106">
        <f>H8-H11-H12</f>
        <v>99550640.504250869</v>
      </c>
      <c r="I13" s="106">
        <f>I8-I11</f>
        <v>100819056.90929338</v>
      </c>
      <c r="J13" s="108">
        <f>J8-J11</f>
        <v>102100157.47838631</v>
      </c>
      <c r="K13" s="106">
        <f>K8-K11</f>
        <v>103394069.05317016</v>
      </c>
      <c r="L13" s="106">
        <f>L8-L11</f>
        <v>104700919.74370189</v>
      </c>
      <c r="M13" s="106">
        <f>M8-M11</f>
        <v>106020838.94113892</v>
      </c>
      <c r="N13" s="106">
        <f>N8-N11</f>
        <v>107353957.33055027</v>
      </c>
      <c r="O13" s="106">
        <f>O8-O11</f>
        <v>108700406.90385583</v>
      </c>
      <c r="P13" s="106">
        <f>P8-P11</f>
        <v>110060320.97289434</v>
      </c>
      <c r="Q13" s="108">
        <f>Q8-Q11</f>
        <v>111433834.18262328</v>
      </c>
      <c r="R13" s="106">
        <f>R8-R11</f>
        <v>112821082.52444951</v>
      </c>
      <c r="S13" s="108">
        <f>S8-S11</f>
        <v>114222203.34969401</v>
      </c>
      <c r="T13" s="106">
        <f>T8-T11</f>
        <v>115637335.38319095</v>
      </c>
      <c r="U13" s="108">
        <f>U8-U11</f>
        <v>117066618.73702286</v>
      </c>
      <c r="V13" s="106">
        <f>V8-V11</f>
        <v>118510194.92439309</v>
      </c>
      <c r="W13" s="109">
        <f>W8-W11</f>
        <v>119695296.87363705</v>
      </c>
      <c r="X13" s="106">
        <f>X8-X11</f>
        <v>120892249.8423734</v>
      </c>
      <c r="Y13" s="106">
        <f>Y8-Y11</f>
        <v>122101172.34079713</v>
      </c>
      <c r="Z13" s="106">
        <f>Z8-Z11</f>
        <v>123322184.06420511</v>
      </c>
    </row>
    <row r="14" spans="1:26" ht="14.25" hidden="1">
      <c r="A14" s="102" t="s">
        <v>65</v>
      </c>
      <c r="B14" s="99">
        <v>23400000</v>
      </c>
      <c r="C14" s="99">
        <f>B14</f>
        <v>23400000</v>
      </c>
      <c r="D14" s="207">
        <v>33157809.483557429</v>
      </c>
      <c r="E14" s="207">
        <v>45000000</v>
      </c>
      <c r="F14" s="207">
        <v>45000000</v>
      </c>
      <c r="G14" s="207">
        <f>'[2]ביאור פחת'!AK100*1000</f>
        <v>82672012.93103449</v>
      </c>
      <c r="H14" s="207">
        <v>85000000</v>
      </c>
      <c r="I14" s="207">
        <v>85000000</v>
      </c>
      <c r="J14" s="207">
        <v>85000000</v>
      </c>
      <c r="K14" s="207">
        <v>85000000</v>
      </c>
      <c r="L14" s="207">
        <v>85000000</v>
      </c>
      <c r="M14" s="207">
        <v>85000000</v>
      </c>
      <c r="N14" s="207">
        <v>85000000</v>
      </c>
      <c r="O14" s="207">
        <v>85000000</v>
      </c>
      <c r="P14" s="207">
        <v>85000000</v>
      </c>
      <c r="Q14" s="207">
        <v>85000000</v>
      </c>
      <c r="R14" s="207">
        <v>85000000</v>
      </c>
      <c r="S14" s="207">
        <v>85000000</v>
      </c>
      <c r="T14" s="207">
        <v>85000000</v>
      </c>
      <c r="U14" s="207">
        <v>85000000</v>
      </c>
      <c r="V14" s="207">
        <v>85000000</v>
      </c>
      <c r="W14" s="207">
        <v>85000000</v>
      </c>
      <c r="X14" s="207">
        <v>85000000</v>
      </c>
      <c r="Y14" s="207">
        <v>85000000</v>
      </c>
      <c r="Z14" s="207">
        <v>85000000</v>
      </c>
    </row>
    <row r="15" spans="1:21" ht="14.25" hidden="1">
      <c r="A15" s="102" t="s">
        <v>63</v>
      </c>
      <c r="B15" s="99"/>
      <c r="C15" s="99"/>
      <c r="D15" s="100"/>
      <c r="E15" s="99"/>
      <c r="F15" s="100"/>
      <c r="G15" s="99"/>
      <c r="H15" s="99"/>
      <c r="I15" s="99"/>
      <c r="J15" s="99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</row>
    <row r="16" spans="1:26" ht="14.25" hidden="1">
      <c r="A16" s="4" t="s">
        <v>62</v>
      </c>
      <c r="B16" s="99"/>
      <c r="C16" s="99"/>
      <c r="D16" s="99"/>
      <c r="E16" s="99"/>
      <c r="F16" s="99"/>
      <c r="G16" s="99">
        <v>0</v>
      </c>
      <c r="H16" s="99">
        <v>0</v>
      </c>
      <c r="I16" s="99">
        <v>0</v>
      </c>
      <c r="J16" s="99">
        <v>0</v>
      </c>
      <c r="K16" s="99">
        <v>0</v>
      </c>
      <c r="L16" s="99">
        <v>0</v>
      </c>
      <c r="M16" s="99">
        <v>0</v>
      </c>
      <c r="N16" s="99">
        <v>0</v>
      </c>
      <c r="O16" s="99">
        <v>0</v>
      </c>
      <c r="P16" s="99">
        <v>0</v>
      </c>
      <c r="Q16" s="99">
        <v>0</v>
      </c>
      <c r="R16" s="99">
        <v>0</v>
      </c>
      <c r="S16" s="99">
        <v>0</v>
      </c>
      <c r="T16" s="99">
        <v>0</v>
      </c>
      <c r="U16" s="99">
        <v>0</v>
      </c>
      <c r="V16" s="99">
        <v>0</v>
      </c>
      <c r="W16" s="99">
        <v>0</v>
      </c>
      <c r="X16" s="99">
        <v>0</v>
      </c>
      <c r="Y16" s="99">
        <v>0</v>
      </c>
      <c r="Z16" s="99">
        <v>0</v>
      </c>
    </row>
    <row r="17" spans="1:26" ht="14.25" hidden="1">
      <c r="A17" s="4" t="s">
        <v>61</v>
      </c>
      <c r="B17" s="99"/>
      <c r="C17" s="99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>
        <v>0</v>
      </c>
      <c r="X17" s="100">
        <v>0</v>
      </c>
      <c r="Y17" s="100">
        <v>0</v>
      </c>
      <c r="Z17" s="100">
        <v>0</v>
      </c>
    </row>
    <row r="18" spans="1:26" ht="14.25" hidden="1">
      <c r="A18" s="4" t="s">
        <v>60</v>
      </c>
      <c r="B18" s="99"/>
      <c r="C18" s="99"/>
      <c r="D18" s="100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>
        <v>0</v>
      </c>
      <c r="X18" s="99">
        <v>0</v>
      </c>
      <c r="Y18" s="99">
        <v>0</v>
      </c>
      <c r="Z18" s="99">
        <v>0</v>
      </c>
    </row>
    <row r="19" spans="1:26" ht="14.25" hidden="1">
      <c r="A19" s="4" t="s">
        <v>59</v>
      </c>
      <c r="B19" s="99"/>
      <c r="C19" s="99"/>
      <c r="D19" s="100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>
        <v>0</v>
      </c>
      <c r="X19" s="99">
        <v>0</v>
      </c>
      <c r="Y19" s="99">
        <v>0</v>
      </c>
      <c r="Z19" s="99">
        <v>0</v>
      </c>
    </row>
    <row r="20" spans="1:26" ht="14.25" hidden="1">
      <c r="A20" s="4" t="s">
        <v>58</v>
      </c>
      <c r="B20" s="99"/>
      <c r="C20" s="99"/>
      <c r="D20" s="100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>
        <v>0</v>
      </c>
      <c r="X20" s="99">
        <v>0</v>
      </c>
      <c r="Y20" s="99">
        <v>0</v>
      </c>
      <c r="Z20" s="99">
        <v>0</v>
      </c>
    </row>
    <row r="21" spans="1:26" ht="14.25" hidden="1">
      <c r="A21" s="4" t="s">
        <v>57</v>
      </c>
      <c r="B21" s="99"/>
      <c r="C21" s="99"/>
      <c r="D21" s="100"/>
      <c r="E21" s="99"/>
      <c r="F21" s="99"/>
      <c r="G21" s="99"/>
      <c r="H21" s="99">
        <f>-H70*0.05</f>
        <v>-26975050.783141363</v>
      </c>
      <c r="I21" s="99">
        <f>-I70*0.05</f>
        <v>-27942844.055425629</v>
      </c>
      <c r="J21" s="99">
        <v>-38455557.278609544</v>
      </c>
      <c r="K21" s="99">
        <v>-36542139.959332481</v>
      </c>
      <c r="L21" s="99">
        <v>-34533051.774091564</v>
      </c>
      <c r="M21" s="99">
        <v>-32423509.179588597</v>
      </c>
      <c r="N21" s="99">
        <v>-30208489.455360495</v>
      </c>
      <c r="O21" s="99">
        <v>-27882718.744920976</v>
      </c>
      <c r="P21" s="99">
        <v>-25440659.498959478</v>
      </c>
      <c r="Q21" s="99">
        <v>-22876497.290699907</v>
      </c>
      <c r="R21" s="99">
        <v>-20184126.972027365</v>
      </c>
      <c r="S21" s="99">
        <v>-17357138.137421191</v>
      </c>
      <c r="T21" s="99">
        <v>-14388799.861084707</v>
      </c>
      <c r="U21" s="99">
        <v>-11272044.670931401</v>
      </c>
      <c r="V21" s="99">
        <v>-8432992.0155120287</v>
      </c>
      <c r="W21" s="99">
        <v>-5451986.727321689</v>
      </c>
      <c r="X21" s="99">
        <v>-2683214.7532564979</v>
      </c>
      <c r="Y21" s="99">
        <v>0</v>
      </c>
      <c r="Z21" s="99">
        <v>0</v>
      </c>
    </row>
    <row r="22" spans="1:26" ht="14.25" hidden="1">
      <c r="A22" s="4"/>
      <c r="B22" s="99"/>
      <c r="C22" s="99"/>
      <c r="D22" s="100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</row>
    <row r="23" spans="1:26" s="8" customFormat="1" ht="12.75" hidden="1">
      <c r="A23" s="102" t="s">
        <v>56</v>
      </c>
      <c r="B23" s="103">
        <f>B13-B14-B16-B17-B18-B19+B20</f>
        <v>120540094.57090002</v>
      </c>
      <c r="C23" s="103">
        <f>C13-C14-C16-C17-C18-C19+C20</f>
        <v>69499652.242399991</v>
      </c>
      <c r="D23" s="103">
        <f>D13-D14+D21</f>
        <v>59494248.822202563</v>
      </c>
      <c r="E23" s="103">
        <f>E13-E14+E21</f>
        <v>78998757.341034472</v>
      </c>
      <c r="F23" s="103">
        <f>F13-F14+F21</f>
        <v>47807795.288310125</v>
      </c>
      <c r="G23" s="103">
        <f>G13-G14+G21</f>
        <v>19534036.390347391</v>
      </c>
      <c r="H23" s="103">
        <f>H13-H14+H21</f>
        <v>-12424410.278890494</v>
      </c>
      <c r="I23" s="103">
        <f>I13-I14+I21</f>
        <v>-12123787.146132246</v>
      </c>
      <c r="J23" s="103">
        <f>J13-J14+J21</f>
        <v>-21355399.800223231</v>
      </c>
      <c r="K23" s="103">
        <f>K13-K14+K21</f>
        <v>-18148070.906162322</v>
      </c>
      <c r="L23" s="103">
        <f>L13-L14+L21</f>
        <v>-14832132.030389674</v>
      </c>
      <c r="M23" s="103">
        <f>M13-M14+M21</f>
        <v>-11402670.238449674</v>
      </c>
      <c r="N23" s="103">
        <f>N13-N14+N21</f>
        <v>-7854532.1248102263</v>
      </c>
      <c r="O23" s="103">
        <f>O13-O14+O21</f>
        <v>-4182311.841065146</v>
      </c>
      <c r="P23" s="103">
        <f>P13-P14+P21</f>
        <v>-380338.52606513724</v>
      </c>
      <c r="Q23" s="103">
        <f>Q13-Q14+Q21</f>
        <v>3557336.8919233754</v>
      </c>
      <c r="R23" s="103">
        <f>R13-R14+R21</f>
        <v>7636955.5524221472</v>
      </c>
      <c r="S23" s="103">
        <f>S13-S14+S21</f>
        <v>11865065.212272823</v>
      </c>
      <c r="T23" s="103">
        <f>T13-T14+T21</f>
        <v>16248535.522106238</v>
      </c>
      <c r="U23" s="103">
        <f>U13-U14+U21</f>
        <v>20794574.066091463</v>
      </c>
      <c r="V23" s="103">
        <f>V13-V14+V21</f>
        <v>25077202.908881061</v>
      </c>
      <c r="W23" s="103">
        <f>W13-W14+W21</f>
        <v>29243310.146315362</v>
      </c>
      <c r="X23" s="103">
        <f>X13-X14+X21</f>
        <v>33209035.089116901</v>
      </c>
      <c r="Y23" s="103">
        <f>Y13-Y14+Y21</f>
        <v>37101172.340797126</v>
      </c>
      <c r="Z23" s="103">
        <f>Z13-Z14+Z21</f>
        <v>38322184.06420511</v>
      </c>
    </row>
    <row r="24" spans="1:22" ht="14.25" hidden="1">
      <c r="A24" s="102" t="s">
        <v>55</v>
      </c>
      <c r="B24" s="99"/>
      <c r="C24" s="99"/>
      <c r="D24" s="100"/>
      <c r="E24" s="99"/>
      <c r="F24" s="100"/>
      <c r="G24" s="99"/>
      <c r="H24" s="99"/>
      <c r="I24" s="99"/>
      <c r="J24" s="99"/>
      <c r="K24" s="100"/>
      <c r="L24" s="99"/>
      <c r="M24" s="100"/>
      <c r="N24" s="99"/>
      <c r="O24" s="100"/>
      <c r="P24" s="99"/>
      <c r="Q24" s="100"/>
      <c r="R24" s="99"/>
      <c r="S24" s="100"/>
      <c r="T24" s="99"/>
      <c r="U24" s="98"/>
      <c r="V24" s="22"/>
    </row>
    <row r="25" spans="1:26" ht="14.25" hidden="1">
      <c r="A25" s="102" t="s">
        <v>54</v>
      </c>
      <c r="B25" s="99">
        <f>B23</f>
        <v>120540094.57090002</v>
      </c>
      <c r="C25" s="99">
        <f>C23+C24</f>
        <v>69499652.242399991</v>
      </c>
      <c r="D25" s="100">
        <f>D23+D24</f>
        <v>59494248.822202563</v>
      </c>
      <c r="E25" s="99">
        <f>E23+E24</f>
        <v>78998757.341034472</v>
      </c>
      <c r="F25" s="100">
        <f>F23+F24</f>
        <v>47807795.288310125</v>
      </c>
      <c r="G25" s="99">
        <f>G23+G24</f>
        <v>19534036.390347391</v>
      </c>
      <c r="H25" s="99">
        <f>H23+H24</f>
        <v>-12424410.278890494</v>
      </c>
      <c r="I25" s="99">
        <f>I23+I24</f>
        <v>-12123787.146132246</v>
      </c>
      <c r="J25" s="99">
        <f>J23+J24</f>
        <v>-21355399.800223231</v>
      </c>
      <c r="K25" s="100">
        <f>K23+K24</f>
        <v>-18148070.906162322</v>
      </c>
      <c r="L25" s="100">
        <f>L23+L24</f>
        <v>-14832132.030389674</v>
      </c>
      <c r="M25" s="100">
        <f>M23+M24</f>
        <v>-11402670.238449674</v>
      </c>
      <c r="N25" s="100">
        <f>N23+N24</f>
        <v>-7854532.1248102263</v>
      </c>
      <c r="O25" s="100">
        <f>O23+O24</f>
        <v>-4182311.841065146</v>
      </c>
      <c r="P25" s="100">
        <f>P23+P24</f>
        <v>-380338.52606513724</v>
      </c>
      <c r="Q25" s="100">
        <f>Q23+Q24</f>
        <v>3557336.8919233754</v>
      </c>
      <c r="R25" s="100">
        <f>R23+R24</f>
        <v>7636955.5524221472</v>
      </c>
      <c r="S25" s="100">
        <f>S23+S24</f>
        <v>11865065.212272823</v>
      </c>
      <c r="T25" s="100">
        <f>T23+T24</f>
        <v>16248535.522106238</v>
      </c>
      <c r="U25" s="100">
        <f>U23+U24</f>
        <v>20794574.066091463</v>
      </c>
      <c r="V25" s="100">
        <f>V23+V24</f>
        <v>25077202.908881061</v>
      </c>
      <c r="W25" s="100">
        <f>W23+W24</f>
        <v>29243310.146315362</v>
      </c>
      <c r="X25" s="100">
        <f>X23+X24</f>
        <v>33209035.089116901</v>
      </c>
      <c r="Y25" s="100">
        <f>Y23+Y24</f>
        <v>37101172.340797126</v>
      </c>
      <c r="Z25" s="100">
        <f>Z23+Z24</f>
        <v>38322184.06420511</v>
      </c>
    </row>
    <row r="26" spans="1:26" ht="14.25" hidden="1">
      <c r="A26" s="102" t="s">
        <v>53</v>
      </c>
      <c r="B26" s="104">
        <v>0.25</v>
      </c>
      <c r="C26" s="104">
        <v>0.23999999999999999</v>
      </c>
      <c r="D26" s="105">
        <v>0.25</v>
      </c>
      <c r="E26" s="105">
        <v>0.26500000000000001</v>
      </c>
      <c r="F26" s="105">
        <v>0.26500000000000001</v>
      </c>
      <c r="G26" s="105">
        <v>0.26500000000000001</v>
      </c>
      <c r="H26" s="105">
        <v>0.26500000000000001</v>
      </c>
      <c r="I26" s="105">
        <v>0.26500000000000001</v>
      </c>
      <c r="J26" s="105">
        <v>0.26500000000000001</v>
      </c>
      <c r="K26" s="105">
        <v>0.26500000000000001</v>
      </c>
      <c r="L26" s="105">
        <v>0.26500000000000001</v>
      </c>
      <c r="M26" s="105">
        <v>0.26500000000000001</v>
      </c>
      <c r="N26" s="105">
        <v>0.26500000000000001</v>
      </c>
      <c r="O26" s="105">
        <v>0.26500000000000001</v>
      </c>
      <c r="P26" s="105">
        <v>0.26500000000000001</v>
      </c>
      <c r="Q26" s="105">
        <v>0.26500000000000001</v>
      </c>
      <c r="R26" s="105">
        <v>0.26500000000000001</v>
      </c>
      <c r="S26" s="105">
        <v>0.26500000000000001</v>
      </c>
      <c r="T26" s="105">
        <v>0.26500000000000001</v>
      </c>
      <c r="U26" s="105">
        <v>0.26500000000000001</v>
      </c>
      <c r="V26" s="105">
        <v>0.26500000000000001</v>
      </c>
      <c r="W26" s="105">
        <v>0.26500000000000001</v>
      </c>
      <c r="X26" s="105">
        <v>0.26500000000000001</v>
      </c>
      <c r="Y26" s="105">
        <v>0.26500000000000001</v>
      </c>
      <c r="Z26" s="105">
        <v>0.26500000000000001</v>
      </c>
    </row>
    <row r="27" spans="1:26" s="8" customFormat="1" ht="12.75" hidden="1">
      <c r="A27" s="102" t="s">
        <v>52</v>
      </c>
      <c r="B27" s="103">
        <f>B25*B26</f>
        <v>30135023.642725006</v>
      </c>
      <c r="C27" s="103">
        <f>C25*C26</f>
        <v>16679916.538175996</v>
      </c>
      <c r="D27" s="103">
        <v>0</v>
      </c>
      <c r="E27" s="103">
        <v>0</v>
      </c>
      <c r="F27" s="103">
        <v>0</v>
      </c>
      <c r="G27" s="103">
        <v>0</v>
      </c>
      <c r="H27" s="103">
        <v>0</v>
      </c>
      <c r="I27" s="103">
        <v>0</v>
      </c>
      <c r="J27" s="103">
        <v>0</v>
      </c>
      <c r="K27" s="103">
        <v>0</v>
      </c>
      <c r="L27" s="103">
        <v>0</v>
      </c>
      <c r="M27" s="103">
        <v>0</v>
      </c>
      <c r="N27" s="103">
        <v>0</v>
      </c>
      <c r="O27" s="103">
        <v>0</v>
      </c>
      <c r="P27" s="103">
        <v>0</v>
      </c>
      <c r="Q27" s="103">
        <f>Q25*Q26</f>
        <v>942694.27635969454</v>
      </c>
      <c r="R27" s="103">
        <f>R25*R26</f>
        <v>2023793.221391869</v>
      </c>
      <c r="S27" s="103">
        <f>S25*S26</f>
        <v>3144242.281252298</v>
      </c>
      <c r="T27" s="103">
        <f>T25*T26</f>
        <v>4305861.9133581528</v>
      </c>
      <c r="U27" s="103">
        <f>U25*U26</f>
        <v>5510562.1275142375</v>
      </c>
      <c r="V27" s="103">
        <f>V25*V26</f>
        <v>6645458.7708534813</v>
      </c>
      <c r="W27" s="103">
        <f>W25*W26</f>
        <v>7749477.1887735715</v>
      </c>
      <c r="X27" s="103">
        <f>X25*X26</f>
        <v>8800394.298615979</v>
      </c>
      <c r="Y27" s="103">
        <f>Y25*Y26</f>
        <v>9831810.6703112386</v>
      </c>
      <c r="Z27" s="103">
        <f>Z25*Z26</f>
        <v>10155378.777014354</v>
      </c>
    </row>
    <row r="28" spans="1:26" ht="14.25" hidden="1">
      <c r="A28" s="102"/>
      <c r="B28" s="99"/>
      <c r="C28" s="99"/>
      <c r="D28" s="100"/>
      <c r="E28" s="99"/>
      <c r="F28" s="100"/>
      <c r="G28" s="99">
        <f>G25*G26</f>
        <v>5176519.6434420589</v>
      </c>
      <c r="H28" s="99">
        <f>H25*H26</f>
        <v>-3292468.7239059811</v>
      </c>
      <c r="I28" s="99">
        <f>I25*I26</f>
        <v>-3212803.5937250452</v>
      </c>
      <c r="J28" s="99">
        <f>J25*J26</f>
        <v>-5659180.9470591564</v>
      </c>
      <c r="K28" s="99">
        <f>K25*K26</f>
        <v>-4809238.7901330153</v>
      </c>
      <c r="L28" s="99">
        <f>L25*L26</f>
        <v>-3930514.9880532636</v>
      </c>
      <c r="M28" s="99">
        <f>M25*M26</f>
        <v>-3021707.6131891636</v>
      </c>
      <c r="N28" s="99">
        <f>N25*N26</f>
        <v>-2081451.01307471</v>
      </c>
      <c r="O28" s="99">
        <f>O25*O26</f>
        <v>-1108312.6378822639</v>
      </c>
      <c r="P28" s="99">
        <f>P25*P26</f>
        <v>-100789.70940726137</v>
      </c>
      <c r="Q28" s="99"/>
      <c r="R28" s="99"/>
      <c r="S28" s="99"/>
      <c r="T28" s="99"/>
      <c r="U28" s="99"/>
      <c r="V28" s="99"/>
      <c r="W28" s="99"/>
      <c r="X28" s="99"/>
      <c r="Y28" s="99"/>
      <c r="Z28" s="99"/>
    </row>
    <row r="29" spans="1:24" ht="14.25" hidden="1">
      <c r="A29" s="102"/>
      <c r="B29" s="103"/>
      <c r="C29" s="113"/>
      <c r="D29" s="103"/>
      <c r="E29" s="113"/>
      <c r="F29" s="103"/>
      <c r="G29" s="113"/>
      <c r="H29" s="103"/>
      <c r="I29" s="113"/>
      <c r="J29" s="103"/>
      <c r="K29" s="113"/>
      <c r="L29" s="103"/>
      <c r="M29" s="113"/>
      <c r="N29" s="103"/>
      <c r="O29" s="113"/>
      <c r="P29" s="103"/>
      <c r="Q29" s="113"/>
      <c r="R29" s="103"/>
      <c r="S29" s="113"/>
      <c r="T29" s="103"/>
      <c r="U29" s="113"/>
      <c r="V29" s="103"/>
      <c r="W29" s="111"/>
      <c r="X29" s="20"/>
    </row>
    <row r="30" spans="1:24" ht="15" thickBot="1">
      <c r="A30" s="102"/>
      <c r="B30" s="103"/>
      <c r="C30" s="113"/>
      <c r="D30" s="103"/>
      <c r="E30" s="113"/>
      <c r="F30" s="103"/>
      <c r="G30" s="113"/>
      <c r="H30" s="103"/>
      <c r="I30" s="113"/>
      <c r="J30" s="103"/>
      <c r="K30" s="113"/>
      <c r="L30" s="103"/>
      <c r="M30" s="113"/>
      <c r="N30" s="103"/>
      <c r="O30" s="113"/>
      <c r="P30" s="103"/>
      <c r="Q30" s="113"/>
      <c r="R30" s="103"/>
      <c r="S30" s="113"/>
      <c r="T30" s="103"/>
      <c r="U30" s="113"/>
      <c r="V30" s="103"/>
      <c r="W30" s="111"/>
      <c r="X30" s="20"/>
    </row>
    <row r="31" spans="1:26" ht="15" thickBot="1">
      <c r="A31" s="61" t="s">
        <v>51</v>
      </c>
      <c r="B31" s="58">
        <f>B10</f>
        <v>2010</v>
      </c>
      <c r="C31" s="59">
        <f>C10</f>
        <v>2011</v>
      </c>
      <c r="D31" s="58">
        <f>D10</f>
        <v>2012</v>
      </c>
      <c r="E31" s="59">
        <f>E10</f>
        <v>2013</v>
      </c>
      <c r="F31" s="58">
        <f>F10</f>
        <v>2014</v>
      </c>
      <c r="G31" s="59">
        <f>G10</f>
        <v>2015</v>
      </c>
      <c r="H31" s="58">
        <f>H10</f>
        <v>2016</v>
      </c>
      <c r="I31" s="59">
        <f>I10</f>
        <v>2017</v>
      </c>
      <c r="J31" s="58">
        <f>J10</f>
        <v>2018</v>
      </c>
      <c r="K31" s="59">
        <f>K10</f>
        <v>2019</v>
      </c>
      <c r="L31" s="58">
        <f>L10</f>
        <v>2020</v>
      </c>
      <c r="M31" s="59">
        <f>M10</f>
        <v>2021</v>
      </c>
      <c r="N31" s="58">
        <f>N10</f>
        <v>2022</v>
      </c>
      <c r="O31" s="59">
        <f>O10</f>
        <v>2023</v>
      </c>
      <c r="P31" s="58">
        <f>P10</f>
        <v>2024</v>
      </c>
      <c r="Q31" s="59">
        <f>Q10</f>
        <v>2025</v>
      </c>
      <c r="R31" s="58">
        <f>R10</f>
        <v>2026</v>
      </c>
      <c r="S31" s="59">
        <f>S10</f>
        <v>2027</v>
      </c>
      <c r="T31" s="58">
        <f>T10</f>
        <v>2028</v>
      </c>
      <c r="U31" s="59">
        <f>U10</f>
        <v>2029</v>
      </c>
      <c r="V31" s="58">
        <f>V10</f>
        <v>2030</v>
      </c>
      <c r="W31" s="97">
        <f>W10</f>
        <v>2031</v>
      </c>
      <c r="X31" s="58">
        <f>X10</f>
        <v>2032</v>
      </c>
      <c r="Y31" s="58">
        <f>Y10</f>
        <v>2033</v>
      </c>
      <c r="Z31" s="58">
        <f>Z10</f>
        <v>2034</v>
      </c>
    </row>
    <row r="32" spans="1:26" ht="14.25">
      <c r="A32" s="21" t="s">
        <v>118</v>
      </c>
      <c r="B32" s="95">
        <f>193484000</f>
        <v>193484000</v>
      </c>
      <c r="C32" s="95" t="e">
        <f>'[1]השקעות איגוד (ישן)'!#REF!*1000-'[1]יתרות בנקאיות'!D7</f>
        <v>#REF!</v>
      </c>
      <c r="D32" s="95">
        <v>1</v>
      </c>
      <c r="E32" s="95">
        <f>'[1]השקעות איגוד'!J28*1000</f>
        <v>120657000</v>
      </c>
      <c r="F32" s="95">
        <f>'[1]השקעות איגוד'!K28*1000</f>
        <v>87602000</v>
      </c>
      <c r="G32" s="95">
        <f>'[1]השקעות איגוד'!L28*1000</f>
        <v>84981000</v>
      </c>
      <c r="H32" s="95">
        <f>'[1]השקעות איגוד'!M28*1000</f>
        <v>93513000</v>
      </c>
      <c r="I32" s="95">
        <f>'[1]השקעות איגוד'!N28*1000</f>
        <v>117392000</v>
      </c>
      <c r="J32" s="95">
        <f>'[1]השקעות איגוד'!O28*1000</f>
        <v>170312500</v>
      </c>
      <c r="K32" s="95">
        <f>'[1]השקעות איגוד'!P28*1000</f>
        <v>125497500</v>
      </c>
      <c r="L32" s="95">
        <f>'[1]השקעות איגוד'!Q28*1000</f>
        <v>17000000</v>
      </c>
      <c r="M32" s="95">
        <f>'[1]השקעות איגוד'!R28*1000</f>
        <v>17000000</v>
      </c>
      <c r="N32" s="95">
        <f>'[1]השקעות איגוד'!S28*1000</f>
        <v>2000000</v>
      </c>
      <c r="O32" s="95">
        <f>'[1]השקעות איגוד'!T28*1000</f>
        <v>2000000</v>
      </c>
      <c r="P32" s="95">
        <f>'[1]השקעות איגוד'!U28*1000</f>
        <v>2000000</v>
      </c>
      <c r="Q32" s="95">
        <f>'[1]השקעות איגוד'!V28*1000</f>
        <v>2000000</v>
      </c>
      <c r="R32" s="95">
        <f>'[1]השקעות איגוד'!W28*1000</f>
        <v>2000000</v>
      </c>
      <c r="S32" s="95">
        <f>'[1]השקעות איגוד'!X28*1000</f>
        <v>2000000</v>
      </c>
      <c r="T32" s="95">
        <f>'[1]השקעות איגוד'!Y28*1000</f>
        <v>2000000</v>
      </c>
      <c r="U32" s="95">
        <f>'[1]השקעות איגוד'!Z28*1000</f>
        <v>2000000</v>
      </c>
      <c r="V32" s="95">
        <f>'[1]השקעות איגוד'!AA28*1000</f>
        <v>2000000</v>
      </c>
      <c r="W32" s="95">
        <f>'[1]השקעות איגוד'!AB28*1000</f>
        <v>2000000</v>
      </c>
      <c r="X32" s="95">
        <f>'[1]השקעות איגוד'!AC28*1000</f>
        <v>2000000</v>
      </c>
      <c r="Y32" s="95">
        <f>'[1]השקעות איגוד'!AD28*1000</f>
        <v>2000000</v>
      </c>
      <c r="Z32" s="95">
        <f>'[1]השקעות איגוד'!AE28*1000</f>
        <v>2000000</v>
      </c>
    </row>
    <row r="33" spans="1:26" ht="14.25">
      <c r="A33" s="21" t="s">
        <v>48</v>
      </c>
      <c r="B33" s="95" t="e">
        <f>1000*'[1]השקעות איגוד (ישן)'!#REF!</f>
        <v>#REF!</v>
      </c>
      <c r="C33" s="95" t="e">
        <f>1000*'[1]השקעות איגוד (ישן)'!#REF!</f>
        <v>#REF!</v>
      </c>
      <c r="D33" s="95">
        <f>1000*'[1]השקעות איגוד (ישן)'!C30</f>
        <v>0</v>
      </c>
      <c r="E33" s="95">
        <f>1000*'[1]השקעות איגוד (ישן)'!D30</f>
        <v>0</v>
      </c>
      <c r="F33" s="95">
        <f>1000*'[1]השקעות איגוד (ישן)'!E30</f>
        <v>0</v>
      </c>
      <c r="G33" s="95">
        <f>1000*'[1]השקעות איגוד (ישן)'!F30</f>
        <v>0</v>
      </c>
      <c r="H33" s="95">
        <f>1000*'[1]השקעות איגוד (ישן)'!G30</f>
        <v>0</v>
      </c>
      <c r="I33" s="95">
        <f>1000*'[1]השקעות איגוד (ישן)'!H30</f>
        <v>0</v>
      </c>
      <c r="J33" s="95"/>
      <c r="K33" s="95"/>
      <c r="L33" s="95">
        <v>10000000</v>
      </c>
      <c r="M33" s="95">
        <v>10000000</v>
      </c>
      <c r="N33" s="95">
        <v>10000000</v>
      </c>
      <c r="O33" s="95">
        <v>10000000</v>
      </c>
      <c r="P33" s="95">
        <v>10000000</v>
      </c>
      <c r="Q33" s="95">
        <v>10000000</v>
      </c>
      <c r="R33" s="95">
        <v>10000000</v>
      </c>
      <c r="S33" s="95">
        <v>10000000</v>
      </c>
      <c r="T33" s="95">
        <v>10000000</v>
      </c>
      <c r="U33" s="95">
        <v>10000000</v>
      </c>
      <c r="V33" s="95">
        <v>10000000</v>
      </c>
      <c r="W33" s="95">
        <v>10000000</v>
      </c>
      <c r="X33" s="95">
        <v>10000000</v>
      </c>
      <c r="Y33" s="95">
        <v>10000000</v>
      </c>
      <c r="Z33" s="95">
        <v>10000000</v>
      </c>
    </row>
    <row r="34" spans="1:24" ht="15" thickBot="1">
      <c r="A34" s="21" t="s">
        <v>117</v>
      </c>
      <c r="B34" s="95"/>
      <c r="C34" s="96"/>
      <c r="D34" s="95"/>
      <c r="E34" s="96"/>
      <c r="F34" s="95"/>
      <c r="G34" s="96"/>
      <c r="H34" s="95"/>
      <c r="I34" s="96"/>
      <c r="J34" s="95"/>
      <c r="K34" s="96"/>
      <c r="L34" s="95"/>
      <c r="M34" s="96"/>
      <c r="N34" s="95"/>
      <c r="O34" s="96"/>
      <c r="P34" s="95"/>
      <c r="Q34" s="96"/>
      <c r="R34" s="95"/>
      <c r="S34" s="96"/>
      <c r="T34" s="95"/>
      <c r="U34" s="96"/>
      <c r="V34" s="95"/>
      <c r="W34" s="94"/>
      <c r="X34" s="20"/>
    </row>
    <row r="35" spans="1:26" ht="15.75" thickBot="1">
      <c r="A35" s="93" t="s">
        <v>47</v>
      </c>
      <c r="B35" s="92" t="e">
        <f>SUM(B32:B34)</f>
        <v>#REF!</v>
      </c>
      <c r="C35" s="92" t="e">
        <f>SUM(C32:C34)</f>
        <v>#REF!</v>
      </c>
      <c r="D35" s="92">
        <f>SUM(D32:D34)</f>
        <v>1</v>
      </c>
      <c r="E35" s="92">
        <f>SUM(E32:E34)</f>
        <v>120657000</v>
      </c>
      <c r="F35" s="92">
        <f>SUM(F32:F34)</f>
        <v>87602000</v>
      </c>
      <c r="G35" s="92">
        <f>SUM(G32:G34)</f>
        <v>84981000</v>
      </c>
      <c r="H35" s="92">
        <f>SUM(H32:H34)</f>
        <v>93513000</v>
      </c>
      <c r="I35" s="92">
        <f>SUM(I32:I34)</f>
        <v>117392000</v>
      </c>
      <c r="J35" s="92">
        <f>SUM(J32:J34)</f>
        <v>170312500</v>
      </c>
      <c r="K35" s="92">
        <f>SUM(K32:K34)</f>
        <v>125497500</v>
      </c>
      <c r="L35" s="92">
        <f>SUM(L32:L34)</f>
        <v>27000000</v>
      </c>
      <c r="M35" s="92">
        <f>SUM(M32:M34)</f>
        <v>27000000</v>
      </c>
      <c r="N35" s="92">
        <f>SUM(N32:N34)</f>
        <v>12000000</v>
      </c>
      <c r="O35" s="92">
        <f>SUM(O32:O34)</f>
        <v>12000000</v>
      </c>
      <c r="P35" s="92">
        <f>SUM(P32:P34)</f>
        <v>12000000</v>
      </c>
      <c r="Q35" s="206">
        <f>SUM(Q32:Q34)</f>
        <v>12000000</v>
      </c>
      <c r="R35" s="92">
        <f>SUM(R32:R34)</f>
        <v>12000000</v>
      </c>
      <c r="S35" s="118">
        <f>SUM(S32:S34)</f>
        <v>12000000</v>
      </c>
      <c r="T35" s="92">
        <f>SUM(T32:T34)</f>
        <v>12000000</v>
      </c>
      <c r="U35" s="117">
        <f>SUM(U32:U34)</f>
        <v>12000000</v>
      </c>
      <c r="V35" s="92">
        <f>SUM(V32:V34)</f>
        <v>12000000</v>
      </c>
      <c r="W35" s="206">
        <f>SUM(W32:W34)</f>
        <v>12000000</v>
      </c>
      <c r="X35" s="92">
        <f>SUM(X32:X34)</f>
        <v>12000000</v>
      </c>
      <c r="Y35" s="92">
        <f>SUM(Y32:Y34)</f>
        <v>12000000</v>
      </c>
      <c r="Z35" s="92">
        <f>SUM(Z32:Z34)</f>
        <v>12000000</v>
      </c>
    </row>
    <row r="36" spans="1:24" ht="15.75" thickBot="1">
      <c r="A36" s="91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0"/>
    </row>
    <row r="37" spans="1:26" ht="15.75" thickBot="1">
      <c r="A37" s="90" t="s">
        <v>46</v>
      </c>
      <c r="B37" s="89" t="e">
        <f>B8-B35-B11-B12</f>
        <v>#REF!</v>
      </c>
      <c r="C37" s="89" t="e">
        <f>C8-C35-C11</f>
        <v>#REF!</v>
      </c>
      <c r="D37" s="89">
        <f>D8-D35-D11</f>
        <v>92652057.305759996</v>
      </c>
      <c r="E37" s="89">
        <f>E8-E35-E11-E27</f>
        <v>3341757.341034472</v>
      </c>
      <c r="F37" s="89">
        <f>F8-F35-F11-F27</f>
        <v>5205795.2883101255</v>
      </c>
      <c r="G37" s="89">
        <f>G8-G35-G11-G27</f>
        <v>17225049.321381882</v>
      </c>
      <c r="H37" s="89">
        <f>H8-H35-H11-H27</f>
        <v>6037640.5042508692</v>
      </c>
      <c r="I37" s="89">
        <f>I8-I35-I11-I27</f>
        <v>-16572943.090706617</v>
      </c>
      <c r="J37" s="89">
        <f>J8-J35-J11-J27</f>
        <v>-68212342.521613687</v>
      </c>
      <c r="K37" s="89">
        <f>K8-K35-K11-K27</f>
        <v>-22103430.946829841</v>
      </c>
      <c r="L37" s="89">
        <f>L8-L35-L11-L27</f>
        <v>77700919.74370189</v>
      </c>
      <c r="M37" s="89">
        <f>M8-M35-M11-M27</f>
        <v>79020838.941138923</v>
      </c>
      <c r="N37" s="89">
        <f>N8-N35-N11-N27</f>
        <v>95353957.330550268</v>
      </c>
      <c r="O37" s="89">
        <f>O8-O35-O11-O27</f>
        <v>96700406.90385583</v>
      </c>
      <c r="P37" s="89">
        <f>P8-P35-P11-P27</f>
        <v>98060320.972894341</v>
      </c>
      <c r="Q37" s="89">
        <f>Q8-Q35-Q11-Q27</f>
        <v>98491139.90626359</v>
      </c>
      <c r="R37" s="89">
        <f>R8-R35-R11-R27</f>
        <v>98797289.303057641</v>
      </c>
      <c r="S37" s="89">
        <f>S8-S35-S11-S27</f>
        <v>99077961.068441719</v>
      </c>
      <c r="T37" s="89">
        <f>T8-T35-T11-T27</f>
        <v>99331473.469832793</v>
      </c>
      <c r="U37" s="89">
        <f>U8-U35-U11-U27</f>
        <v>99556056.609508619</v>
      </c>
      <c r="V37" s="89">
        <f>V8-V35-V11-V27</f>
        <v>99864736.153539613</v>
      </c>
      <c r="W37" s="89">
        <f>W8-W35-W11-W27</f>
        <v>99945819.684863478</v>
      </c>
      <c r="X37" s="89">
        <f>X8-X35-X11-X27</f>
        <v>100091855.54375742</v>
      </c>
      <c r="Y37" s="89">
        <f>Y8-Y35-Y11-Y27</f>
        <v>100269361.67048588</v>
      </c>
      <c r="Z37" s="89">
        <f>Z8-Z35-Z11-Z27</f>
        <v>101166805.28719075</v>
      </c>
    </row>
    <row r="38" spans="1:24" ht="15" thickBot="1">
      <c r="A38" s="63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8"/>
    </row>
    <row r="39" spans="1:26" ht="15.75" hidden="1" thickBot="1">
      <c r="A39" s="90" t="s">
        <v>116</v>
      </c>
      <c r="B39" s="175">
        <v>75000000</v>
      </c>
      <c r="C39" s="174">
        <v>46500000.1703218</v>
      </c>
      <c r="D39" s="174">
        <f>79952777.9711164-11452778</f>
        <v>68499999.971116394</v>
      </c>
      <c r="E39" s="174">
        <v>64095730.98448126</v>
      </c>
      <c r="F39" s="174">
        <v>82192741.737934574</v>
      </c>
      <c r="G39" s="174">
        <v>78441207.165173143</v>
      </c>
      <c r="H39" s="204">
        <v>34771335.63380003</v>
      </c>
      <c r="I39" s="204">
        <v>19355865.445685264</v>
      </c>
      <c r="J39" s="204">
        <v>0</v>
      </c>
      <c r="K39" s="204">
        <v>0</v>
      </c>
      <c r="L39" s="204">
        <v>0</v>
      </c>
      <c r="M39" s="204">
        <v>0</v>
      </c>
      <c r="N39" s="204">
        <v>0</v>
      </c>
      <c r="O39" s="204">
        <v>0</v>
      </c>
      <c r="P39" s="174"/>
      <c r="Q39" s="204"/>
      <c r="R39" s="204"/>
      <c r="S39" s="204"/>
      <c r="T39" s="205"/>
      <c r="U39" s="204"/>
      <c r="V39" s="203"/>
      <c r="W39" s="193"/>
      <c r="X39" s="86"/>
      <c r="Y39" s="86"/>
      <c r="Z39" s="86"/>
    </row>
    <row r="40" spans="1:26" ht="15" hidden="1">
      <c r="A40" s="202" t="s">
        <v>44</v>
      </c>
      <c r="B40" s="201"/>
      <c r="C40" s="200"/>
      <c r="D40" s="200"/>
      <c r="E40" s="200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9"/>
      <c r="U40" s="198"/>
      <c r="V40" s="197"/>
      <c r="W40" s="193"/>
      <c r="X40" s="86"/>
      <c r="Y40" s="86"/>
      <c r="Z40" s="86"/>
    </row>
    <row r="41" spans="1:26" ht="15" hidden="1">
      <c r="A41" s="192" t="s">
        <v>115</v>
      </c>
      <c r="B41" s="186">
        <f>-'[1]לוח שפיצר איגוד'!C4</f>
        <v>-3375000</v>
      </c>
      <c r="C41" s="190">
        <f>B41</f>
        <v>-3375000</v>
      </c>
      <c r="D41" s="190">
        <f>C41</f>
        <v>-3375000</v>
      </c>
      <c r="E41" s="190"/>
      <c r="F41" s="185"/>
      <c r="G41" s="185"/>
      <c r="H41" s="185"/>
      <c r="I41" s="185"/>
      <c r="J41" s="185"/>
      <c r="K41" s="185"/>
      <c r="L41" s="185"/>
      <c r="M41" s="185"/>
      <c r="N41" s="185"/>
      <c r="O41" s="185"/>
      <c r="P41" s="185"/>
      <c r="Q41" s="185"/>
      <c r="R41" s="185"/>
      <c r="S41" s="185"/>
      <c r="T41" s="186"/>
      <c r="U41" s="185"/>
      <c r="V41" s="184"/>
      <c r="W41" s="183"/>
      <c r="X41" s="84"/>
      <c r="Y41" s="84"/>
      <c r="Z41" s="86"/>
    </row>
    <row r="42" spans="1:26" ht="15" hidden="1">
      <c r="A42" s="192"/>
      <c r="B42" s="187"/>
      <c r="C42" s="191"/>
      <c r="D42" s="191"/>
      <c r="E42" s="191"/>
      <c r="F42" s="195"/>
      <c r="G42" s="19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6"/>
      <c r="U42" s="195"/>
      <c r="V42" s="194"/>
      <c r="W42" s="193"/>
      <c r="X42" s="86"/>
      <c r="Y42" s="86"/>
      <c r="Z42" s="86"/>
    </row>
    <row r="43" spans="1:26" ht="15" hidden="1">
      <c r="A43" s="192" t="s">
        <v>114</v>
      </c>
      <c r="B43" s="187"/>
      <c r="C43" s="191"/>
      <c r="D43" s="185">
        <f>-722222*6</f>
        <v>-4333332</v>
      </c>
      <c r="E43" s="185">
        <f>-722222*12</f>
        <v>-8666664</v>
      </c>
      <c r="F43" s="185">
        <f>-722222*12</f>
        <v>-8666664</v>
      </c>
      <c r="G43" s="185">
        <f>-722222*12</f>
        <v>-8666664</v>
      </c>
      <c r="H43" s="185">
        <f>-722222*12</f>
        <v>-8666664</v>
      </c>
      <c r="I43" s="185">
        <f>-722222*12</f>
        <v>-8666664</v>
      </c>
      <c r="J43" s="185">
        <f>-722222*12</f>
        <v>-8666664</v>
      </c>
      <c r="K43" s="185">
        <f>-722222*12</f>
        <v>-8666664</v>
      </c>
      <c r="L43" s="185">
        <f>-722222*12</f>
        <v>-8666664</v>
      </c>
      <c r="M43" s="185">
        <f>-722222*12</f>
        <v>-8666664</v>
      </c>
      <c r="N43" s="185">
        <f>-722222*12</f>
        <v>-8666664</v>
      </c>
      <c r="O43" s="185">
        <f>-722222*12</f>
        <v>-8666664</v>
      </c>
      <c r="P43" s="185">
        <f>-722222*12</f>
        <v>-8666664</v>
      </c>
      <c r="Q43" s="185">
        <f>-722222*12</f>
        <v>-8666664</v>
      </c>
      <c r="R43" s="185">
        <f>-722222*12</f>
        <v>-8666664</v>
      </c>
      <c r="S43" s="185">
        <f>-722222*6</f>
        <v>-4333332</v>
      </c>
      <c r="T43" s="196"/>
      <c r="U43" s="195"/>
      <c r="V43" s="194"/>
      <c r="W43" s="193"/>
      <c r="X43" s="86"/>
      <c r="Y43" s="86"/>
      <c r="Z43" s="86"/>
    </row>
    <row r="44" spans="1:26" ht="15" hidden="1">
      <c r="A44" s="192" t="s">
        <v>113</v>
      </c>
      <c r="B44" s="187"/>
      <c r="C44" s="191"/>
      <c r="D44" s="185"/>
      <c r="E44" s="185">
        <f>-40000000*0.045</f>
        <v>-1800000</v>
      </c>
      <c r="F44" s="185">
        <f>'[1]לוח שפיצר איגוד'!G249</f>
        <v>-3673519.2351742648</v>
      </c>
      <c r="G44" s="185">
        <f>F44</f>
        <v>-3673519.2351742648</v>
      </c>
      <c r="H44" s="185">
        <f>G44</f>
        <v>-3673519.2351742648</v>
      </c>
      <c r="I44" s="185">
        <f>H44</f>
        <v>-3673519.2351742648</v>
      </c>
      <c r="J44" s="185">
        <f>I44</f>
        <v>-3673519.2351742648</v>
      </c>
      <c r="K44" s="185">
        <f>J44</f>
        <v>-3673519.2351742648</v>
      </c>
      <c r="L44" s="185">
        <f>K44</f>
        <v>-3673519.2351742648</v>
      </c>
      <c r="M44" s="185">
        <f>L44</f>
        <v>-3673519.2351742648</v>
      </c>
      <c r="N44" s="185">
        <f>M44</f>
        <v>-3673519.2351742648</v>
      </c>
      <c r="O44" s="185">
        <f>N44</f>
        <v>-3673519.2351742648</v>
      </c>
      <c r="P44" s="185">
        <f>O44</f>
        <v>-3673519.2351742648</v>
      </c>
      <c r="Q44" s="185">
        <f>P44</f>
        <v>-3673519.2351742648</v>
      </c>
      <c r="R44" s="185">
        <f>Q44</f>
        <v>-3673519.2351742648</v>
      </c>
      <c r="S44" s="185">
        <f>R44</f>
        <v>-3673519.2351742648</v>
      </c>
      <c r="T44" s="185">
        <f>S44</f>
        <v>-3673519.2351742648</v>
      </c>
      <c r="U44" s="195"/>
      <c r="V44" s="194"/>
      <c r="W44" s="193"/>
      <c r="X44" s="86"/>
      <c r="Y44" s="86"/>
      <c r="Z44" s="86"/>
    </row>
    <row r="45" spans="1:26" ht="15" hidden="1">
      <c r="A45" s="192" t="s">
        <v>112</v>
      </c>
      <c r="B45" s="187"/>
      <c r="C45" s="191"/>
      <c r="D45" s="185"/>
      <c r="E45" s="185">
        <f>-15000000*0.045</f>
        <v>-675000</v>
      </c>
      <c r="F45" s="185">
        <f>E45</f>
        <v>-675000</v>
      </c>
      <c r="G45" s="185">
        <f>F45</f>
        <v>-675000</v>
      </c>
      <c r="H45" s="185">
        <f>'[1]לוח שפיצר איגוד'!G283</f>
        <v>-1377569.7131903493</v>
      </c>
      <c r="I45" s="185">
        <f>H45</f>
        <v>-1377569.7131903493</v>
      </c>
      <c r="J45" s="185">
        <f>I45</f>
        <v>-1377569.7131903493</v>
      </c>
      <c r="K45" s="185">
        <f>J45</f>
        <v>-1377569.7131903493</v>
      </c>
      <c r="L45" s="185">
        <f>K45</f>
        <v>-1377569.7131903493</v>
      </c>
      <c r="M45" s="185">
        <f>L45</f>
        <v>-1377569.7131903493</v>
      </c>
      <c r="N45" s="185">
        <f>M45</f>
        <v>-1377569.7131903493</v>
      </c>
      <c r="O45" s="185">
        <f>N45</f>
        <v>-1377569.7131903493</v>
      </c>
      <c r="P45" s="185">
        <f>O45</f>
        <v>-1377569.7131903493</v>
      </c>
      <c r="Q45" s="185">
        <f>P45</f>
        <v>-1377569.7131903493</v>
      </c>
      <c r="R45" s="185">
        <f>Q45</f>
        <v>-1377569.7131903493</v>
      </c>
      <c r="S45" s="185">
        <f>R45</f>
        <v>-1377569.7131903493</v>
      </c>
      <c r="T45" s="185">
        <f>S45</f>
        <v>-1377569.7131903493</v>
      </c>
      <c r="U45" s="185">
        <f>T45</f>
        <v>-1377569.7131903493</v>
      </c>
      <c r="V45" s="185">
        <f>U45</f>
        <v>-1377569.7131903493</v>
      </c>
      <c r="W45" s="193"/>
      <c r="X45" s="86"/>
      <c r="Y45" s="86"/>
      <c r="Z45" s="86"/>
    </row>
    <row r="46" spans="1:26" ht="15" hidden="1">
      <c r="A46" s="192" t="s">
        <v>111</v>
      </c>
      <c r="B46" s="187"/>
      <c r="C46" s="191"/>
      <c r="D46" s="185"/>
      <c r="E46" s="185">
        <f>-45000000*0.045</f>
        <v>-2025000</v>
      </c>
      <c r="F46" s="185">
        <f>E46</f>
        <v>-2025000</v>
      </c>
      <c r="G46" s="185">
        <f>F46</f>
        <v>-2025000</v>
      </c>
      <c r="H46" s="185">
        <f>G46</f>
        <v>-2025000</v>
      </c>
      <c r="I46" s="185">
        <f>'[1]לוח שפיצר איגוד'!G411</f>
        <v>-4132709.1395710474</v>
      </c>
      <c r="J46" s="185">
        <f>I46</f>
        <v>-4132709.1395710474</v>
      </c>
      <c r="K46" s="185">
        <f>J46</f>
        <v>-4132709.1395710474</v>
      </c>
      <c r="L46" s="185">
        <f>K46</f>
        <v>-4132709.1395710474</v>
      </c>
      <c r="M46" s="185">
        <f>L46</f>
        <v>-4132709.1395710474</v>
      </c>
      <c r="N46" s="185">
        <f>M46</f>
        <v>-4132709.1395710474</v>
      </c>
      <c r="O46" s="185">
        <f>N46</f>
        <v>-4132709.1395710474</v>
      </c>
      <c r="P46" s="185">
        <f>O46</f>
        <v>-4132709.1395710474</v>
      </c>
      <c r="Q46" s="185">
        <f>P46</f>
        <v>-4132709.1395710474</v>
      </c>
      <c r="R46" s="185">
        <f>Q46</f>
        <v>-4132709.1395710474</v>
      </c>
      <c r="S46" s="185">
        <f>R46</f>
        <v>-4132709.1395710474</v>
      </c>
      <c r="T46" s="185">
        <f>S46</f>
        <v>-4132709.1395710474</v>
      </c>
      <c r="U46" s="185">
        <f>T46</f>
        <v>-4132709.1395710474</v>
      </c>
      <c r="V46" s="185">
        <f>U46</f>
        <v>-4132709.1395710474</v>
      </c>
      <c r="W46" s="185">
        <f>V46</f>
        <v>-4132709.1395710474</v>
      </c>
      <c r="X46" s="86"/>
      <c r="Y46" s="86"/>
      <c r="Z46" s="86"/>
    </row>
    <row r="47" spans="1:26" ht="15" hidden="1">
      <c r="A47" s="192" t="s">
        <v>110</v>
      </c>
      <c r="B47" s="187"/>
      <c r="C47" s="191"/>
      <c r="D47" s="185"/>
      <c r="E47" s="185">
        <f>-(15000000+15000000+10000000+10000000)*0.045</f>
        <v>-2250000</v>
      </c>
      <c r="F47" s="185">
        <f>E47</f>
        <v>-2250000</v>
      </c>
      <c r="G47" s="185">
        <f>F47</f>
        <v>-2250000</v>
      </c>
      <c r="H47" s="185">
        <f>G47</f>
        <v>-2250000</v>
      </c>
      <c r="I47" s="185">
        <f>H47</f>
        <v>-2250000</v>
      </c>
      <c r="J47" s="185">
        <f>'[1]לוח שפיצר איגוד'!G445</f>
        <v>-4591899.0439678309</v>
      </c>
      <c r="K47" s="185">
        <f>J47</f>
        <v>-4591899.0439678309</v>
      </c>
      <c r="L47" s="185">
        <f>K47</f>
        <v>-4591899.0439678309</v>
      </c>
      <c r="M47" s="185">
        <f>L47</f>
        <v>-4591899.0439678309</v>
      </c>
      <c r="N47" s="185">
        <f>M47</f>
        <v>-4591899.0439678309</v>
      </c>
      <c r="O47" s="185">
        <f>N47</f>
        <v>-4591899.0439678309</v>
      </c>
      <c r="P47" s="185">
        <f>O47</f>
        <v>-4591899.0439678309</v>
      </c>
      <c r="Q47" s="185">
        <f>P47</f>
        <v>-4591899.0439678309</v>
      </c>
      <c r="R47" s="185">
        <f>Q47</f>
        <v>-4591899.0439678309</v>
      </c>
      <c r="S47" s="185">
        <f>R47</f>
        <v>-4591899.0439678309</v>
      </c>
      <c r="T47" s="185">
        <f>S47</f>
        <v>-4591899.0439678309</v>
      </c>
      <c r="U47" s="185">
        <f>T47</f>
        <v>-4591899.0439678309</v>
      </c>
      <c r="V47" s="185">
        <f>U47</f>
        <v>-4591899.0439678309</v>
      </c>
      <c r="W47" s="185">
        <f>V47</f>
        <v>-4591899.0439678309</v>
      </c>
      <c r="X47" s="185">
        <f>W47</f>
        <v>-4591899.0439678309</v>
      </c>
      <c r="Y47" s="86"/>
      <c r="Z47" s="86"/>
    </row>
    <row r="48" spans="1:26" ht="15" hidden="1">
      <c r="A48" s="188" t="s">
        <v>109</v>
      </c>
      <c r="B48" s="186">
        <f>-'[1]לוח שפיצר איגוד'!C39</f>
        <v>-2812500</v>
      </c>
      <c r="C48" s="190">
        <f>B48</f>
        <v>-2812500</v>
      </c>
      <c r="D48" s="190">
        <f>C48</f>
        <v>-2812500</v>
      </c>
      <c r="E48" s="190"/>
      <c r="F48" s="190"/>
      <c r="G48" s="190"/>
      <c r="H48" s="185"/>
      <c r="I48" s="185"/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6"/>
      <c r="U48" s="185"/>
      <c r="V48" s="184"/>
      <c r="W48" s="183"/>
      <c r="X48" s="84"/>
      <c r="Y48" s="84"/>
      <c r="Z48" s="84"/>
    </row>
    <row r="49" spans="1:26" ht="15" hidden="1">
      <c r="A49" s="188" t="s">
        <v>108</v>
      </c>
      <c r="B49" s="186"/>
      <c r="C49" s="185"/>
      <c r="D49" s="190">
        <f>-'[1]לוח שפיצר איגוד'!C74</f>
        <v>-1743750.0063870675</v>
      </c>
      <c r="E49" s="190"/>
      <c r="F49" s="190"/>
      <c r="G49" s="190"/>
      <c r="H49" s="190"/>
      <c r="I49" s="185"/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6"/>
      <c r="U49" s="185"/>
      <c r="V49" s="184"/>
      <c r="W49" s="183"/>
      <c r="X49" s="84"/>
      <c r="Y49" s="84"/>
      <c r="Z49" s="84"/>
    </row>
    <row r="50" spans="1:26" ht="15" hidden="1">
      <c r="A50" s="188" t="s">
        <v>107</v>
      </c>
      <c r="B50" s="187"/>
      <c r="C50" s="185"/>
      <c r="D50" s="189">
        <f>-'[1]לוח שפיצר איגוד'!C109/2</f>
        <v>-1284374.9994584324</v>
      </c>
      <c r="E50" s="189"/>
      <c r="F50" s="189"/>
      <c r="G50" s="189"/>
      <c r="H50" s="189"/>
      <c r="I50" s="189"/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6"/>
      <c r="U50" s="185"/>
      <c r="V50" s="184"/>
      <c r="W50" s="183"/>
      <c r="X50" s="84"/>
      <c r="Y50" s="84"/>
      <c r="Z50" s="84"/>
    </row>
    <row r="51" spans="1:26" ht="15" hidden="1">
      <c r="A51" s="188" t="s">
        <v>106</v>
      </c>
      <c r="B51" s="187"/>
      <c r="C51" s="185"/>
      <c r="D51" s="185"/>
      <c r="E51" s="189">
        <f>-'[1]לוח שפיצר איגוד'!C144</f>
        <v>-2403589.9119180473</v>
      </c>
      <c r="F51" s="189">
        <f>E51</f>
        <v>-2403589.9119180473</v>
      </c>
      <c r="G51" s="189">
        <f>F51</f>
        <v>-2403589.9119180473</v>
      </c>
      <c r="H51" s="189">
        <f>G51</f>
        <v>-2403589.9119180473</v>
      </c>
      <c r="I51" s="189">
        <f>H51</f>
        <v>-2403589.9119180473</v>
      </c>
      <c r="J51" s="189">
        <f>I51</f>
        <v>-2403589.9119180473</v>
      </c>
      <c r="K51" s="185">
        <f>'[1]לוח שפיצר איגוד'!$G$147</f>
        <v>-5886422.516601176</v>
      </c>
      <c r="L51" s="185">
        <f>'[1]לוח שפיצר איגוד'!$G$147</f>
        <v>-5886422.516601176</v>
      </c>
      <c r="M51" s="185">
        <f>'[1]לוח שפיצר איגוד'!$G$147</f>
        <v>-5886422.516601176</v>
      </c>
      <c r="N51" s="185">
        <f>'[1]לוח שפיצר איגוד'!$G$147</f>
        <v>-5886422.516601176</v>
      </c>
      <c r="O51" s="185">
        <f>'[1]לוח שפיצר איגוד'!$G$147</f>
        <v>-5886422.516601176</v>
      </c>
      <c r="P51" s="185">
        <f>'[1]לוח שפיצר איגוד'!$G$147</f>
        <v>-5886422.516601176</v>
      </c>
      <c r="Q51" s="185">
        <f>'[1]לוח שפיצר איגוד'!$G$147</f>
        <v>-5886422.516601176</v>
      </c>
      <c r="R51" s="185">
        <f>'[1]לוח שפיצר איגוד'!$G$147</f>
        <v>-5886422.516601176</v>
      </c>
      <c r="S51" s="185">
        <f>'[1]לוח שפיצר איגוד'!$G$147</f>
        <v>-5886422.516601176</v>
      </c>
      <c r="T51" s="186">
        <f>'[1]לוח שפיצר איגוד'!$G$147</f>
        <v>-5886422.516601176</v>
      </c>
      <c r="U51" s="185">
        <f>'[1]לוח שפיצר איגוד'!$G$147</f>
        <v>-5886422.516601176</v>
      </c>
      <c r="V51" s="184">
        <f>'[1]לוח שפיצר איגוד'!$G$147</f>
        <v>-5886422.516601176</v>
      </c>
      <c r="W51" s="183">
        <f>'[1]לוח שפיצר איגוד'!$G$147</f>
        <v>-5886422.516601176</v>
      </c>
      <c r="X51" s="84">
        <f>'[1]לוח שפיצר איגוד'!$G$147</f>
        <v>-5886422.516601176</v>
      </c>
      <c r="Y51" s="84"/>
      <c r="Z51" s="84"/>
    </row>
    <row r="52" spans="1:26" ht="15" hidden="1">
      <c r="A52" s="188" t="s">
        <v>105</v>
      </c>
      <c r="B52" s="187"/>
      <c r="C52" s="185"/>
      <c r="D52" s="185"/>
      <c r="E52" s="185"/>
      <c r="F52" s="189">
        <f>-'[1]לוח שפיצר איגוד'!C178</f>
        <v>-3287709.669517383</v>
      </c>
      <c r="G52" s="189">
        <f>F52</f>
        <v>-3287709.669517383</v>
      </c>
      <c r="H52" s="189">
        <f>G52</f>
        <v>-3287709.669517383</v>
      </c>
      <c r="I52" s="189">
        <f>H52</f>
        <v>-3287709.669517383</v>
      </c>
      <c r="J52" s="189">
        <f>I52</f>
        <v>-3287709.669517383</v>
      </c>
      <c r="K52" s="189">
        <f>J52</f>
        <v>-3287709.669517383</v>
      </c>
      <c r="L52" s="185">
        <f>'[1]לוח שפיצר איגוד'!$G$181</f>
        <v>-7548415.4441503314</v>
      </c>
      <c r="M52" s="185">
        <f>'[1]לוח שפיצר איגוד'!$G$181</f>
        <v>-7548415.4441503314</v>
      </c>
      <c r="N52" s="185">
        <f>'[1]לוח שפיצר איגוד'!$G$181</f>
        <v>-7548415.4441503314</v>
      </c>
      <c r="O52" s="185">
        <f>'[1]לוח שפיצר איגוד'!$G$181</f>
        <v>-7548415.4441503314</v>
      </c>
      <c r="P52" s="185">
        <f>'[1]לוח שפיצר איגוד'!$G$181</f>
        <v>-7548415.4441503314</v>
      </c>
      <c r="Q52" s="185">
        <f>'[1]לוח שפיצר איגוד'!$G$181</f>
        <v>-7548415.4441503314</v>
      </c>
      <c r="R52" s="185">
        <f>'[1]לוח שפיצר איגוד'!$G$181</f>
        <v>-7548415.4441503314</v>
      </c>
      <c r="S52" s="185">
        <f>'[1]לוח שפיצר איגוד'!$G$181</f>
        <v>-7548415.4441503314</v>
      </c>
      <c r="T52" s="186">
        <f>'[1]לוח שפיצר איגוד'!$G$181</f>
        <v>-7548415.4441503314</v>
      </c>
      <c r="U52" s="185">
        <f>'[1]לוח שפיצר איגוד'!$G$181</f>
        <v>-7548415.4441503314</v>
      </c>
      <c r="V52" s="184">
        <f>'[1]לוח שפיצר איגוד'!$G$181</f>
        <v>-7548415.4441503314</v>
      </c>
      <c r="W52" s="183">
        <f>'[1]לוח שפיצר איגוד'!$G$181</f>
        <v>-7548415.4441503314</v>
      </c>
      <c r="X52" s="84">
        <f>'[1]לוח שפיצר איגוד'!$G$181</f>
        <v>-7548415.4441503314</v>
      </c>
      <c r="Y52" s="84">
        <f>'[1]לוח שפיצר איגוד'!$G$181</f>
        <v>-7548415.4441503314</v>
      </c>
      <c r="Z52" s="84"/>
    </row>
    <row r="53" spans="1:26" ht="15" hidden="1">
      <c r="A53" s="188" t="s">
        <v>104</v>
      </c>
      <c r="B53" s="187"/>
      <c r="C53" s="185"/>
      <c r="D53" s="185"/>
      <c r="E53" s="185"/>
      <c r="F53" s="185"/>
      <c r="G53" s="189">
        <f>-'[1]לוח שפיצר איגוד'!C212</f>
        <v>-3372971.9081024448</v>
      </c>
      <c r="H53" s="189">
        <f>G53</f>
        <v>-3372971.9081024448</v>
      </c>
      <c r="I53" s="189">
        <f>H53</f>
        <v>-3372971.9081024448</v>
      </c>
      <c r="J53" s="189">
        <f>I53</f>
        <v>-3372971.9081024448</v>
      </c>
      <c r="K53" s="189">
        <f>J53</f>
        <v>-3372971.9081024448</v>
      </c>
      <c r="L53" s="189">
        <f>K53</f>
        <v>-3372971.9081024448</v>
      </c>
      <c r="M53" s="185">
        <f>'[1]לוח שפיצר איגוד'!$G$215</f>
        <v>-7203882.0837888224</v>
      </c>
      <c r="N53" s="185">
        <f>'[1]לוח שפיצר איגוד'!$G$215</f>
        <v>-7203882.0837888224</v>
      </c>
      <c r="O53" s="185">
        <f>'[1]לוח שפיצר איגוד'!$G$215</f>
        <v>-7203882.0837888224</v>
      </c>
      <c r="P53" s="185">
        <f>'[1]לוח שפיצר איגוד'!$G$215</f>
        <v>-7203882.0837888224</v>
      </c>
      <c r="Q53" s="185">
        <f>'[1]לוח שפיצר איגוד'!$G$215</f>
        <v>-7203882.0837888224</v>
      </c>
      <c r="R53" s="185">
        <f>'[1]לוח שפיצר איגוד'!$G$215</f>
        <v>-7203882.0837888224</v>
      </c>
      <c r="S53" s="185">
        <f>'[1]לוח שפיצר איגוד'!$G$215</f>
        <v>-7203882.0837888224</v>
      </c>
      <c r="T53" s="186">
        <f>'[1]לוח שפיצר איגוד'!$G$215</f>
        <v>-7203882.0837888224</v>
      </c>
      <c r="U53" s="185">
        <f>'[1]לוח שפיצר איגוד'!$G$215</f>
        <v>-7203882.0837888224</v>
      </c>
      <c r="V53" s="184">
        <f>'[1]לוח שפיצר איגוד'!$G$215</f>
        <v>-7203882.0837888224</v>
      </c>
      <c r="W53" s="183">
        <f>'[1]לוח שפיצר איגוד'!$G$215</f>
        <v>-7203882.0837888224</v>
      </c>
      <c r="X53" s="84">
        <f>'[1]לוח שפיצר איגוד'!$G$215</f>
        <v>-7203882.0837888224</v>
      </c>
      <c r="Y53" s="84">
        <f>'[1]לוח שפיצר איגוד'!$G$215</f>
        <v>-7203882.0837888224</v>
      </c>
      <c r="Z53" s="84">
        <f>'[1]לוח שפיצר איגוד'!$G$215</f>
        <v>-7203882.0837888224</v>
      </c>
    </row>
    <row r="54" spans="1:26" ht="15" hidden="1">
      <c r="A54" s="188" t="s">
        <v>103</v>
      </c>
      <c r="B54" s="187"/>
      <c r="C54" s="185"/>
      <c r="D54" s="185"/>
      <c r="E54" s="185"/>
      <c r="F54" s="185"/>
      <c r="G54" s="185"/>
      <c r="H54" s="189">
        <f>-'[1]לוח שפיצר איגוד'!C340</f>
        <v>-1495167.4322534013</v>
      </c>
      <c r="I54" s="189">
        <f>H54</f>
        <v>-1495167.4322534013</v>
      </c>
      <c r="J54" s="189">
        <f>I54</f>
        <v>-1495167.4322534013</v>
      </c>
      <c r="K54" s="189">
        <f>J54</f>
        <v>-1495167.4322534013</v>
      </c>
      <c r="L54" s="189">
        <f>K54</f>
        <v>-1495167.4322534013</v>
      </c>
      <c r="M54" s="185">
        <f>'[1]לוח שפיצר איגוד'!G343</f>
        <v>-3193329.2570866183</v>
      </c>
      <c r="N54" s="185">
        <f>M54</f>
        <v>-3193329.2570866183</v>
      </c>
      <c r="O54" s="185">
        <f>N54</f>
        <v>-3193329.2570866183</v>
      </c>
      <c r="P54" s="185">
        <f>O54</f>
        <v>-3193329.2570866183</v>
      </c>
      <c r="Q54" s="185">
        <f>P54</f>
        <v>-3193329.2570866183</v>
      </c>
      <c r="R54" s="185">
        <f>Q54</f>
        <v>-3193329.2570866183</v>
      </c>
      <c r="S54" s="185">
        <f>R54</f>
        <v>-3193329.2570866183</v>
      </c>
      <c r="T54" s="186">
        <f>S54</f>
        <v>-3193329.2570866183</v>
      </c>
      <c r="U54" s="185">
        <f>T54</f>
        <v>-3193329.2570866183</v>
      </c>
      <c r="V54" s="184">
        <f>U54</f>
        <v>-3193329.2570866183</v>
      </c>
      <c r="W54" s="183">
        <f>V54</f>
        <v>-3193329.2570866183</v>
      </c>
      <c r="X54" s="84">
        <f>W54</f>
        <v>-3193329.2570866183</v>
      </c>
      <c r="Y54" s="84">
        <f>X54</f>
        <v>-3193329.2570866183</v>
      </c>
      <c r="Z54" s="84">
        <f>X54</f>
        <v>-3193329.2570866183</v>
      </c>
    </row>
    <row r="55" spans="1:26" ht="15" hidden="1">
      <c r="A55" s="188" t="s">
        <v>102</v>
      </c>
      <c r="B55" s="187"/>
      <c r="C55" s="185"/>
      <c r="D55" s="185"/>
      <c r="E55" s="185"/>
      <c r="F55" s="185"/>
      <c r="G55" s="185"/>
      <c r="H55" s="185"/>
      <c r="I55" s="189">
        <f>-'[1]לוח שפיצר איגוד'!C374</f>
        <v>-832302.21416446625</v>
      </c>
      <c r="J55" s="189">
        <f>I55</f>
        <v>-832302.21416446625</v>
      </c>
      <c r="K55" s="189">
        <f>J55</f>
        <v>-832302.21416446625</v>
      </c>
      <c r="L55" s="189">
        <f>K55</f>
        <v>-832302.21416446625</v>
      </c>
      <c r="M55" s="189">
        <f>L55</f>
        <v>-832302.21416446625</v>
      </c>
      <c r="N55" s="185">
        <f>'[1]לוח שפיצר איגוד'!G377</f>
        <v>-1777603.6007042425</v>
      </c>
      <c r="O55" s="185">
        <f>N55</f>
        <v>-1777603.6007042425</v>
      </c>
      <c r="P55" s="185">
        <f>O55</f>
        <v>-1777603.6007042425</v>
      </c>
      <c r="Q55" s="185">
        <f>P55</f>
        <v>-1777603.6007042425</v>
      </c>
      <c r="R55" s="185">
        <f>Q55</f>
        <v>-1777603.6007042425</v>
      </c>
      <c r="S55" s="185">
        <f>R55</f>
        <v>-1777603.6007042425</v>
      </c>
      <c r="T55" s="186">
        <f>S55</f>
        <v>-1777603.6007042425</v>
      </c>
      <c r="U55" s="185">
        <f>T55</f>
        <v>-1777603.6007042425</v>
      </c>
      <c r="V55" s="184">
        <f>U55</f>
        <v>-1777603.6007042425</v>
      </c>
      <c r="W55" s="183">
        <f>V55</f>
        <v>-1777603.6007042425</v>
      </c>
      <c r="X55" s="84">
        <f>W55</f>
        <v>-1777603.6007042425</v>
      </c>
      <c r="Y55" s="84">
        <f>X55</f>
        <v>-1777603.6007042425</v>
      </c>
      <c r="Z55" s="84">
        <f>Y55</f>
        <v>-1777603.6007042425</v>
      </c>
    </row>
    <row r="56" spans="1:26" ht="15" hidden="1">
      <c r="A56" s="188" t="s">
        <v>101</v>
      </c>
      <c r="B56" s="187"/>
      <c r="C56" s="185"/>
      <c r="D56" s="185"/>
      <c r="E56" s="185"/>
      <c r="F56" s="185"/>
      <c r="G56" s="185"/>
      <c r="H56" s="185"/>
      <c r="I56" s="185"/>
      <c r="J56" s="185"/>
      <c r="K56" s="185">
        <f>J56</f>
        <v>0</v>
      </c>
      <c r="L56" s="185">
        <f>K56</f>
        <v>0</v>
      </c>
      <c r="M56" s="185">
        <f>L56</f>
        <v>0</v>
      </c>
      <c r="N56" s="185">
        <f>M56</f>
        <v>0</v>
      </c>
      <c r="O56" s="185"/>
      <c r="P56" s="185">
        <f>O56</f>
        <v>0</v>
      </c>
      <c r="Q56" s="185">
        <f>P56</f>
        <v>0</v>
      </c>
      <c r="R56" s="185">
        <f>Q56</f>
        <v>0</v>
      </c>
      <c r="S56" s="185">
        <f>R56</f>
        <v>0</v>
      </c>
      <c r="T56" s="186">
        <f>S56</f>
        <v>0</v>
      </c>
      <c r="U56" s="185">
        <f>T56</f>
        <v>0</v>
      </c>
      <c r="V56" s="184">
        <f>U56</f>
        <v>0</v>
      </c>
      <c r="W56" s="183">
        <f>V56</f>
        <v>0</v>
      </c>
      <c r="X56" s="84">
        <f>W56</f>
        <v>0</v>
      </c>
      <c r="Y56" s="84">
        <f>X56</f>
        <v>0</v>
      </c>
      <c r="Z56" s="84">
        <f>Y56</f>
        <v>0</v>
      </c>
    </row>
    <row r="57" spans="1:26" ht="15" hidden="1">
      <c r="A57" s="188" t="s">
        <v>100</v>
      </c>
      <c r="B57" s="187"/>
      <c r="C57" s="185"/>
      <c r="D57" s="185"/>
      <c r="E57" s="185"/>
      <c r="F57" s="185"/>
      <c r="G57" s="185"/>
      <c r="H57" s="185"/>
      <c r="I57" s="185"/>
      <c r="J57" s="185"/>
      <c r="K57" s="185"/>
      <c r="L57" s="185">
        <f>K57</f>
        <v>0</v>
      </c>
      <c r="M57" s="185">
        <f>L57</f>
        <v>0</v>
      </c>
      <c r="N57" s="185">
        <f>M57</f>
        <v>0</v>
      </c>
      <c r="O57" s="185">
        <f>N57</f>
        <v>0</v>
      </c>
      <c r="P57" s="185"/>
      <c r="Q57" s="185">
        <f>P57</f>
        <v>0</v>
      </c>
      <c r="R57" s="185">
        <f>Q57</f>
        <v>0</v>
      </c>
      <c r="S57" s="185">
        <f>R57</f>
        <v>0</v>
      </c>
      <c r="T57" s="186">
        <f>S57</f>
        <v>0</v>
      </c>
      <c r="U57" s="185">
        <f>T57</f>
        <v>0</v>
      </c>
      <c r="V57" s="184">
        <f>U57</f>
        <v>0</v>
      </c>
      <c r="W57" s="183">
        <f>V57</f>
        <v>0</v>
      </c>
      <c r="X57" s="84">
        <f>W57</f>
        <v>0</v>
      </c>
      <c r="Y57" s="84">
        <f>X57</f>
        <v>0</v>
      </c>
      <c r="Z57" s="84">
        <f>Y57</f>
        <v>0</v>
      </c>
    </row>
    <row r="58" spans="1:26" ht="15" hidden="1">
      <c r="A58" s="188" t="s">
        <v>99</v>
      </c>
      <c r="B58" s="187"/>
      <c r="C58" s="185"/>
      <c r="D58" s="185"/>
      <c r="E58" s="185"/>
      <c r="F58" s="185"/>
      <c r="G58" s="185"/>
      <c r="H58" s="185"/>
      <c r="I58" s="185"/>
      <c r="J58" s="185"/>
      <c r="K58" s="185"/>
      <c r="L58" s="185"/>
      <c r="M58" s="185">
        <f>L58</f>
        <v>0</v>
      </c>
      <c r="N58" s="185">
        <f>M58</f>
        <v>0</v>
      </c>
      <c r="O58" s="185">
        <f>N58</f>
        <v>0</v>
      </c>
      <c r="P58" s="185">
        <f>O58</f>
        <v>0</v>
      </c>
      <c r="Q58" s="185"/>
      <c r="R58" s="185"/>
      <c r="S58" s="185"/>
      <c r="T58" s="186"/>
      <c r="U58" s="185"/>
      <c r="V58" s="184"/>
      <c r="W58" s="183"/>
      <c r="X58" s="84"/>
      <c r="Y58" s="84"/>
      <c r="Z58" s="84"/>
    </row>
    <row r="59" spans="1:26" ht="15" hidden="1">
      <c r="A59" s="188" t="s">
        <v>98</v>
      </c>
      <c r="B59" s="187"/>
      <c r="C59" s="185"/>
      <c r="D59" s="185"/>
      <c r="E59" s="185"/>
      <c r="F59" s="185"/>
      <c r="G59" s="185"/>
      <c r="H59" s="185"/>
      <c r="I59" s="185"/>
      <c r="J59" s="185"/>
      <c r="K59" s="185"/>
      <c r="L59" s="185"/>
      <c r="M59" s="185">
        <f>'[1]לוח שפיצר איגוד'!G479</f>
        <v>0</v>
      </c>
      <c r="N59" s="185">
        <f>M59</f>
        <v>0</v>
      </c>
      <c r="O59" s="185">
        <f>N59</f>
        <v>0</v>
      </c>
      <c r="P59" s="185">
        <f>O59</f>
        <v>0</v>
      </c>
      <c r="Q59" s="185">
        <f>P59</f>
        <v>0</v>
      </c>
      <c r="R59" s="185">
        <f>'[1]לוח שפיצר איגוד'!G479</f>
        <v>0</v>
      </c>
      <c r="S59" s="185">
        <f>R59</f>
        <v>0</v>
      </c>
      <c r="T59" s="186">
        <f>S59</f>
        <v>0</v>
      </c>
      <c r="U59" s="185">
        <f>T59</f>
        <v>0</v>
      </c>
      <c r="V59" s="184">
        <f>U59</f>
        <v>0</v>
      </c>
      <c r="W59" s="183">
        <f>V59</f>
        <v>0</v>
      </c>
      <c r="X59" s="84">
        <f>W59</f>
        <v>0</v>
      </c>
      <c r="Y59" s="84">
        <f>X59</f>
        <v>0</v>
      </c>
      <c r="Z59" s="84">
        <f>Y59</f>
        <v>0</v>
      </c>
    </row>
    <row r="60" spans="1:26" ht="15" hidden="1">
      <c r="A60" s="188" t="s">
        <v>97</v>
      </c>
      <c r="B60" s="187"/>
      <c r="C60" s="185"/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>
        <f>N60</f>
        <v>0</v>
      </c>
      <c r="P60" s="185">
        <f>O60</f>
        <v>0</v>
      </c>
      <c r="Q60" s="185">
        <f>P60</f>
        <v>0</v>
      </c>
      <c r="R60" s="185">
        <f>Q60</f>
        <v>0</v>
      </c>
      <c r="S60" s="185"/>
      <c r="T60" s="186"/>
      <c r="U60" s="185"/>
      <c r="V60" s="184"/>
      <c r="W60" s="183"/>
      <c r="X60" s="84"/>
      <c r="Y60" s="84"/>
      <c r="Z60" s="84"/>
    </row>
    <row r="61" spans="1:26" ht="15" hidden="1">
      <c r="A61" s="188" t="s">
        <v>96</v>
      </c>
      <c r="B61" s="187"/>
      <c r="C61" s="185"/>
      <c r="D61" s="185"/>
      <c r="E61" s="185"/>
      <c r="F61" s="185"/>
      <c r="G61" s="185"/>
      <c r="H61" s="185"/>
      <c r="I61" s="185"/>
      <c r="J61" s="185"/>
      <c r="K61" s="185"/>
      <c r="L61" s="185"/>
      <c r="M61" s="185"/>
      <c r="N61" s="185"/>
      <c r="O61" s="185"/>
      <c r="P61" s="185">
        <f>'[1]לוח שפיצר איגוד'!$G$318</f>
        <v>0</v>
      </c>
      <c r="Q61" s="185">
        <f>'[1]לוח שפיצר איגוד'!$G$318</f>
        <v>0</v>
      </c>
      <c r="R61" s="185">
        <f>'[1]לוח שפיצר איגוד'!$G$318</f>
        <v>0</v>
      </c>
      <c r="S61" s="185">
        <f>'[1]לוח שפיצר איגוד'!$G$318</f>
        <v>0</v>
      </c>
      <c r="T61" s="186">
        <f>'[1]לוח שפיצר איגוד'!$G$318</f>
        <v>0</v>
      </c>
      <c r="U61" s="185">
        <f>'[1]לוח שפיצר איגוד'!$G$318</f>
        <v>0</v>
      </c>
      <c r="V61" s="184">
        <f>'[1]לוח שפיצר איגוד'!$G$318</f>
        <v>0</v>
      </c>
      <c r="W61" s="183">
        <f>'[1]לוח שפיצר איגוד'!$G$318</f>
        <v>0</v>
      </c>
      <c r="X61" s="84">
        <f>'[1]לוח שפיצר איגוד'!$G$318</f>
        <v>0</v>
      </c>
      <c r="Y61" s="84">
        <f>'[1]לוח שפיצר איגוד'!$G$318</f>
        <v>0</v>
      </c>
      <c r="Z61" s="84">
        <f>'[1]לוח שפיצר איגוד'!$G$318</f>
        <v>0</v>
      </c>
    </row>
    <row r="62" spans="1:26" ht="15" hidden="1">
      <c r="A62" s="188" t="s">
        <v>95</v>
      </c>
      <c r="B62" s="187"/>
      <c r="C62" s="185"/>
      <c r="D62" s="185"/>
      <c r="E62" s="185"/>
      <c r="F62" s="185"/>
      <c r="G62" s="185"/>
      <c r="H62" s="185"/>
      <c r="I62" s="185"/>
      <c r="J62" s="185"/>
      <c r="K62" s="185"/>
      <c r="L62" s="185"/>
      <c r="M62" s="185"/>
      <c r="N62" s="185"/>
      <c r="O62" s="185"/>
      <c r="P62" s="185"/>
      <c r="Q62" s="185"/>
      <c r="R62" s="185"/>
      <c r="S62" s="185">
        <f>'[1]לוח שפיצר איגוד'!G513</f>
        <v>0</v>
      </c>
      <c r="T62" s="186">
        <f>S62</f>
        <v>0</v>
      </c>
      <c r="U62" s="185">
        <f>T62</f>
        <v>0</v>
      </c>
      <c r="V62" s="184">
        <f>U62</f>
        <v>0</v>
      </c>
      <c r="W62" s="183">
        <f>V62</f>
        <v>0</v>
      </c>
      <c r="X62" s="84">
        <f>W62</f>
        <v>0</v>
      </c>
      <c r="Y62" s="84">
        <f>X62</f>
        <v>0</v>
      </c>
      <c r="Z62" s="84">
        <f>Y62</f>
        <v>0</v>
      </c>
    </row>
    <row r="63" spans="1:26" ht="15" hidden="1">
      <c r="A63" s="188"/>
      <c r="B63" s="187"/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6"/>
      <c r="U63" s="185"/>
      <c r="V63" s="184"/>
      <c r="W63" s="183"/>
      <c r="X63" s="84"/>
      <c r="Y63" s="84"/>
      <c r="Z63" s="84"/>
    </row>
    <row r="64" spans="1:26" ht="15" hidden="1">
      <c r="A64" s="188"/>
      <c r="B64" s="187"/>
      <c r="C64" s="185"/>
      <c r="D64" s="185"/>
      <c r="E64" s="185"/>
      <c r="F64" s="185"/>
      <c r="G64" s="185"/>
      <c r="H64" s="185"/>
      <c r="I64" s="185"/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6"/>
      <c r="U64" s="185"/>
      <c r="V64" s="184"/>
      <c r="W64" s="183"/>
      <c r="X64" s="84"/>
      <c r="Y64" s="84"/>
      <c r="Z64" s="84"/>
    </row>
    <row r="65" spans="1:26" ht="15" hidden="1">
      <c r="A65" s="188"/>
      <c r="B65" s="187"/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6"/>
      <c r="U65" s="185"/>
      <c r="V65" s="184"/>
      <c r="W65" s="183"/>
      <c r="X65" s="84"/>
      <c r="Y65" s="84"/>
      <c r="Z65" s="84"/>
    </row>
    <row r="66" spans="1:26" ht="15" hidden="1" thickBot="1">
      <c r="A66" s="182"/>
      <c r="B66" s="181"/>
      <c r="C66" s="179"/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80"/>
      <c r="U66" s="179"/>
      <c r="V66" s="178"/>
      <c r="W66" s="177"/>
      <c r="X66" s="80"/>
      <c r="Y66" s="80"/>
      <c r="Z66" s="80"/>
    </row>
    <row r="67" spans="1:178" s="36" customFormat="1" ht="15.75" hidden="1" thickBot="1">
      <c r="A67" s="90" t="s">
        <v>36</v>
      </c>
      <c r="B67" s="175" t="e">
        <f>SUM(B37:B66)</f>
        <v>#REF!</v>
      </c>
      <c r="C67" s="174">
        <v>18192345</v>
      </c>
      <c r="D67" s="176">
        <v>8815816</v>
      </c>
      <c r="E67" s="174">
        <f>SUM(E37:E66)+D67+D68</f>
        <v>58565287.65359769</v>
      </c>
      <c r="F67" s="174">
        <f>SUM(F37:F66)+E67+E68</f>
        <v>123860821.17803666</v>
      </c>
      <c r="G67" s="174">
        <f>SUM(G37:G66)+F67+F68</f>
        <v>195030535.25755009</v>
      </c>
      <c r="H67" s="174">
        <f>SUM(H37:H66)+G67+G68</f>
        <v>210212777.55430836</v>
      </c>
      <c r="I67" s="174">
        <f>SUM(I37:I66)+H67+H68</f>
        <v>184656688.34871021</v>
      </c>
      <c r="J67" s="174">
        <f>SUM(J37:J66)+I67+I68</f>
        <v>85380093.884467959</v>
      </c>
      <c r="K67" s="174">
        <f>SUM(K37:K66)+J67+J68</f>
        <v>27240429.473362781</v>
      </c>
      <c r="L67" s="174">
        <f>SUM(L37:L66)+K67+K68</f>
        <v>63772315.01198981</v>
      </c>
      <c r="M67" s="174">
        <f>SUM(M37:M66)+L67+L68</f>
        <v>96643026.030613691</v>
      </c>
      <c r="N67" s="174">
        <f>SUM(N37:N66)+M67+M68</f>
        <v>145394614.71738848</v>
      </c>
      <c r="O67" s="174">
        <f>SUM(O37:O66)+N67+N68</f>
        <v>196223926.80777046</v>
      </c>
      <c r="P67" s="174">
        <f>SUM(P37:P66)+O67+O68</f>
        <v>249175592.6485467</v>
      </c>
      <c r="Q67" s="174">
        <f>SUM(Q37:Q66)+P67+P68</f>
        <v>303352352.41030383</v>
      </c>
      <c r="R67" s="174">
        <f>SUM(R37:R66)+Q67+Q68</f>
        <v>358647912.96528137</v>
      </c>
      <c r="S67" s="174">
        <f>SUM(S37:S66)+R67+R68</f>
        <v>419386910.69396764</v>
      </c>
      <c r="T67" s="175">
        <f>SUM(T37:T66)+S67+S68</f>
        <v>485623837.78997529</v>
      </c>
      <c r="U67" s="174">
        <f>SUM(U37:U66)+T67+T68</f>
        <v>556752421.16727304</v>
      </c>
      <c r="V67" s="173">
        <f>SUM(V37:V66)+U67+U68</f>
        <v>629256612.83926129</v>
      </c>
      <c r="W67" s="78">
        <f>SUM(W37:W66)+V67+V68</f>
        <v>704307020.63084364</v>
      </c>
      <c r="X67" s="76">
        <f>SUM(X37:X66)+W67+W68</f>
        <v>784761929.53776467</v>
      </c>
      <c r="Y67" s="76">
        <f>SUM(Y37:Y66)+X67+X68</f>
        <v>877079489.76558697</v>
      </c>
      <c r="Z67" s="172">
        <f>SUM(Z37:Z66)+Y67+Y68</f>
        <v>979227672.45768189</v>
      </c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</row>
    <row r="68" spans="1:178" s="10" customFormat="1" ht="15.75" hidden="1" thickBot="1">
      <c r="A68" s="75" t="s">
        <v>35</v>
      </c>
      <c r="B68" s="170" t="e">
        <f>IF(B67&gt;0,B67*$C$74,B67*0)</f>
        <v>#REF!</v>
      </c>
      <c r="C68" s="171">
        <v>0</v>
      </c>
      <c r="D68" s="171">
        <f>IF(D67&gt;0,D67*$C$74,D67*0)</f>
        <v>132237.23999999999</v>
      </c>
      <c r="E68" s="171">
        <f>IF(E67&gt;0,E67*$C$74,E67*0)</f>
        <v>878479.31480396527</v>
      </c>
      <c r="F68" s="171">
        <f>IF(F67&gt;0,F67*$C$74,F67*0)</f>
        <v>1857912.3176705497</v>
      </c>
      <c r="G68" s="171">
        <f>IF(G67&gt;0,G67*$C$74,G67*0)</f>
        <v>2925458.0288632512</v>
      </c>
      <c r="H68" s="171">
        <f>IF(H67&gt;0,H67*$C$74,H67*0)</f>
        <v>3153191.6633146252</v>
      </c>
      <c r="I68" s="171">
        <f>IF(I67&gt;0,I67*$C$74,I67*0)</f>
        <v>2769850.3252306529</v>
      </c>
      <c r="J68" s="171">
        <f>IF(J67&gt;0,J67*$C$74,J67*0)</f>
        <v>1280701.4082670193</v>
      </c>
      <c r="K68" s="171">
        <f>IF(K67&gt;0,K67*$C$74,K67*0)</f>
        <v>408606.44210044172</v>
      </c>
      <c r="L68" s="171">
        <f>IF(L67&gt;0,L67*$C$74,L67*0)</f>
        <v>956584.7251798471</v>
      </c>
      <c r="M68" s="171">
        <f>IF(M67&gt;0,M67*$C$74,M67*0)</f>
        <v>1449645.3904592053</v>
      </c>
      <c r="N68" s="171">
        <f>IF(N67&gt;0,N67*$C$74,N67*0)</f>
        <v>2180919.220760827</v>
      </c>
      <c r="O68" s="171">
        <f>IF(O67&gt;0,O67*$C$74,O67*0)</f>
        <v>2943358.9021165567</v>
      </c>
      <c r="P68" s="171">
        <f>IF(P67&gt;0,P67*$C$74,P67*0)</f>
        <v>3737633.8897282002</v>
      </c>
      <c r="Q68" s="171">
        <f>IF(Q67&gt;0,Q67*$C$74,Q67*0)</f>
        <v>4550285.286154557</v>
      </c>
      <c r="R68" s="171">
        <f>IF(R67&gt;0,R67*$C$74,R67*0)</f>
        <v>5379718.6944792205</v>
      </c>
      <c r="S68" s="171">
        <f>IF(S67&gt;0,S67*$C$74,S67*0)</f>
        <v>6290803.6604095148</v>
      </c>
      <c r="T68" s="170">
        <f>IF(T67&gt;0,T67*$C$74,T67*0)</f>
        <v>7284357.5668496294</v>
      </c>
      <c r="U68" s="171">
        <f>IF(U67&gt;0,U67*$C$74,U67*0)</f>
        <v>8351286.3175090952</v>
      </c>
      <c r="V68" s="74">
        <f>IF(V67&gt;0,V67*$C$74,V67*0)</f>
        <v>9438849.1925889198</v>
      </c>
      <c r="W68" s="74">
        <f>IF(W67&gt;0,W67*$C$74,W67*0)</f>
        <v>10564605.309462654</v>
      </c>
      <c r="X68" s="74">
        <f>IF(X67&gt;0,X67*$C$74,X67*0)</f>
        <v>11771428.94306647</v>
      </c>
      <c r="Y68" s="74">
        <f>IF(Y67&gt;0,Y67*$C$74,Y67*0)</f>
        <v>13156192.346483804</v>
      </c>
      <c r="Z68" s="170">
        <f>IF(Z67&gt;0,Z67*$C$74,Z67*0)</f>
        <v>14688415.086865228</v>
      </c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</row>
    <row r="69" spans="1:24" ht="15" hidden="1">
      <c r="A69" s="63"/>
      <c r="B69" s="169"/>
      <c r="C69" s="169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8"/>
    </row>
    <row r="70" spans="1:24" ht="15" hidden="1">
      <c r="A70" s="63" t="s">
        <v>34</v>
      </c>
      <c r="B70" s="169">
        <f>90000000+B39</f>
        <v>165000000</v>
      </c>
      <c r="C70" s="169">
        <f>B70+C39</f>
        <v>211500000.17032179</v>
      </c>
      <c r="D70" s="169">
        <f>C70+D39</f>
        <v>280000000.14143819</v>
      </c>
      <c r="E70" s="169">
        <f>D70+E39</f>
        <v>344095731.12591946</v>
      </c>
      <c r="F70" s="169">
        <f>E70+F39</f>
        <v>426288472.86385405</v>
      </c>
      <c r="G70" s="169">
        <f>F70+G39</f>
        <v>504729680.02902722</v>
      </c>
      <c r="H70" s="169">
        <f>G70+H39</f>
        <v>539501015.66282725</v>
      </c>
      <c r="I70" s="169">
        <f>H70+I39</f>
        <v>558856881.10851252</v>
      </c>
      <c r="J70" s="169">
        <f>I70+J39</f>
        <v>558856881.10851252</v>
      </c>
      <c r="K70" s="169">
        <f>J70+K39</f>
        <v>558856881.10851252</v>
      </c>
      <c r="L70" s="169">
        <f>K70+L39</f>
        <v>558856881.10851252</v>
      </c>
      <c r="M70" s="169">
        <f>L70+M39</f>
        <v>558856881.10851252</v>
      </c>
      <c r="N70" s="169">
        <f>M70+N39</f>
        <v>558856881.10851252</v>
      </c>
      <c r="O70" s="169"/>
      <c r="P70" s="169"/>
      <c r="Q70" s="169"/>
      <c r="R70" s="169"/>
      <c r="S70" s="169"/>
      <c r="T70" s="169"/>
      <c r="U70" s="169"/>
      <c r="V70" s="169"/>
      <c r="W70" s="169"/>
      <c r="X70" s="168"/>
    </row>
    <row r="71" spans="1:24" ht="15" hidden="1">
      <c r="A71" s="63"/>
      <c r="B71" s="169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8"/>
    </row>
    <row r="72" spans="1:23" ht="15" hidden="1" thickBot="1">
      <c r="A72" s="6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</row>
    <row r="73" spans="1:23" ht="15.75" hidden="1" thickBot="1">
      <c r="A73" s="69" t="s">
        <v>33</v>
      </c>
      <c r="B73" s="68"/>
      <c r="C73" s="67">
        <v>0.042999999999999997</v>
      </c>
      <c r="D73" s="67">
        <v>0.050000000000000003</v>
      </c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</row>
    <row r="74" spans="1:23" ht="15.75" hidden="1" thickBot="1">
      <c r="A74" s="66" t="s">
        <v>32</v>
      </c>
      <c r="B74" s="65"/>
      <c r="C74" s="64">
        <v>0.014999999999999999</v>
      </c>
      <c r="D74" s="64">
        <v>0.014999999999999999</v>
      </c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</row>
    <row r="75" spans="1:23" ht="15.75" thickBot="1">
      <c r="A75" s="63"/>
      <c r="B75" s="24"/>
      <c r="C75" s="24"/>
      <c r="D75" s="24"/>
      <c r="E75" s="24"/>
      <c r="F75" s="24"/>
      <c r="G75" s="24"/>
      <c r="H75" s="24"/>
      <c r="I75" s="70"/>
      <c r="J75" s="24"/>
      <c r="K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</row>
    <row r="76" spans="1:23" ht="15" thickBot="1">
      <c r="A76" s="167" t="s">
        <v>31</v>
      </c>
      <c r="B76" s="165">
        <f>B2</f>
        <v>2010</v>
      </c>
      <c r="C76" s="166">
        <f>C2</f>
        <v>2011</v>
      </c>
      <c r="D76" s="58">
        <f>D2</f>
        <v>2012</v>
      </c>
      <c r="E76" s="59">
        <f>E2</f>
        <v>2013</v>
      </c>
      <c r="F76" s="58">
        <f>F2</f>
        <v>2014</v>
      </c>
      <c r="G76" s="59">
        <f>G2</f>
        <v>2015</v>
      </c>
      <c r="H76" s="58">
        <f>H2</f>
        <v>2016</v>
      </c>
      <c r="I76" s="58">
        <f>I2</f>
        <v>2017</v>
      </c>
      <c r="J76" s="165">
        <f>J2</f>
        <v>2018</v>
      </c>
      <c r="K76" s="165">
        <f>K2</f>
        <v>2019</v>
      </c>
      <c r="L76" s="165">
        <f>L2</f>
        <v>2020</v>
      </c>
      <c r="M76" s="165">
        <f>M2</f>
        <v>2021</v>
      </c>
      <c r="N76" s="165">
        <f>N2</f>
        <v>2022</v>
      </c>
      <c r="O76" s="165">
        <f>O2</f>
        <v>2023</v>
      </c>
      <c r="P76" s="165">
        <f>P2</f>
        <v>2024</v>
      </c>
      <c r="Q76" s="165">
        <f>Q2</f>
        <v>2025</v>
      </c>
      <c r="R76" s="165">
        <f>R2</f>
        <v>2026</v>
      </c>
      <c r="S76" s="165">
        <f>S2</f>
        <v>2027</v>
      </c>
      <c r="T76" s="165">
        <f>T2</f>
        <v>2028</v>
      </c>
      <c r="U76" s="165">
        <f>U2</f>
        <v>2029</v>
      </c>
      <c r="V76" s="164">
        <f>V2</f>
        <v>2030</v>
      </c>
      <c r="W76" s="163"/>
    </row>
    <row r="77" spans="1:26" ht="14.25">
      <c r="A77" s="162" t="s">
        <v>94</v>
      </c>
      <c r="B77" s="161">
        <v>1.1399999999999999</v>
      </c>
      <c r="C77" s="160">
        <f>1.226*(1+'[1]תעריף טיהור והולכה'!E29)</f>
        <v>1.226</v>
      </c>
      <c r="D77" s="54">
        <v>1.4079999999999999</v>
      </c>
      <c r="E77" s="55">
        <f>2.794-'עלויות ההולכה'!E71-'עלויות ההולכה'!F73</f>
        <v>1.7121034482758621</v>
      </c>
      <c r="F77" s="54">
        <f>2.662-'עלויות ההולכה'!F71-'עלויות ההולכה'!F73</f>
        <v>1.4301034482758617</v>
      </c>
      <c r="G77" s="55">
        <f>F77*(1+'[1]תעריף טיהור והולכה'!F29)^4+0.033</f>
        <v>1.4631034482758616</v>
      </c>
      <c r="H77" s="54">
        <f>G77*(1+'[1]תעריף טיהור והולכה'!G29)^4</f>
        <v>1.4631034482758616</v>
      </c>
      <c r="I77" s="159">
        <f>(H77)*(1+'[1]תעריף טיהור והולכה'!H29)^4</f>
        <v>1.4631034482758616</v>
      </c>
      <c r="J77" s="158">
        <f>I77*(1+'[1]תעריף טיהור והולכה'!I29)^4</f>
        <v>1.4631034482758616</v>
      </c>
      <c r="K77" s="158">
        <f>J77*(1+'[1]תעריף טיהור והולכה'!J29)^4</f>
        <v>1.4631034482758616</v>
      </c>
      <c r="L77" s="158">
        <f>K77*(1+'[1]תעריף טיהור והולכה'!K29)^4</f>
        <v>1.4631034482758616</v>
      </c>
      <c r="M77" s="158">
        <f>L77*(1+'[1]תעריף טיהור והולכה'!L29)^4</f>
        <v>1.4631034482758616</v>
      </c>
      <c r="N77" s="158">
        <f>M77*(1+'[1]תעריף טיהור והולכה'!M29)^4</f>
        <v>1.4631034482758616</v>
      </c>
      <c r="O77" s="158">
        <f>N77*(1+'[1]תעריף טיהור והולכה'!N29)^4</f>
        <v>1.4631034482758616</v>
      </c>
      <c r="P77" s="158">
        <f>O77*(1+'[1]תעריף טיהור והולכה'!O29)^4</f>
        <v>1.4631034482758616</v>
      </c>
      <c r="Q77" s="158">
        <f>P77*(1+'[1]תעריף טיהור והולכה'!P29)^4</f>
        <v>1.4631034482758616</v>
      </c>
      <c r="R77" s="158">
        <f>Q77*(1+'[1]תעריף טיהור והולכה'!Q29)^4</f>
        <v>1.4631034482758616</v>
      </c>
      <c r="S77" s="158">
        <f>R77*(1+'[1]תעריף טיהור והולכה'!R29)^4</f>
        <v>1.4631034482758616</v>
      </c>
      <c r="T77" s="158">
        <f>S77*(1+'[1]תעריף טיהור והולכה'!S29)^4</f>
        <v>1.4631034482758616</v>
      </c>
      <c r="U77" s="158">
        <f>T77*(1+'[1]תעריף טיהור והולכה'!T29)^4</f>
        <v>1.4631034482758616</v>
      </c>
      <c r="V77" s="157">
        <f>U77*(1+'[1]תעריף טיהור והולכה'!U29)^4</f>
        <v>1.4631034482758616</v>
      </c>
      <c r="W77" s="156"/>
      <c r="X77" s="152"/>
      <c r="Y77" s="152"/>
      <c r="Z77" s="152"/>
    </row>
    <row r="78" spans="1:23" ht="15" thickBot="1">
      <c r="A78" s="155" t="s">
        <v>93</v>
      </c>
      <c r="B78" s="130">
        <f>'עלויות ההולכה'!B72-10927000</f>
        <v>84903436.876228079</v>
      </c>
      <c r="C78" s="133">
        <f>'עלויות ההולכה'!C72-C84-C86</f>
        <v>93469142</v>
      </c>
      <c r="D78" s="40">
        <f>'עלויות ההולכה'!D72-D84-D86</f>
        <v>94403833.420000002</v>
      </c>
      <c r="E78" s="132">
        <f>'עלויות ההולכה'!E72-E84-E86</f>
        <v>95347871.754199997</v>
      </c>
      <c r="F78" s="40">
        <f>'עלויות ההולכה'!F72-F84-F86</f>
        <v>92301350.471742004</v>
      </c>
      <c r="G78" s="132">
        <f>'עלויות ההולכה'!G72-G84-G86</f>
        <v>96724363.976459429</v>
      </c>
      <c r="H78" s="40">
        <f>'עלויות ההולכה'!H72-H84-H86</f>
        <v>94991607.616224021</v>
      </c>
      <c r="I78" s="131">
        <f>'עלויות ההולכה'!I72-I84-I86</f>
        <v>95941523.692386255</v>
      </c>
      <c r="J78" s="130">
        <f>'עלויות ההולכה'!J72-J84-J86</f>
        <v>96900938.929310113</v>
      </c>
      <c r="K78" s="130">
        <f>'עלויות ההולכה'!K72-K84-K86</f>
        <v>97869948.318603218</v>
      </c>
      <c r="L78" s="130">
        <f>'עלויות ההולכה'!L72-L84-L86</f>
        <v>98848647.801789254</v>
      </c>
      <c r="M78" s="130">
        <f>'עלויות ההולכה'!M72-M84-M86</f>
        <v>99837134.27980715</v>
      </c>
      <c r="N78" s="130">
        <f>'עלויות ההולכה'!N72-N84-N86</f>
        <v>100835505.62260522</v>
      </c>
      <c r="O78" s="130">
        <f>'עלויות ההולכה'!O72-O84-O86</f>
        <v>101843860.67883128</v>
      </c>
      <c r="P78" s="130">
        <f>'עלויות ההולכה'!P72-P84-P86</f>
        <v>102862299.28561959</v>
      </c>
      <c r="Q78" s="130">
        <f>'עלויות ההולכה'!Q72-Q84-Q86</f>
        <v>103890922.27847578</v>
      </c>
      <c r="R78" s="130">
        <f>'עלויות ההולכה'!R72-R84-R86</f>
        <v>104929831.50126053</v>
      </c>
      <c r="S78" s="130">
        <f>'עלויות ההולכה'!S72-S84-S86</f>
        <v>105979129.81627314</v>
      </c>
      <c r="T78" s="130">
        <f>'עלויות ההולכה'!T72-T84-T86</f>
        <v>107038921.11443587</v>
      </c>
      <c r="U78" s="130">
        <f>'עלויות ההולכה'!U72-U84-U86</f>
        <v>108109310.32558022</v>
      </c>
      <c r="V78" s="129">
        <f>'עלויות ההולכה'!V72-V84-V86</f>
        <v>109190403.42883603</v>
      </c>
      <c r="W78" s="154"/>
    </row>
    <row r="79" spans="2:2" ht="14.25">
      <c r="B79" s="22"/>
    </row>
    <row r="80" spans="3:3" ht="14.25">
      <c r="C80" s="152"/>
    </row>
    <row r="81" spans="2:3" ht="14.25">
      <c r="B81" s="152">
        <f>B77+'עלויות ההולכה'!B77</f>
        <v>1.6039999999999999</v>
      </c>
      <c r="C81" s="152">
        <f>C77+'עלויות ההולכה'!C77</f>
        <v>1.7132000000000001</v>
      </c>
    </row>
    <row r="82" ht="15" thickBot="1"/>
    <row r="83" spans="1:3" ht="15" thickBot="1">
      <c r="A83" s="153" t="s">
        <v>92</v>
      </c>
      <c r="C83" s="152"/>
    </row>
    <row r="84" spans="1:22" ht="14.25">
      <c r="A84" s="151" t="s">
        <v>91</v>
      </c>
      <c r="B84" s="150">
        <v>0</v>
      </c>
      <c r="C84" s="148">
        <f>B84*(1+'[1]תעריף טיהור והולכה'!$F$23)</f>
        <v>0</v>
      </c>
      <c r="D84" s="149">
        <f>C84*(1+'[1]תעריף טיהור והולכה'!$F$23)</f>
        <v>0</v>
      </c>
      <c r="E84" s="148">
        <f>D84*(1+'[1]תעריף טיהור והולכה'!$F$23)</f>
        <v>0</v>
      </c>
      <c r="F84" s="149">
        <f>E84*(1+'[1]תעריף טיהור והולכה'!$F$23)</f>
        <v>0</v>
      </c>
      <c r="G84" s="148">
        <f>F84*(1+'[1]תעריף טיהור והולכה'!$F$23)</f>
        <v>0</v>
      </c>
      <c r="H84" s="149">
        <f>G84*(1+'[1]תעריף טיהור והולכה'!$F$23)</f>
        <v>0</v>
      </c>
      <c r="I84" s="148">
        <f>H84*(1+'[1]תעריף טיהור והולכה'!$F$23)</f>
        <v>0</v>
      </c>
      <c r="J84" s="149">
        <f>I84*(1+'[1]תעריף טיהור והולכה'!$F$23)</f>
        <v>0</v>
      </c>
      <c r="K84" s="148">
        <f>J84*(1+'[1]תעריף טיהור והולכה'!$F$23)</f>
        <v>0</v>
      </c>
      <c r="L84" s="149">
        <f>K84*(1+'[1]תעריף טיהור והולכה'!$F$23)</f>
        <v>0</v>
      </c>
      <c r="M84" s="148">
        <f>L84*(1+'[1]תעריף טיהור והולכה'!$F$23)</f>
        <v>0</v>
      </c>
      <c r="N84" s="147">
        <f>M84*(1+'[1]תעריף טיהור והולכה'!$F$23)</f>
        <v>0</v>
      </c>
      <c r="O84" s="146">
        <f>N84*(1+'[1]תעריף טיהור והולכה'!$F$23)</f>
        <v>0</v>
      </c>
      <c r="P84" s="146">
        <f>O84*(1+'[1]תעריף טיהור והולכה'!$F$23)</f>
        <v>0</v>
      </c>
      <c r="Q84" s="146">
        <f>P84*(1+'[1]תעריף טיהור והולכה'!$F$23)</f>
        <v>0</v>
      </c>
      <c r="R84" s="146">
        <f>Q84*(1+'[1]תעריף טיהור והולכה'!$F$23)</f>
        <v>0</v>
      </c>
      <c r="S84" s="146">
        <f>R84*(1+'[1]תעריף טיהור והולכה'!$F$23)</f>
        <v>0</v>
      </c>
      <c r="T84" s="146">
        <f>S84*(1+'[1]תעריף טיהור והולכה'!$F$23)</f>
        <v>0</v>
      </c>
      <c r="U84" s="146">
        <f>T84*(1+'[1]תעריף טיהור והולכה'!$F$23)</f>
        <v>0</v>
      </c>
      <c r="V84" s="145">
        <f>U84*(1+'[1]תעריף טיהור והולכה'!$F$23)</f>
        <v>0</v>
      </c>
    </row>
    <row r="85" spans="1:22" ht="14.25">
      <c r="A85" s="102" t="s">
        <v>89</v>
      </c>
      <c r="B85" s="140">
        <f>'[1]הכנסות מרשויות שבהסכם'!E101</f>
        <v>1.3178000000000001</v>
      </c>
      <c r="C85" s="138">
        <f>B85</f>
        <v>1.3178000000000001</v>
      </c>
      <c r="D85" s="139">
        <f>C85</f>
        <v>1.3178000000000001</v>
      </c>
      <c r="E85" s="138">
        <f>D85</f>
        <v>1.3178000000000001</v>
      </c>
      <c r="F85" s="139">
        <f>E85</f>
        <v>1.3178000000000001</v>
      </c>
      <c r="G85" s="138">
        <f>F85</f>
        <v>1.3178000000000001</v>
      </c>
      <c r="H85" s="139">
        <f>G85</f>
        <v>1.3178000000000001</v>
      </c>
      <c r="I85" s="138">
        <f>H85</f>
        <v>1.3178000000000001</v>
      </c>
      <c r="J85" s="139">
        <f>I85</f>
        <v>1.3178000000000001</v>
      </c>
      <c r="K85" s="138">
        <f>J85</f>
        <v>1.3178000000000001</v>
      </c>
      <c r="L85" s="139">
        <f>K85</f>
        <v>1.3178000000000001</v>
      </c>
      <c r="M85" s="138">
        <f>L85</f>
        <v>1.3178000000000001</v>
      </c>
      <c r="N85" s="137">
        <f>M85</f>
        <v>1.3178000000000001</v>
      </c>
      <c r="O85" s="136">
        <f>N85</f>
        <v>1.3178000000000001</v>
      </c>
      <c r="P85" s="136">
        <f>O85</f>
        <v>1.3178000000000001</v>
      </c>
      <c r="Q85" s="136">
        <f>P85</f>
        <v>1.3178000000000001</v>
      </c>
      <c r="R85" s="136">
        <f>Q85</f>
        <v>1.3178000000000001</v>
      </c>
      <c r="S85" s="136">
        <f>R85</f>
        <v>1.3178000000000001</v>
      </c>
      <c r="T85" s="136">
        <f>S85</f>
        <v>1.3178000000000001</v>
      </c>
      <c r="U85" s="136">
        <f>T85</f>
        <v>1.3178000000000001</v>
      </c>
      <c r="V85" s="135">
        <f>U85</f>
        <v>1.3178000000000001</v>
      </c>
    </row>
    <row r="86" spans="1:22" ht="14.25">
      <c r="A86" s="102" t="s">
        <v>90</v>
      </c>
      <c r="B86" s="144">
        <v>0</v>
      </c>
      <c r="C86" s="43">
        <f>B86*(1+'[1]תעריף טיהור והולכה'!$F$23)</f>
        <v>0</v>
      </c>
      <c r="D86" s="44">
        <f>C86*(1+'[1]תעריף טיהור והולכה'!$F$23)</f>
        <v>0</v>
      </c>
      <c r="E86" s="43">
        <f>D86*(1+'[1]תעריף טיהור והולכה'!$F$23)</f>
        <v>0</v>
      </c>
      <c r="F86" s="44">
        <f>E86*(1+'[1]תעריף טיהור והולכה'!$F$23)</f>
        <v>0</v>
      </c>
      <c r="G86" s="43">
        <f>F86*(1+'[1]תעריף טיהור והולכה'!$F$23)</f>
        <v>0</v>
      </c>
      <c r="H86" s="44">
        <f>G86*(1+'[1]תעריף טיהור והולכה'!$F$23)</f>
        <v>0</v>
      </c>
      <c r="I86" s="43">
        <f>H86*(1+'[1]תעריף טיהור והולכה'!$F$23)</f>
        <v>0</v>
      </c>
      <c r="J86" s="44">
        <f>I86*(1+'[1]תעריף טיהור והולכה'!$F$23)</f>
        <v>0</v>
      </c>
      <c r="K86" s="43">
        <f>J86*(1+'[1]תעריף טיהור והולכה'!$F$23)</f>
        <v>0</v>
      </c>
      <c r="L86" s="44">
        <f>K86*(1+'[1]תעריף טיהור והולכה'!$F$23)</f>
        <v>0</v>
      </c>
      <c r="M86" s="43">
        <f>L86*(1+'[1]תעריף טיהור והולכה'!$F$23)</f>
        <v>0</v>
      </c>
      <c r="N86" s="143">
        <f>M86*(1+'[1]תעריף טיהור והולכה'!$F$23)</f>
        <v>0</v>
      </c>
      <c r="O86" s="142">
        <f>N86*(1+'[1]תעריף טיהור והולכה'!$F$23)</f>
        <v>0</v>
      </c>
      <c r="P86" s="142">
        <f>O86*(1+'[1]תעריף טיהור והולכה'!$F$23)</f>
        <v>0</v>
      </c>
      <c r="Q86" s="142">
        <f>P86*(1+'[1]תעריף טיהור והולכה'!$F$23)</f>
        <v>0</v>
      </c>
      <c r="R86" s="142">
        <f>Q86*(1+'[1]תעריף טיהור והולכה'!$F$23)</f>
        <v>0</v>
      </c>
      <c r="S86" s="142">
        <f>R86*(1+'[1]תעריף טיהור והולכה'!$F$23)</f>
        <v>0</v>
      </c>
      <c r="T86" s="142">
        <f>S86*(1+'[1]תעריף טיהור והולכה'!$F$23)</f>
        <v>0</v>
      </c>
      <c r="U86" s="142">
        <f>T86*(1+'[1]תעריף טיהור והולכה'!$F$23)</f>
        <v>0</v>
      </c>
      <c r="V86" s="141">
        <f>U86*(1+'[1]תעריף טיהור והולכה'!$F$23)</f>
        <v>0</v>
      </c>
    </row>
    <row r="87" spans="1:22" ht="14.25">
      <c r="A87" s="102" t="s">
        <v>89</v>
      </c>
      <c r="B87" s="140">
        <f>'[1]הכנסות מרשויות שבהסכם'!E102</f>
        <v>3.8518000000000003</v>
      </c>
      <c r="C87" s="138">
        <f>B87</f>
        <v>3.8518000000000003</v>
      </c>
      <c r="D87" s="139">
        <f>C87</f>
        <v>3.8518000000000003</v>
      </c>
      <c r="E87" s="138">
        <f>D87</f>
        <v>3.8518000000000003</v>
      </c>
      <c r="F87" s="139">
        <f>E87</f>
        <v>3.8518000000000003</v>
      </c>
      <c r="G87" s="138">
        <f>F87</f>
        <v>3.8518000000000003</v>
      </c>
      <c r="H87" s="139">
        <f>G87</f>
        <v>3.8518000000000003</v>
      </c>
      <c r="I87" s="138">
        <f>H87</f>
        <v>3.8518000000000003</v>
      </c>
      <c r="J87" s="139">
        <f>I87</f>
        <v>3.8518000000000003</v>
      </c>
      <c r="K87" s="138">
        <f>J87</f>
        <v>3.8518000000000003</v>
      </c>
      <c r="L87" s="139">
        <f>K87</f>
        <v>3.8518000000000003</v>
      </c>
      <c r="M87" s="138">
        <f>L87</f>
        <v>3.8518000000000003</v>
      </c>
      <c r="N87" s="137">
        <f>M87</f>
        <v>3.8518000000000003</v>
      </c>
      <c r="O87" s="136">
        <f>N87</f>
        <v>3.8518000000000003</v>
      </c>
      <c r="P87" s="136">
        <f>O87</f>
        <v>3.8518000000000003</v>
      </c>
      <c r="Q87" s="136">
        <f>P87</f>
        <v>3.8518000000000003</v>
      </c>
      <c r="R87" s="136">
        <f>Q87</f>
        <v>3.8518000000000003</v>
      </c>
      <c r="S87" s="136">
        <f>R87</f>
        <v>3.8518000000000003</v>
      </c>
      <c r="T87" s="136">
        <f>S87</f>
        <v>3.8518000000000003</v>
      </c>
      <c r="U87" s="136">
        <f>T87</f>
        <v>3.8518000000000003</v>
      </c>
      <c r="V87" s="135">
        <f>U87</f>
        <v>3.8518000000000003</v>
      </c>
    </row>
    <row r="88" spans="1:22" ht="15" thickBot="1">
      <c r="A88" s="134" t="s">
        <v>88</v>
      </c>
      <c r="B88" s="133">
        <f>B85*B84+B86*B87</f>
        <v>0</v>
      </c>
      <c r="C88" s="40">
        <f>C85*C84+C86*C87</f>
        <v>0</v>
      </c>
      <c r="D88" s="132">
        <f>D85*D84+D86*D87</f>
        <v>0</v>
      </c>
      <c r="E88" s="40">
        <f>E85*E84+E86*E87</f>
        <v>0</v>
      </c>
      <c r="F88" s="132">
        <f>F85*F84+F86*F87</f>
        <v>0</v>
      </c>
      <c r="G88" s="40">
        <f>G85*G84+G86*G87</f>
        <v>0</v>
      </c>
      <c r="H88" s="132">
        <f>H85*H84+H86*H87</f>
        <v>0</v>
      </c>
      <c r="I88" s="40">
        <f>I85*I84+I86*I87</f>
        <v>0</v>
      </c>
      <c r="J88" s="132">
        <f>J85*J84+J86*J87</f>
        <v>0</v>
      </c>
      <c r="K88" s="40">
        <f>K85*K84+K86*K87</f>
        <v>0</v>
      </c>
      <c r="L88" s="132">
        <f>L85*L84+L86*L87</f>
        <v>0</v>
      </c>
      <c r="M88" s="40">
        <f>M85*M84+M86*M87</f>
        <v>0</v>
      </c>
      <c r="N88" s="131">
        <f>N85*N84+N86*N87</f>
        <v>0</v>
      </c>
      <c r="O88" s="130">
        <f>O85*O84+O86*O87</f>
        <v>0</v>
      </c>
      <c r="P88" s="130">
        <f>P85*P84+P86*P87</f>
        <v>0</v>
      </c>
      <c r="Q88" s="130">
        <f>Q85*Q84+Q86*Q87</f>
        <v>0</v>
      </c>
      <c r="R88" s="130">
        <f>R85*R84+R86*R87</f>
        <v>0</v>
      </c>
      <c r="S88" s="130">
        <f>S85*S84+S86*S87</f>
        <v>0</v>
      </c>
      <c r="T88" s="130">
        <f>T85*T84+T86*T87</f>
        <v>0</v>
      </c>
      <c r="U88" s="130">
        <f>U85*U84+U86*U87</f>
        <v>0</v>
      </c>
      <c r="V88" s="129">
        <f>V85*V84+V86*V87</f>
        <v>0</v>
      </c>
    </row>
    <row r="92" spans="2:9" ht="14.25">
      <c r="B92" s="6"/>
      <c r="C92" s="128" t="s">
        <v>87</v>
      </c>
      <c r="D92" s="128" t="s">
        <v>86</v>
      </c>
      <c r="I92" s="4"/>
    </row>
    <row r="93" spans="3:9" ht="14.25">
      <c r="C93" s="127">
        <v>76000000</v>
      </c>
      <c r="D93" s="127">
        <f>11739000+31855000+137239000+710000</f>
        <v>181543000</v>
      </c>
      <c r="E93" s="6">
        <f>E77+'עלויות ההולכה'!E71+'עלויות ההולכה'!E73</f>
        <v>2.794</v>
      </c>
      <c r="F93" s="6">
        <f>F77+'עלויות ההולכה'!F71+'עלויות ההולכה'!F73</f>
        <v>2.6619999999999999</v>
      </c>
      <c r="G93" s="6">
        <f>G77+'עלויות ההולכה'!G71+'עלויות ההולכה'!G73</f>
        <v>2.4999999999999996</v>
      </c>
      <c r="I93" s="4"/>
    </row>
    <row r="94" spans="9:9" ht="14.25">
      <c r="I94" s="4"/>
    </row>
    <row r="97" spans="4:6" ht="14.25" hidden="1">
      <c r="D97">
        <f>0.465*1.16+0.546</f>
        <v>1.0853999999999999</v>
      </c>
      <c r="E97">
        <f>0.465*1.16+0.714</f>
        <v>1.2534000000000001</v>
      </c>
      <c r="F97">
        <f>E97</f>
        <v>1.2534000000000001</v>
      </c>
    </row>
    <row r="98" spans="4:6" ht="14.25" hidden="1">
      <c r="D98" s="126">
        <f>D77</f>
        <v>1.4079999999999999</v>
      </c>
      <c r="E98" s="125">
        <f>E99-E97</f>
        <v>1.2366000000000001</v>
      </c>
      <c r="F98" s="125">
        <f>F99-F97</f>
        <v>1.5455999999999999</v>
      </c>
    </row>
    <row r="99" spans="4:6" ht="14.25" hidden="1">
      <c r="D99">
        <v>2.4900000000000002</v>
      </c>
      <c r="E99">
        <v>2.4900000000000002</v>
      </c>
      <c r="F99">
        <v>2.7989999999999999</v>
      </c>
    </row>
    <row r="100" ht="14.25" hidden="1"/>
    <row r="101" ht="14.25" hidden="1"/>
    <row r="102" ht="14.25" hidden="1"/>
  </sheetData>
  <mergeCells count="2">
    <mergeCell ref="A73:B73"/>
    <mergeCell ref="A74:B74"/>
  </mergeCells>
  <pageMargins left="0.7" right="0.7" top="0.75" bottom="0.75" header="0.3" footer="0.3"/>
  <pageSetup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6DC4C-FBC5-4E89-AF2C-9CD3644609C8}">
  <dimension ref="A1:AE126"/>
  <sheetViews>
    <sheetView rightToLeft="1" workbookViewId="0" topLeftCell="A1">
      <selection pane="topLeft" activeCell="M43" sqref="M43"/>
    </sheetView>
  </sheetViews>
  <sheetFormatPr defaultRowHeight="14.25"/>
  <cols>
    <col min="1" max="1" width="35.625" bestFit="1" customWidth="1"/>
    <col min="2" max="2" width="12.125" hidden="1" customWidth="1"/>
    <col min="3" max="3" width="12.875" hidden="1" customWidth="1"/>
    <col min="4" max="4" width="12.125" hidden="1" customWidth="1"/>
    <col min="5" max="10" width="13.25" bestFit="1" customWidth="1"/>
    <col min="11" max="11" width="13.125" customWidth="1"/>
    <col min="12" max="12" width="13.125" bestFit="1" customWidth="1"/>
    <col min="13" max="20" width="13.25" bestFit="1" customWidth="1"/>
    <col min="21" max="21" width="13.125" bestFit="1" customWidth="1"/>
    <col min="22" max="22" width="12.5" bestFit="1" customWidth="1"/>
    <col min="23" max="25" width="11.625" hidden="1" customWidth="1"/>
    <col min="26" max="26" width="11" hidden="1" customWidth="1"/>
    <col min="28" max="28" width="9.125" bestFit="1" customWidth="1"/>
    <col min="30" max="30" width="10" bestFit="1" customWidth="1"/>
  </cols>
  <sheetData>
    <row r="1" spans="1:1" ht="16.5" thickBot="1">
      <c r="A1" s="124" t="s">
        <v>85</v>
      </c>
    </row>
    <row r="2" spans="1:26" ht="15" thickBot="1">
      <c r="A2" s="61" t="s">
        <v>84</v>
      </c>
      <c r="B2" s="58">
        <v>2010</v>
      </c>
      <c r="C2" s="59">
        <v>2011</v>
      </c>
      <c r="D2" s="58">
        <v>2012</v>
      </c>
      <c r="E2" s="59">
        <v>2013</v>
      </c>
      <c r="F2" s="58">
        <v>2014</v>
      </c>
      <c r="G2" s="59">
        <v>2015</v>
      </c>
      <c r="H2" s="58">
        <v>2016</v>
      </c>
      <c r="I2" s="59">
        <v>2017</v>
      </c>
      <c r="J2" s="58">
        <v>2018</v>
      </c>
      <c r="K2" s="59">
        <v>2019</v>
      </c>
      <c r="L2" s="58">
        <v>2020</v>
      </c>
      <c r="M2" s="60">
        <v>2021</v>
      </c>
      <c r="N2" s="58">
        <v>2022</v>
      </c>
      <c r="O2" s="59">
        <v>2023</v>
      </c>
      <c r="P2" s="60">
        <v>2024</v>
      </c>
      <c r="Q2" s="58">
        <v>2025</v>
      </c>
      <c r="R2" s="59">
        <v>2026</v>
      </c>
      <c r="S2" s="58">
        <v>2027</v>
      </c>
      <c r="T2" s="60">
        <v>2028</v>
      </c>
      <c r="U2" s="58">
        <v>2029</v>
      </c>
      <c r="V2" s="58">
        <v>2030</v>
      </c>
      <c r="W2" s="58">
        <v>2031</v>
      </c>
      <c r="X2" s="58">
        <v>2032</v>
      </c>
      <c r="Y2" s="58">
        <v>2033</v>
      </c>
      <c r="Z2" s="58">
        <v>2034</v>
      </c>
    </row>
    <row r="3" spans="1:26" ht="14.25">
      <c r="A3" s="21" t="s">
        <v>83</v>
      </c>
      <c r="B3" s="95">
        <f>B71*B72</f>
        <v>38332174.750491232</v>
      </c>
      <c r="C3" s="95">
        <f>C71*C72</f>
        <v>39257039.640000001</v>
      </c>
      <c r="D3" s="95">
        <f>D71*D72</f>
        <v>43621081.64924138</v>
      </c>
      <c r="E3" s="95">
        <f>E71*E72</f>
        <v>44057292.465733796</v>
      </c>
      <c r="F3" s="95">
        <f>F71*F72</f>
        <v>56494792.099083476</v>
      </c>
      <c r="G3" s="95">
        <f>G71*G72</f>
        <v>40340730.423975065</v>
      </c>
      <c r="H3" s="95">
        <f>H71*H72</f>
        <v>39618051.521318264</v>
      </c>
      <c r="I3" s="95">
        <f>I71*I72</f>
        <v>40014232.036531441</v>
      </c>
      <c r="J3" s="95">
        <f>J71*J72</f>
        <v>40414374.356896758</v>
      </c>
      <c r="K3" s="95">
        <f>K71*K72</f>
        <v>40818518.10046573</v>
      </c>
      <c r="L3" s="95">
        <f>L71*L72</f>
        <v>41226703.281470388</v>
      </c>
      <c r="M3" s="95">
        <f>M71*M72</f>
        <v>41638970.314285092</v>
      </c>
      <c r="N3" s="95">
        <f>N71*N72</f>
        <v>27938389.230263207</v>
      </c>
      <c r="O3" s="95">
        <f>O71*O72</f>
        <v>28217773.122565843</v>
      </c>
      <c r="P3" s="95">
        <f>P71*P72</f>
        <v>28499950.853791501</v>
      </c>
      <c r="Q3" s="95">
        <f>Q71*Q72</f>
        <v>28784950.362329412</v>
      </c>
      <c r="R3" s="95">
        <f>R71*R72</f>
        <v>29072799.865952708</v>
      </c>
      <c r="S3" s="95">
        <f>S71*S72</f>
        <v>29363527.864612233</v>
      </c>
      <c r="T3" s="95">
        <f>T71*T72</f>
        <v>29657163.143258356</v>
      </c>
      <c r="U3" s="95">
        <f>U71*U72</f>
        <v>29953734.774690937</v>
      </c>
      <c r="V3" s="95">
        <f>V71*V72</f>
        <v>30253272.12243785</v>
      </c>
      <c r="W3" s="95">
        <f>V3*1.01</f>
        <v>30555804.843662228</v>
      </c>
      <c r="X3" s="95">
        <f>W3*1.01</f>
        <v>30861362.892098852</v>
      </c>
      <c r="Y3" s="95">
        <f>X3*1.01</f>
        <v>31169976.521019839</v>
      </c>
      <c r="Z3" s="95">
        <f>Y3*1.01</f>
        <v>31481676.286230039</v>
      </c>
    </row>
    <row r="4" spans="1:26" ht="14.25">
      <c r="A4" s="21" t="s">
        <v>82</v>
      </c>
      <c r="B4" s="95">
        <f>'[1]הכנסות מרשויות שבהסכם'!B196</f>
        <v>36409142.609655172</v>
      </c>
      <c r="C4" s="95">
        <f>'[1]הכנסות מרשויות שבהסכם'!C196</f>
        <v>39893433.605951719</v>
      </c>
      <c r="D4" s="95">
        <f>'[1]הכנסות מרשויות שבהסכם'!D196</f>
        <v>40019433.605951719</v>
      </c>
      <c r="E4" s="95">
        <f>'[1]הכנסות מרשויות שבהסכם'!E196</f>
        <v>41222282.725433394</v>
      </c>
      <c r="F4" s="95">
        <f>'[1]הכנסות מרשויות שבהסכם'!F196</f>
        <v>41634505.552687734</v>
      </c>
      <c r="G4" s="95">
        <f>'[1]הכנסות מרשויות שבהסכם'!G196</f>
        <v>42050850.608214617</v>
      </c>
      <c r="H4" s="95">
        <f>'[1]הכנסות מרשויות שבהסכם'!H196</f>
        <v>42471359.114296757</v>
      </c>
      <c r="I4" s="95">
        <f>'[1]הכנסות מרשויות שבהסכם'!I196</f>
        <v>42896072.705439724</v>
      </c>
      <c r="J4" s="95">
        <f>'[1]הכנסות מרשויות שבהסכם'!J196</f>
        <v>43325033.432494126</v>
      </c>
      <c r="K4" s="95">
        <f>'[1]הכנסות מרשויות שבהסכם'!K196</f>
        <v>43758283.766819067</v>
      </c>
      <c r="L4" s="95">
        <f>'[1]הכנסות מרשויות שבהסכם'!L196</f>
        <v>44195866.604487255</v>
      </c>
      <c r="M4" s="95">
        <f>'[1]הכנסות מרשויות שבהסכם'!M196</f>
        <v>44637825.270532131</v>
      </c>
      <c r="N4" s="95">
        <f>'[1]הכנסות מרשויות שבהסכם'!N196</f>
        <v>45084203.523237452</v>
      </c>
      <c r="O4" s="95">
        <f>'[1]הכנסות מרשויות שבהסכם'!O196</f>
        <v>45535045.558469824</v>
      </c>
      <c r="P4" s="95">
        <f>'[1]הכנסות מרשויות שבהסכם'!P196</f>
        <v>45990396.014054529</v>
      </c>
      <c r="Q4" s="95">
        <f>'[1]הכנסות מרשויות שבהסכם'!Q196</f>
        <v>46450299.974195078</v>
      </c>
      <c r="R4" s="95">
        <f>'[1]הכנסות מרשויות שבהסכם'!R196</f>
        <v>46914802.973937035</v>
      </c>
      <c r="S4" s="95">
        <f>'[1]הכנסות מרשויות שבהסכם'!S196</f>
        <v>47383951.003676407</v>
      </c>
      <c r="T4" s="95">
        <f>'[1]הכנסות מרשויות שבהסכם'!T196</f>
        <v>47857790.513713174</v>
      </c>
      <c r="U4" s="95">
        <f>'[1]הכנסות מרשויות שבהסכם'!U196</f>
        <v>48336368.418850303</v>
      </c>
      <c r="V4" s="95">
        <f>'[1]הכנסות מרשויות שבהסכם'!V196</f>
        <v>48819732.10303881</v>
      </c>
      <c r="W4" s="95">
        <f>V4*1.01</f>
        <v>49307929.424069196</v>
      </c>
      <c r="X4" s="95">
        <f>W4*1.01</f>
        <v>49801008.718309887</v>
      </c>
      <c r="Y4" s="95">
        <f>X4*1.01</f>
        <v>50299018.80549299</v>
      </c>
      <c r="Z4" s="95">
        <f>Y4*1.01</f>
        <v>50802008.993547916</v>
      </c>
    </row>
    <row r="5" spans="1:26" ht="14.25">
      <c r="A5" s="21" t="s">
        <v>81</v>
      </c>
      <c r="B5" s="95">
        <f>B73*B75</f>
        <v>0</v>
      </c>
      <c r="C5" s="95">
        <f>C73*C75</f>
        <v>5974563.0034999996</v>
      </c>
      <c r="D5" s="95">
        <f>D73*D75</f>
        <v>56718443.046155185</v>
      </c>
      <c r="E5" s="95">
        <f>E73*E75</f>
        <v>75175291.136571631</v>
      </c>
      <c r="F5" s="95">
        <f>F73*F75</f>
        <v>73447733.703109786</v>
      </c>
      <c r="G5" s="95">
        <f>G73*G75</f>
        <v>76351607.591865018</v>
      </c>
      <c r="H5" s="95">
        <f>H73*H75</f>
        <v>75441589.185025036</v>
      </c>
      <c r="I5" s="95">
        <f>I73*I75</f>
        <v>106949942.03558071</v>
      </c>
      <c r="J5" s="95">
        <f>J73*J75</f>
        <v>146705610.87736735</v>
      </c>
      <c r="K5" s="95">
        <f>K73*K75</f>
        <v>148172666.986141</v>
      </c>
      <c r="L5" s="95">
        <f>L73*L75</f>
        <v>149654393.65600243</v>
      </c>
      <c r="M5" s="95">
        <f>M73*M75</f>
        <v>154993758.03983098</v>
      </c>
      <c r="N5" s="95">
        <f>N73*N75</f>
        <v>165599942.47429216</v>
      </c>
      <c r="O5" s="95">
        <f>O73*O75</f>
        <v>162682537.23773336</v>
      </c>
      <c r="P5" s="95">
        <f>P73*P75</f>
        <v>161669854.77701655</v>
      </c>
      <c r="Q5" s="95">
        <f>Q73*Q75</f>
        <v>162620077.59693044</v>
      </c>
      <c r="R5" s="95">
        <f>R73*R75</f>
        <v>164246278.37289974</v>
      </c>
      <c r="S5" s="95">
        <f>S73*S75</f>
        <v>165888741.15662873</v>
      </c>
      <c r="T5" s="95">
        <f>T73*T75</f>
        <v>167547628.56819508</v>
      </c>
      <c r="U5" s="95">
        <f>U73*U75</f>
        <v>169223104.85387698</v>
      </c>
      <c r="V5" s="95">
        <f>V73*V75</f>
        <v>170915335.90241575</v>
      </c>
      <c r="W5" s="95">
        <f>V5*1.01</f>
        <v>172624489.26143992</v>
      </c>
      <c r="X5" s="95">
        <f>W5*1.01</f>
        <v>174350734.15405431</v>
      </c>
      <c r="Y5" s="95">
        <f>X5*1.01</f>
        <v>176094241.49559486</v>
      </c>
      <c r="Z5" s="95">
        <f>Y5*1.01</f>
        <v>177855183.9105508</v>
      </c>
    </row>
    <row r="6" spans="1:21" ht="14.25">
      <c r="A6" s="21" t="s">
        <v>80</v>
      </c>
      <c r="B6" s="95">
        <f>'[1]הכנסות נוספות'!D6</f>
        <v>4387000</v>
      </c>
      <c r="C6" s="95">
        <f>'[1]הכנסות נוספות'!E6</f>
        <v>0</v>
      </c>
      <c r="D6" s="95"/>
      <c r="E6" s="96"/>
      <c r="F6" s="95"/>
      <c r="G6" s="96"/>
      <c r="H6" s="95"/>
      <c r="I6" s="96"/>
      <c r="J6" s="95"/>
      <c r="K6" s="96"/>
      <c r="L6" s="95"/>
      <c r="M6" s="123"/>
      <c r="N6" s="95"/>
      <c r="O6" s="96"/>
      <c r="P6" s="123"/>
      <c r="Q6" s="95"/>
      <c r="R6" s="96"/>
      <c r="S6" s="95"/>
      <c r="T6" s="96"/>
      <c r="U6" s="95"/>
    </row>
    <row r="7" spans="1:26" ht="14.25">
      <c r="A7" s="21" t="s">
        <v>79</v>
      </c>
      <c r="B7" s="95">
        <f>'[1]הכנסות נוספות'!D5</f>
        <v>2212000</v>
      </c>
      <c r="C7" s="95">
        <f>'[1]הכנסות נוספות'!E5</f>
        <v>2234120</v>
      </c>
      <c r="D7" s="95">
        <f>'[1]הכנסות נוספות'!F5</f>
        <v>2234120</v>
      </c>
      <c r="E7" s="95">
        <f>'[1]הכנסות נוספות'!G5</f>
        <v>2256461.2000000002</v>
      </c>
      <c r="F7" s="95">
        <f>'[1]הכנסות נוספות'!H5</f>
        <v>2279025.8120000004</v>
      </c>
      <c r="G7" s="95">
        <f>'[1]הכנסות נוספות'!I5</f>
        <v>2301816.0701200003</v>
      </c>
      <c r="H7" s="95">
        <f>'[1]הכנסות נוספות'!J5</f>
        <v>2324834.2308212002</v>
      </c>
      <c r="I7" s="95">
        <f>'[1]הכנסות נוספות'!K5</f>
        <v>2348082.5731294123</v>
      </c>
      <c r="J7" s="95">
        <f>'[1]הכנסות נוספות'!L5</f>
        <v>2371563.3988607065</v>
      </c>
      <c r="K7" s="95">
        <f>'[1]הכנסות נוספות'!M5</f>
        <v>2395279.0328493137</v>
      </c>
      <c r="L7" s="95">
        <f>'[1]הכנסות נוספות'!N5</f>
        <v>2419231.823177807</v>
      </c>
      <c r="M7" s="95">
        <f>'[1]הכנסות נוספות'!O5</f>
        <v>2443424.1414095853</v>
      </c>
      <c r="N7" s="95">
        <f>'[1]הכנסות נוספות'!P5</f>
        <v>2467858.382823681</v>
      </c>
      <c r="O7" s="95">
        <f>'[1]הכנסות נוספות'!Q5</f>
        <v>2492536.9666519179</v>
      </c>
      <c r="P7" s="95">
        <f>'[1]הכנסות נוספות'!R5</f>
        <v>2517462.336318437</v>
      </c>
      <c r="Q7" s="95">
        <f>'[1]הכנסות נוספות'!S5</f>
        <v>2542636.9596816213</v>
      </c>
      <c r="R7" s="95">
        <f>'[1]הכנסות נוספות'!T5</f>
        <v>2568063.3292784374</v>
      </c>
      <c r="S7" s="95">
        <f>'[1]הכנסות נוספות'!U5</f>
        <v>2593743.9625712219</v>
      </c>
      <c r="T7" s="95">
        <f>'[1]הכנסות נוספות'!V5</f>
        <v>2619681.402196934</v>
      </c>
      <c r="U7" s="95">
        <f>'[1]הכנסות נוספות'!W5</f>
        <v>2645878.2162189032</v>
      </c>
      <c r="V7" s="95">
        <f>'[1]הכנסות נוספות'!X5</f>
        <v>2672336.9983810922</v>
      </c>
      <c r="W7" s="95">
        <f>'[1]הכנסות נוספות'!Y5</f>
        <v>2699060.3683649031</v>
      </c>
      <c r="X7" s="95">
        <f>'[1]הכנסות נוספות'!Z5</f>
        <v>2726050.9720485522</v>
      </c>
      <c r="Y7" s="95">
        <f>'[1]הכנסות נוספות'!AA5</f>
        <v>2753311.4817690379</v>
      </c>
      <c r="Z7" s="95">
        <f>'[1]הכנסות נוספות'!AB5</f>
        <v>2780844.5965867285</v>
      </c>
    </row>
    <row r="8" spans="1:26" ht="14.25">
      <c r="A8" s="21" t="s">
        <v>78</v>
      </c>
      <c r="B8" s="95">
        <f>'[1]הכנסות נוספות'!C10</f>
        <v>648000</v>
      </c>
      <c r="C8" s="95">
        <f>'[1]הכנסות נוספות'!D10</f>
        <v>648000</v>
      </c>
      <c r="D8" s="95">
        <f>'[1]הכנסות נוספות'!E10</f>
        <v>648000</v>
      </c>
      <c r="E8" s="122">
        <f>'[1]הכנסות נוספות'!F10</f>
        <v>708000</v>
      </c>
      <c r="F8" s="95">
        <f>'[1]הכנסות נוספות'!G10</f>
        <v>708000</v>
      </c>
      <c r="G8" s="95">
        <f>'[1]הכנסות נוספות'!H10</f>
        <v>708000</v>
      </c>
      <c r="H8" s="95">
        <f>'[1]הכנסות נוספות'!I10</f>
        <v>708000</v>
      </c>
      <c r="I8" s="95">
        <f>'[1]הכנסות נוספות'!J10</f>
        <v>708000</v>
      </c>
      <c r="J8" s="95">
        <f>'[1]הכנסות נוספות'!K10</f>
        <v>708000</v>
      </c>
      <c r="K8" s="95">
        <f>'[1]הכנסות נוספות'!L10</f>
        <v>708000</v>
      </c>
      <c r="L8" s="95">
        <f>'[1]הכנסות נוספות'!M10</f>
        <v>708000</v>
      </c>
      <c r="M8" s="95">
        <f>'[1]הכנסות נוספות'!N10</f>
        <v>708000</v>
      </c>
      <c r="N8" s="95">
        <f>'[1]הכנסות נוספות'!O10</f>
        <v>708000</v>
      </c>
      <c r="O8" s="95">
        <f>'[1]הכנסות נוספות'!P10</f>
        <v>708000</v>
      </c>
      <c r="P8" s="95">
        <f>'[1]הכנסות נוספות'!Q10</f>
        <v>708000</v>
      </c>
      <c r="Q8" s="95">
        <f>'[1]הכנסות נוספות'!R10</f>
        <v>708000</v>
      </c>
      <c r="R8" s="95">
        <f>'[1]הכנסות נוספות'!S10</f>
        <v>708000</v>
      </c>
      <c r="S8" s="95">
        <f>'[1]הכנסות נוספות'!T10</f>
        <v>708000</v>
      </c>
      <c r="T8" s="95">
        <f>'[1]הכנסות נוספות'!U10</f>
        <v>708000</v>
      </c>
      <c r="U8" s="95">
        <f>'[1]הכנסות נוספות'!V10</f>
        <v>708000</v>
      </c>
      <c r="V8" s="95">
        <f>'[1]הכנסות נוספות'!W10</f>
        <v>708000</v>
      </c>
      <c r="W8" s="95">
        <f>'[1]הכנסות נוספות'!X10</f>
        <v>708000</v>
      </c>
      <c r="X8" s="95">
        <f>'[1]הכנסות נוספות'!Y10</f>
        <v>708000</v>
      </c>
      <c r="Y8" s="95">
        <f>'[1]הכנסות נוספות'!Z10</f>
        <v>708000</v>
      </c>
      <c r="Z8" s="95">
        <f>'[1]הכנסות נוספות'!AA10</f>
        <v>708000</v>
      </c>
    </row>
    <row r="9" spans="1:26" ht="14.25">
      <c r="A9" s="121" t="s">
        <v>77</v>
      </c>
      <c r="B9" s="95">
        <f>'[1]הכנסות נוספות'!D8</f>
        <v>400000</v>
      </c>
      <c r="C9" s="95">
        <f>'[1]הכנסות נוספות'!E8</f>
        <v>1600000</v>
      </c>
      <c r="D9" s="95">
        <f>'[1]הכנסות נוספות'!F8</f>
        <v>1600000</v>
      </c>
      <c r="E9" s="95">
        <f>'[1]הכנסות נוספות'!G8</f>
        <v>1600000</v>
      </c>
      <c r="F9" s="95">
        <f>'[1]הכנסות נוספות'!H8</f>
        <v>3200000</v>
      </c>
      <c r="G9" s="95">
        <f>'[1]הכנסות נוספות'!I8</f>
        <v>3200000</v>
      </c>
      <c r="H9" s="95">
        <f>'[1]הכנסות נוספות'!J8</f>
        <v>3200000</v>
      </c>
      <c r="I9" s="95">
        <f>'[1]הכנסות נוספות'!K8</f>
        <v>3200000</v>
      </c>
      <c r="J9" s="95">
        <f>'[1]הכנסות נוספות'!L8</f>
        <v>3200000</v>
      </c>
      <c r="K9" s="95">
        <f>'[1]הכנסות נוספות'!M8</f>
        <v>3200000</v>
      </c>
      <c r="L9" s="95">
        <f>'[1]הכנסות נוספות'!N8</f>
        <v>3200000</v>
      </c>
      <c r="M9" s="95">
        <f>'[1]הכנסות נוספות'!O8</f>
        <v>3200000</v>
      </c>
      <c r="N9" s="95">
        <f>'[1]הכנסות נוספות'!P8</f>
        <v>3200000</v>
      </c>
      <c r="O9" s="95">
        <f>'[1]הכנסות נוספות'!Q8</f>
        <v>3200000</v>
      </c>
      <c r="P9" s="95">
        <f>'[1]הכנסות נוספות'!R8</f>
        <v>3200000</v>
      </c>
      <c r="Q9" s="95">
        <f>'[1]הכנסות נוספות'!S8</f>
        <v>3200000</v>
      </c>
      <c r="R9" s="95">
        <f>'[1]הכנסות נוספות'!T8</f>
        <v>3200000</v>
      </c>
      <c r="S9" s="95">
        <f>'[1]הכנסות נוספות'!U8</f>
        <v>3200000</v>
      </c>
      <c r="T9" s="95">
        <f>'[1]הכנסות נוספות'!V8</f>
        <v>3200000</v>
      </c>
      <c r="U9" s="95">
        <f>'[1]הכנסות נוספות'!W8</f>
        <v>3200000</v>
      </c>
      <c r="V9" s="95">
        <f>'[1]הכנסות נוספות'!X8</f>
        <v>3200000</v>
      </c>
      <c r="W9" s="95">
        <f>'[1]הכנסות נוספות'!Y8</f>
        <v>3200000</v>
      </c>
      <c r="X9" s="95">
        <f>'[1]הכנסות נוספות'!Z8</f>
        <v>3200000</v>
      </c>
      <c r="Y9" s="95">
        <f>'[1]הכנסות נוספות'!AA8</f>
        <v>3200000</v>
      </c>
      <c r="Z9" s="95">
        <f>'[1]הכנסות נוספות'!AB8</f>
        <v>3200000</v>
      </c>
    </row>
    <row r="10" spans="1:26" ht="14.25">
      <c r="A10" s="21" t="s">
        <v>76</v>
      </c>
      <c r="B10" s="95">
        <f>'[1]הכנסות נוספות'!D9</f>
        <v>200000</v>
      </c>
      <c r="C10" s="95">
        <f>'[1]הכנסות נוספות'!E9</f>
        <v>250000</v>
      </c>
      <c r="D10" s="95">
        <f>'[1]הכנסות נוספות'!F9</f>
        <v>250000</v>
      </c>
      <c r="E10" s="95">
        <f>'[1]הכנסות נוספות'!G9</f>
        <v>250000</v>
      </c>
      <c r="F10" s="95">
        <f>'[1]הכנסות נוספות'!H9</f>
        <v>250000</v>
      </c>
      <c r="G10" s="95">
        <f>'[1]הכנסות נוספות'!I9</f>
        <v>250000</v>
      </c>
      <c r="H10" s="95">
        <f>'[1]הכנסות נוספות'!J9</f>
        <v>250000</v>
      </c>
      <c r="I10" s="95">
        <f>'[1]הכנסות נוספות'!K9</f>
        <v>250000</v>
      </c>
      <c r="J10" s="95">
        <f>'[1]הכנסות נוספות'!L9</f>
        <v>250000</v>
      </c>
      <c r="K10" s="95">
        <f>'[1]הכנסות נוספות'!M9</f>
        <v>250000</v>
      </c>
      <c r="L10" s="95">
        <f>'[1]הכנסות נוספות'!N9</f>
        <v>250000</v>
      </c>
      <c r="M10" s="95">
        <f>'[1]הכנסות נוספות'!O9</f>
        <v>250000</v>
      </c>
      <c r="N10" s="95">
        <f>'[1]הכנסות נוספות'!P9</f>
        <v>250000</v>
      </c>
      <c r="O10" s="95">
        <f>'[1]הכנסות נוספות'!Q9</f>
        <v>250000</v>
      </c>
      <c r="P10" s="95">
        <f>'[1]הכנסות נוספות'!R9</f>
        <v>250000</v>
      </c>
      <c r="Q10" s="95">
        <f>'[1]הכנסות נוספות'!S9</f>
        <v>250000</v>
      </c>
      <c r="R10" s="95">
        <f>'[1]הכנסות נוספות'!T9</f>
        <v>250000</v>
      </c>
      <c r="S10" s="95">
        <f>'[1]הכנסות נוספות'!U9</f>
        <v>250000</v>
      </c>
      <c r="T10" s="95">
        <f>'[1]הכנסות נוספות'!V9</f>
        <v>250000</v>
      </c>
      <c r="U10" s="95">
        <f>'[1]הכנסות נוספות'!W9</f>
        <v>250000</v>
      </c>
      <c r="V10" s="95">
        <f>'[1]הכנסות נוספות'!X9</f>
        <v>250000</v>
      </c>
      <c r="W10" s="95">
        <f>'[1]הכנסות נוספות'!Y9</f>
        <v>250000</v>
      </c>
      <c r="X10" s="95">
        <f>'[1]הכנסות נוספות'!Z9</f>
        <v>250000</v>
      </c>
      <c r="Y10" s="95">
        <f>'[1]הכנסות נוספות'!AA9</f>
        <v>250000</v>
      </c>
      <c r="Z10" s="95">
        <f>'[1]הכנסות נוספות'!AB9</f>
        <v>250000</v>
      </c>
    </row>
    <row r="11" spans="1:21" ht="14.25">
      <c r="A11" s="21" t="s">
        <v>75</v>
      </c>
      <c r="B11" s="119"/>
      <c r="C11" s="95">
        <f>'[1]הכנסות נוספות'!C18</f>
        <v>6700000</v>
      </c>
      <c r="D11" s="95">
        <f>'[1]הכנסות נוספות'!D18</f>
        <v>600000</v>
      </c>
      <c r="F11" s="95"/>
      <c r="H11" s="119"/>
      <c r="J11" s="119"/>
      <c r="L11" s="119"/>
      <c r="M11" s="21"/>
      <c r="N11" s="119"/>
      <c r="P11" s="21"/>
      <c r="Q11" s="119"/>
      <c r="S11" s="119"/>
      <c r="U11" s="119"/>
    </row>
    <row r="12" spans="1:21" ht="14.25">
      <c r="A12" s="21"/>
      <c r="B12" s="119"/>
      <c r="D12" s="95"/>
      <c r="F12" s="120"/>
      <c r="H12" s="119"/>
      <c r="J12" s="119"/>
      <c r="L12" s="119"/>
      <c r="M12" s="21"/>
      <c r="N12" s="119"/>
      <c r="P12" s="21"/>
      <c r="Q12" s="119"/>
      <c r="S12" s="119"/>
      <c r="U12" s="119"/>
    </row>
    <row r="13" spans="1:21" ht="15" thickBot="1">
      <c r="A13" s="21"/>
      <c r="B13" s="119"/>
      <c r="D13" s="119"/>
      <c r="F13" s="119"/>
      <c r="H13" s="119"/>
      <c r="J13" s="119"/>
      <c r="L13" s="119"/>
      <c r="M13" s="21"/>
      <c r="N13" s="119"/>
      <c r="P13" s="21"/>
      <c r="Q13" s="119"/>
      <c r="S13" s="119"/>
      <c r="U13" s="119"/>
    </row>
    <row r="14" spans="1:26" ht="15.75" thickBot="1">
      <c r="A14" s="93" t="s">
        <v>74</v>
      </c>
      <c r="B14" s="92">
        <f>SUM(B3:B13)</f>
        <v>82588317.360146403</v>
      </c>
      <c r="C14" s="92">
        <f>SUM(C3:C13)</f>
        <v>96557156.249451712</v>
      </c>
      <c r="D14" s="92">
        <f>SUM(D3:D13)</f>
        <v>145691078.30134827</v>
      </c>
      <c r="E14" s="92">
        <f>SUM(E3:E13)</f>
        <v>165269327.52773881</v>
      </c>
      <c r="F14" s="92">
        <f>SUM(F3:F13)</f>
        <v>178014057.166881</v>
      </c>
      <c r="G14" s="92">
        <f>SUM(G3:G13)</f>
        <v>165203004.69417471</v>
      </c>
      <c r="H14" s="92">
        <f>SUM(H3:H13)</f>
        <v>164013834.05146125</v>
      </c>
      <c r="I14" s="92">
        <f>SUM(I3:I13)</f>
        <v>196366329.35068131</v>
      </c>
      <c r="J14" s="92">
        <f>SUM(J3:J13)</f>
        <v>236974582.06561893</v>
      </c>
      <c r="K14" s="92">
        <f>SUM(K3:K13)</f>
        <v>239302747.88627511</v>
      </c>
      <c r="L14" s="92">
        <f>SUM(L3:L13)</f>
        <v>241654195.36513788</v>
      </c>
      <c r="M14" s="92">
        <f>SUM(M3:M13)</f>
        <v>247871977.76605779</v>
      </c>
      <c r="N14" s="92">
        <f>SUM(N3:N13)</f>
        <v>245248393.61061648</v>
      </c>
      <c r="O14" s="92">
        <f>SUM(O3:O13)</f>
        <v>243085892.88542095</v>
      </c>
      <c r="P14" s="118">
        <f>SUM(P3:P13)</f>
        <v>242835663.98118103</v>
      </c>
      <c r="Q14" s="92">
        <f>SUM(Q3:Q13)</f>
        <v>244555964.89313656</v>
      </c>
      <c r="R14" s="117">
        <f>SUM(R3:R13)</f>
        <v>246959944.54206792</v>
      </c>
      <c r="S14" s="92">
        <f>SUM(S3:S13)</f>
        <v>249387963.9874886</v>
      </c>
      <c r="T14" s="117">
        <f>SUM(T3:T13)</f>
        <v>251840263.62736356</v>
      </c>
      <c r="U14" s="92">
        <f>SUM(U3:U13)</f>
        <v>254317086.26363713</v>
      </c>
      <c r="V14" s="92">
        <f>SUM(V3:V13)</f>
        <v>256818677.12627348</v>
      </c>
      <c r="W14" s="92">
        <f>SUM(W3:W13)</f>
        <v>259345283.89753625</v>
      </c>
      <c r="X14" s="92">
        <f>SUM(X3:X13)</f>
        <v>261897156.73651162</v>
      </c>
      <c r="Y14" s="92">
        <f>SUM(Y3:Y13)</f>
        <v>264474548.3038767</v>
      </c>
      <c r="Z14" s="92">
        <f>SUM(Z3:Z13)</f>
        <v>267077713.78691551</v>
      </c>
    </row>
    <row r="15" ht="15" thickBot="1"/>
    <row r="16" spans="1:26" ht="15" thickBot="1">
      <c r="A16" s="61" t="s">
        <v>73</v>
      </c>
      <c r="B16" s="58">
        <v>2010</v>
      </c>
      <c r="C16" s="59">
        <v>2011</v>
      </c>
      <c r="D16" s="58">
        <v>2012</v>
      </c>
      <c r="E16" s="59">
        <v>2013</v>
      </c>
      <c r="F16" s="58">
        <v>2014</v>
      </c>
      <c r="G16" s="59">
        <v>2015</v>
      </c>
      <c r="H16" s="58">
        <v>2016</v>
      </c>
      <c r="I16" s="59">
        <v>2017</v>
      </c>
      <c r="J16" s="58">
        <v>2018</v>
      </c>
      <c r="K16" s="59">
        <v>2019</v>
      </c>
      <c r="L16" s="58">
        <v>2020</v>
      </c>
      <c r="M16" s="58">
        <v>2021</v>
      </c>
      <c r="N16" s="58">
        <v>2022</v>
      </c>
      <c r="O16" s="59">
        <v>2023</v>
      </c>
      <c r="P16" s="58">
        <v>2024</v>
      </c>
      <c r="Q16" s="59">
        <v>2025</v>
      </c>
      <c r="R16" s="58">
        <v>2026</v>
      </c>
      <c r="S16" s="59">
        <v>2027</v>
      </c>
      <c r="T16" s="58">
        <v>2028</v>
      </c>
      <c r="U16" s="58">
        <v>2029</v>
      </c>
      <c r="V16" s="58">
        <v>2030</v>
      </c>
      <c r="W16" s="58">
        <v>2031</v>
      </c>
      <c r="X16" s="58">
        <v>2032</v>
      </c>
      <c r="Y16" s="58">
        <v>2033</v>
      </c>
      <c r="Z16" s="58">
        <v>2034</v>
      </c>
    </row>
    <row r="17" spans="1:27" ht="14.25">
      <c r="A17" s="116" t="s">
        <v>72</v>
      </c>
      <c r="B17" s="95">
        <f>'[1]אגודה הוצאות שוטפות '!E13+'[1]אגודה הוצאות שוטפות '!E27</f>
        <v>57514000</v>
      </c>
      <c r="C17" s="95">
        <f>'[1]אגודה הוצאות שוטפות '!B87</f>
        <v>62066840</v>
      </c>
      <c r="D17" s="95">
        <f>'[1]אגודה הוצאות שוטפות '!C87</f>
        <v>70614264.200000003</v>
      </c>
      <c r="E17" s="95">
        <f>'[1]אגודה הוצאות שוטפות '!D87</f>
        <v>112657789.2</v>
      </c>
      <c r="F17" s="95">
        <f>'[1]אגודה הוצאות שוטפות '!E87</f>
        <v>111960622.89200001</v>
      </c>
      <c r="G17" s="95">
        <f>'[1]אגודה הוצאות שוטפות '!F87</f>
        <v>109518984.92092</v>
      </c>
      <c r="H17" s="95">
        <f>'[1]אגודה הוצאות שוטפות '!G87</f>
        <v>105302930.5701292</v>
      </c>
      <c r="I17" s="95">
        <f>'[1]אגודה הוצאות שוטפות '!H87</f>
        <v>71472515.675830483</v>
      </c>
      <c r="J17" s="95">
        <f>'[1]אגודה הוצאות שוטפות '!I87</f>
        <v>71966996.632588804</v>
      </c>
      <c r="K17" s="95">
        <f>'[1]אגודה הוצאות שוטפות '!J87</f>
        <v>72466422.398914695</v>
      </c>
      <c r="L17" s="95">
        <f>'[1]אגודה הוצאות שוטפות '!K87</f>
        <v>72970842.422903836</v>
      </c>
      <c r="M17" s="95">
        <f>'[1]אגודה הוצאות שוטפות '!L87</f>
        <v>73480306.647132874</v>
      </c>
      <c r="N17" s="95">
        <f>'[1]אגודה הוצאות שוטפות '!M87</f>
        <v>73994865.513604209</v>
      </c>
      <c r="O17" s="95">
        <f>'[1]אגודה הוצאות שוטפות '!N87</f>
        <v>74514569.968740255</v>
      </c>
      <c r="P17" s="95">
        <f>'[1]אגודה הוצאות שוטפות '!O87</f>
        <v>75039471.468427643</v>
      </c>
      <c r="Q17" s="95">
        <f>'[1]אגודה הוצאות שוטפות '!P87</f>
        <v>75569621.983111933</v>
      </c>
      <c r="R17" s="95">
        <f>'[1]אגודה הוצאות שוטפות '!Q87</f>
        <v>76105074.002943039</v>
      </c>
      <c r="S17" s="95">
        <f>'[1]אגודה הוצאות שוטפות '!R87</f>
        <v>76645880.542972475</v>
      </c>
      <c r="T17" s="95">
        <f>'[1]אגודה הוצאות שוטפות '!S87</f>
        <v>77192095.148402214</v>
      </c>
      <c r="U17" s="95">
        <f>'[1]אגודה הוצאות שוטפות '!T87</f>
        <v>77743771.899886221</v>
      </c>
      <c r="V17" s="95">
        <f>'[1]אגודה הוצאות שוטפות '!U87</f>
        <v>78300965.418885082</v>
      </c>
      <c r="W17" s="95">
        <f>'[1]אגודה הוצאות שוטפות '!V87</f>
        <v>0</v>
      </c>
      <c r="X17" s="95">
        <f>'[1]אגודה הוצאות שוטפות '!W87</f>
        <v>0</v>
      </c>
      <c r="Y17" s="95">
        <f>'[1]אגודה הוצאות שוטפות '!X87</f>
        <v>0</v>
      </c>
      <c r="Z17" s="95">
        <f>'[1]אגודה הוצאות שוטפות '!Y87</f>
        <v>0</v>
      </c>
      <c r="AA17" s="95">
        <f>V17*1.01</f>
        <v>79083975.073073938</v>
      </c>
    </row>
    <row r="18" spans="1:27" ht="14.25">
      <c r="A18" s="21" t="s">
        <v>71</v>
      </c>
      <c r="B18" s="95"/>
      <c r="C18" s="96"/>
      <c r="D18" s="95"/>
      <c r="E18" s="96"/>
      <c r="F18" s="95"/>
      <c r="G18" s="115">
        <v>0</v>
      </c>
      <c r="H18" s="115">
        <v>10000000</v>
      </c>
      <c r="I18" s="96">
        <f>'[1]תעריף בוצה בלבד'!K9</f>
        <v>51523983.361402765</v>
      </c>
      <c r="J18" s="96">
        <f>'[1]תעריף בוצה בלבד'!L9</f>
        <v>52100832.39213609</v>
      </c>
      <c r="K18" s="96">
        <f>'[1]תעריף בוצה בלבד'!M9</f>
        <v>52621840.716057435</v>
      </c>
      <c r="L18" s="96">
        <f>'[1]תעריף בוצה בלבד'!N9</f>
        <v>53148059.123218015</v>
      </c>
      <c r="M18" s="96">
        <f>'[1]תעריף בוצה בלבד'!O9</f>
        <v>53679539.714450188</v>
      </c>
      <c r="N18" s="96">
        <f>'[1]תעריף בוצה בלבד'!P9</f>
        <v>54216335.111594699</v>
      </c>
      <c r="O18" s="96">
        <f>'[1]תעריף בוצה בלבד'!Q9</f>
        <v>54758498.462710649</v>
      </c>
      <c r="P18" s="96">
        <f>'[1]תעריף בוצה בלבד'!R9</f>
        <v>55306083.447337747</v>
      </c>
      <c r="Q18" s="96">
        <f>'[1]תעריף בוצה בלבד'!S9</f>
        <v>55859144.281811126</v>
      </c>
      <c r="R18" s="96">
        <f>'[1]תעריף בוצה בלבד'!T9</f>
        <v>56417735.724629238</v>
      </c>
      <c r="S18" s="96">
        <f>'[1]תעריף בוצה בלבד'!U9</f>
        <v>56981913.081875525</v>
      </c>
      <c r="T18" s="96">
        <f>'[1]תעריף בוצה בלבד'!V9</f>
        <v>57551732.212694295</v>
      </c>
      <c r="U18" s="96">
        <f>'[1]תעריף בוצה בלבד'!W9</f>
        <v>58127249.534821227</v>
      </c>
      <c r="V18" s="96">
        <f>'[1]תעריף בוצה בלבד'!X9</f>
        <v>58708522.03016945</v>
      </c>
      <c r="W18" s="96">
        <f>'[1]תעריף בוצה בלבד'!Y9</f>
        <v>40740232.916340061</v>
      </c>
      <c r="X18" s="96">
        <f>'[1]תעריף בוצה בלבד'!Z9</f>
        <v>0</v>
      </c>
      <c r="Y18" s="96">
        <f>'[1]תעריף בוצה בלבד'!AA9</f>
        <v>0</v>
      </c>
      <c r="Z18" s="96">
        <f>'[1]תעריף בוצה בלבד'!AB9</f>
        <v>0</v>
      </c>
      <c r="AA18" s="96">
        <f>V18*1.01</f>
        <v>59295607.250471145</v>
      </c>
    </row>
    <row r="19" spans="1:30" ht="14.25">
      <c r="A19" s="21" t="s">
        <v>70</v>
      </c>
      <c r="B19" s="95"/>
      <c r="C19" s="96"/>
      <c r="D19" s="95"/>
      <c r="E19" s="95"/>
      <c r="F19" s="95"/>
      <c r="G19" s="95"/>
      <c r="H19" s="95"/>
      <c r="I19" s="95"/>
      <c r="J19" s="95"/>
      <c r="K19" s="95"/>
      <c r="L19" s="95"/>
      <c r="M19" s="95">
        <f>$M$112*M75</f>
        <v>3842820.4472685363</v>
      </c>
      <c r="N19" s="95">
        <f>$M$112*N75</f>
        <v>3881248.6517412225</v>
      </c>
      <c r="O19" s="95"/>
      <c r="P19" s="95">
        <f>$M$112*P75</f>
        <v>3959261.749641221</v>
      </c>
      <c r="Q19" s="95">
        <f>$M$112*Q75</f>
        <v>3998854.3671376328</v>
      </c>
      <c r="R19" s="95">
        <f>$M$112*R75</f>
        <v>4038842.9108090093</v>
      </c>
      <c r="S19" s="95">
        <f>$M$112*S75</f>
        <v>4079231.3399170991</v>
      </c>
      <c r="T19" s="95">
        <f>$M$112*T75</f>
        <v>4120023.653316271</v>
      </c>
      <c r="U19" s="95">
        <f>$M$112*U75</f>
        <v>4161223.8898494332</v>
      </c>
      <c r="V19" s="95">
        <f>$M$112*V75</f>
        <v>4202836.128747927</v>
      </c>
      <c r="W19" s="95">
        <f>W120</f>
        <v>0</v>
      </c>
      <c r="X19" s="95"/>
      <c r="Y19" s="95"/>
      <c r="Z19" s="95"/>
      <c r="AA19" s="95"/>
      <c r="AB19" s="95"/>
      <c r="AC19" s="95"/>
      <c r="AD19" s="96"/>
    </row>
    <row r="20" spans="1:30" ht="14.25">
      <c r="A20" s="21" t="s">
        <v>69</v>
      </c>
      <c r="B20" s="95"/>
      <c r="C20" s="96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>
        <f>$N$113*N75</f>
        <v>5174998.20232163</v>
      </c>
      <c r="O20" s="95">
        <f>$N$113*O75</f>
        <v>5226748.1843448468</v>
      </c>
      <c r="P20" s="95">
        <f>$N$113*P75</f>
        <v>5279015.666188295</v>
      </c>
      <c r="Q20" s="95">
        <f>$N$113*Q75</f>
        <v>5331805.8228501771</v>
      </c>
      <c r="R20" s="95">
        <f>$N$113*R75</f>
        <v>5385123.88107868</v>
      </c>
      <c r="S20" s="95">
        <f>$N$113*S75</f>
        <v>5438975.1198894661</v>
      </c>
      <c r="T20" s="95">
        <f>$N$113*T75</f>
        <v>5493364.8710883623</v>
      </c>
      <c r="U20" s="95">
        <f>$N$113*U75</f>
        <v>5548298.5197992446</v>
      </c>
      <c r="V20" s="95">
        <f>$N$113*V75</f>
        <v>5603781.5049972367</v>
      </c>
      <c r="W20" s="95"/>
      <c r="X20" s="95"/>
      <c r="Y20" s="95"/>
      <c r="Z20" s="95"/>
      <c r="AA20" s="95"/>
      <c r="AB20" s="95"/>
      <c r="AC20" s="95"/>
      <c r="AD20" s="96"/>
    </row>
    <row r="21" spans="1:30" ht="15" thickBot="1">
      <c r="A21" s="21" t="s">
        <v>68</v>
      </c>
      <c r="B21" s="95"/>
      <c r="C21" s="96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>
        <f>$N$114*N75</f>
        <v>5174998.20232163</v>
      </c>
      <c r="O21" s="95">
        <f>$N$114*O75</f>
        <v>5226748.1843448468</v>
      </c>
      <c r="P21" s="95">
        <f>$N$114*P75</f>
        <v>5279015.666188295</v>
      </c>
      <c r="Q21" s="95">
        <f>$N$114*Q75</f>
        <v>5331805.8228501771</v>
      </c>
      <c r="R21" s="95">
        <f>$N$114*R75</f>
        <v>5385123.88107868</v>
      </c>
      <c r="S21" s="95">
        <f>$N$114*S75</f>
        <v>5438975.1198894661</v>
      </c>
      <c r="T21" s="95">
        <f>$N$114*T75</f>
        <v>5493364.8710883623</v>
      </c>
      <c r="U21" s="95">
        <f>$N$114*U75</f>
        <v>5548298.5197992446</v>
      </c>
      <c r="V21" s="95">
        <f>$N$114*V75</f>
        <v>5603781.5049972367</v>
      </c>
      <c r="W21" s="95"/>
      <c r="X21" s="95"/>
      <c r="Y21" s="95"/>
      <c r="Z21" s="95"/>
      <c r="AA21" s="95"/>
      <c r="AB21" s="95"/>
      <c r="AC21" s="95"/>
      <c r="AD21" s="96"/>
    </row>
    <row r="22" spans="1:26" ht="15" thickBot="1">
      <c r="A22" s="114" t="s">
        <v>67</v>
      </c>
      <c r="B22" s="106">
        <f>SUM(B17:B18)</f>
        <v>57514000</v>
      </c>
      <c r="C22" s="106">
        <f>SUM(C17:C18)*(1+'[1]תעריף טיהור והולכה'!E29)</f>
        <v>62066840</v>
      </c>
      <c r="D22" s="106">
        <f>SUM(D17:D18)*(1+'[1]תעריף טיהור והולכה'!F29)</f>
        <v>70614264.200000003</v>
      </c>
      <c r="E22" s="106">
        <f>SUM(E17:E18)*(1+'[1]תעריף טיהור והולכה'!G29)</f>
        <v>112657789.2</v>
      </c>
      <c r="F22" s="106">
        <f>SUM(F17:F18)*(1+'[1]תעריף טיהור והולכה'!H29)</f>
        <v>111960622.89200001</v>
      </c>
      <c r="G22" s="106">
        <f>SUM(G17:G21)*(1+'[1]תעריף טיהור והולכה'!I29)</f>
        <v>109518984.92092</v>
      </c>
      <c r="H22" s="106">
        <f>SUM(H17:H21)*(1+'[1]תעריף טיהור והולכה'!J29)</f>
        <v>115302930.5701292</v>
      </c>
      <c r="I22" s="106">
        <f>SUM(I17:I21)*(1+'[1]תעריף טיהור והולכה'!K29)</f>
        <v>122996499.03723325</v>
      </c>
      <c r="J22" s="106">
        <f>SUM(J17:J21)*(1+'[1]תעריף טיהור והולכה'!L29)</f>
        <v>124067829.0247249</v>
      </c>
      <c r="K22" s="106">
        <f>SUM(K17:K21)*(1+'[1]תעריף טיהור והולכה'!M29)</f>
        <v>125088263.11497213</v>
      </c>
      <c r="L22" s="106">
        <f>SUM(L17:L21)*(1+'[1]תעריף טיהור והולכה'!N29)</f>
        <v>126118901.54612185</v>
      </c>
      <c r="M22" s="106">
        <f>SUM(M17:M21)*(1+'[1]תעריף טיהור והולכה'!O29)</f>
        <v>131002666.80885159</v>
      </c>
      <c r="N22" s="106">
        <f>SUM(N17:N21)*(1+'[1]תעריף טיהור והולכה'!P29)</f>
        <v>142442445.68158338</v>
      </c>
      <c r="O22" s="106">
        <f>SUM(O17:O21)*(1+'[1]תעריף טיהור והולכה'!Q29)</f>
        <v>139726564.80014062</v>
      </c>
      <c r="P22" s="106">
        <f>SUM(P17:P21)*(1+'[1]תעריף טיהור והולכה'!R29)</f>
        <v>144862847.99778321</v>
      </c>
      <c r="Q22" s="106">
        <f>SUM(Q17:Q21)*(1+'[1]תעריף טיהור והולכה'!S29)</f>
        <v>146091232.27776104</v>
      </c>
      <c r="R22" s="106">
        <f>SUM(R17:R21)*(1+'[1]תעריף טיהור והולכה'!T29)</f>
        <v>147331900.40053865</v>
      </c>
      <c r="S22" s="106">
        <f>SUM(S17:S21)*(1+'[1]תעריף טיהור והולכה'!U29)</f>
        <v>148584975.20454404</v>
      </c>
      <c r="T22" s="106">
        <f>SUM(T17:T21)*(1+'[1]תעריף טיהור והולכה'!V29)</f>
        <v>149850580.75658947</v>
      </c>
      <c r="U22" s="106">
        <f>SUM(U17:U21)*(1+'[1]תעריף טיהור והולכה'!W29)</f>
        <v>151128842.36415535</v>
      </c>
      <c r="V22" s="106">
        <f>SUM(V17:V21)*(1+'[1]תעריף טיהור והולכה'!X29)</f>
        <v>152419886.58779693</v>
      </c>
      <c r="W22" s="106">
        <f>SUM(W17:W18)*(1+'[1]תעריף טיהור והולכה'!Y29)</f>
        <v>40740232.916340061</v>
      </c>
      <c r="X22" s="106">
        <f>SUM(X17:X18)*(1+'[1]תעריף טיהור והולכה'!Z29)</f>
        <v>0</v>
      </c>
      <c r="Y22" s="106">
        <f>SUM(Y17:Y18)*(1+'[1]תעריף טיהור והולכה'!AA29)</f>
        <v>0</v>
      </c>
      <c r="Z22" s="106">
        <f>SUM(Z17:Z18)*(1+'[1]תעריף טיהור והולכה'!AB29)</f>
        <v>0</v>
      </c>
    </row>
    <row r="23" spans="1:24" ht="15" thickBot="1">
      <c r="A23" s="11"/>
      <c r="B23" s="103"/>
      <c r="C23" s="103"/>
      <c r="D23" s="103"/>
      <c r="E23" s="103"/>
      <c r="F23" s="103"/>
      <c r="G23" s="112"/>
      <c r="H23" s="103"/>
      <c r="I23" s="113"/>
      <c r="J23" s="103"/>
      <c r="K23" s="111"/>
      <c r="L23" s="103"/>
      <c r="M23" s="103"/>
      <c r="N23" s="103"/>
      <c r="O23" s="113"/>
      <c r="P23" s="103"/>
      <c r="Q23" s="112"/>
      <c r="R23" s="103"/>
      <c r="S23" s="112"/>
      <c r="T23" s="103"/>
      <c r="U23" s="111"/>
      <c r="W23">
        <v>137798.81226050269</v>
      </c>
      <c r="X23">
        <v>138952.85172716525</v>
      </c>
    </row>
    <row r="24" spans="1:26" ht="15" thickBot="1">
      <c r="A24" s="110" t="s">
        <v>66</v>
      </c>
      <c r="B24" s="106">
        <f>B14-B22</f>
        <v>25074317.360146403</v>
      </c>
      <c r="C24" s="106">
        <f>C14-C22</f>
        <v>34490316.249451712</v>
      </c>
      <c r="D24" s="108">
        <f>D14-D22</f>
        <v>75076814.101348266</v>
      </c>
      <c r="E24" s="106">
        <f>E14-E22</f>
        <v>52611538.327738807</v>
      </c>
      <c r="F24" s="108">
        <f>F14-F22</f>
        <v>66053434.27488099</v>
      </c>
      <c r="G24" s="106">
        <f>G14-G22</f>
        <v>55684019.773254707</v>
      </c>
      <c r="H24" s="106">
        <f>H14-H22</f>
        <v>48710903.481332049</v>
      </c>
      <c r="I24" s="106">
        <f>I14-I22</f>
        <v>73369830.313448057</v>
      </c>
      <c r="J24" s="106">
        <f>J14-J22</f>
        <v>112906753.04089403</v>
      </c>
      <c r="K24" s="109">
        <f>K14-K22</f>
        <v>114214484.77130298</v>
      </c>
      <c r="L24" s="106">
        <f>L14-L22</f>
        <v>115535293.81901602</v>
      </c>
      <c r="M24" s="106">
        <f>M14-M22</f>
        <v>116869310.95720621</v>
      </c>
      <c r="N24" s="106">
        <f>N14-N22</f>
        <v>102805947.9290331</v>
      </c>
      <c r="O24" s="108">
        <f>O14-O22</f>
        <v>103359328.08528033</v>
      </c>
      <c r="P24" s="106">
        <f>P14-P22</f>
        <v>97972815.983397812</v>
      </c>
      <c r="Q24" s="107">
        <f>Q14-Q22</f>
        <v>98464732.615375519</v>
      </c>
      <c r="R24" s="106">
        <f>R14-R22</f>
        <v>99628044.141529262</v>
      </c>
      <c r="S24" s="107">
        <f>S14-S22</f>
        <v>100802988.78294456</v>
      </c>
      <c r="T24" s="106">
        <f>T14-T22</f>
        <v>101989682.87077409</v>
      </c>
      <c r="U24" s="106">
        <f>U14-U22</f>
        <v>103188243.89948177</v>
      </c>
      <c r="V24" s="106">
        <f>V14-V22</f>
        <v>104398790.53847656</v>
      </c>
      <c r="W24" s="106">
        <f>W14-W22</f>
        <v>218605050.9811962</v>
      </c>
      <c r="X24" s="106">
        <f>X14-X22</f>
        <v>261897156.73651162</v>
      </c>
      <c r="Y24" s="106">
        <f>Y14-Y22</f>
        <v>264474548.3038767</v>
      </c>
      <c r="Z24" s="106">
        <f>Z14-Z22</f>
        <v>267077713.78691551</v>
      </c>
    </row>
    <row r="25" spans="1:22" ht="14.25">
      <c r="A25" s="102" t="s">
        <v>65</v>
      </c>
      <c r="B25" s="99">
        <v>23400000</v>
      </c>
      <c r="C25" s="99">
        <f>B25</f>
        <v>23400000</v>
      </c>
      <c r="D25" s="100">
        <f>C25+2800000</f>
        <v>26200000</v>
      </c>
      <c r="E25" s="99">
        <v>21000000</v>
      </c>
      <c r="F25" s="100">
        <f>E25</f>
        <v>21000000</v>
      </c>
      <c r="G25" s="99">
        <f>F25+H25/5</f>
        <v>32293333.333333332</v>
      </c>
      <c r="H25" s="99">
        <f>F25+1064000000/30</f>
        <v>56466666.666666664</v>
      </c>
      <c r="I25" s="99">
        <f>H25</f>
        <v>56466666.666666664</v>
      </c>
      <c r="J25" s="99">
        <f>I25</f>
        <v>56466666.666666664</v>
      </c>
      <c r="K25" s="100">
        <f>J25</f>
        <v>56466666.666666664</v>
      </c>
      <c r="L25" s="100">
        <f>K25</f>
        <v>56466666.666666664</v>
      </c>
      <c r="M25" s="100">
        <f>L25</f>
        <v>56466666.666666664</v>
      </c>
      <c r="N25" s="100">
        <f>M25</f>
        <v>56466666.666666664</v>
      </c>
      <c r="O25" s="100">
        <f>N25</f>
        <v>56466666.666666664</v>
      </c>
      <c r="P25" s="100">
        <f>O25</f>
        <v>56466666.666666664</v>
      </c>
      <c r="Q25" s="100">
        <f>P25</f>
        <v>56466666.666666664</v>
      </c>
      <c r="R25" s="100">
        <f>Q25</f>
        <v>56466666.666666664</v>
      </c>
      <c r="S25" s="100">
        <f>R25</f>
        <v>56466666.666666664</v>
      </c>
      <c r="T25" s="100">
        <f>S25</f>
        <v>56466666.666666664</v>
      </c>
      <c r="U25" s="100">
        <f>T25</f>
        <v>56466666.666666664</v>
      </c>
      <c r="V25" s="22">
        <f>U25</f>
        <v>56466666.666666664</v>
      </c>
    </row>
    <row r="26" spans="1:22" ht="14.25" hidden="1">
      <c r="A26" s="102" t="s">
        <v>64</v>
      </c>
      <c r="B26" s="99"/>
      <c r="C26" s="99"/>
      <c r="D26" s="100"/>
      <c r="E26" s="99"/>
      <c r="F26" s="99"/>
      <c r="G26" s="99"/>
      <c r="H26" s="99"/>
      <c r="I26" s="99"/>
      <c r="J26" s="99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22"/>
    </row>
    <row r="27" spans="1:21" ht="14.25" hidden="1">
      <c r="A27" s="102" t="s">
        <v>63</v>
      </c>
      <c r="B27" s="99"/>
      <c r="C27" s="99"/>
      <c r="D27" s="100"/>
      <c r="E27" s="99"/>
      <c r="F27" s="100"/>
      <c r="G27" s="99">
        <f>-(G54+G55+G56+G57)/2</f>
        <v>13069608.066088455</v>
      </c>
      <c r="H27" s="99">
        <f>-(H54+H55+H56+H57)</f>
        <v>30056693.646883868</v>
      </c>
      <c r="I27" s="99"/>
      <c r="J27" s="99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</row>
    <row r="28" spans="1:26" ht="14.25" hidden="1">
      <c r="A28" s="4" t="s">
        <v>62</v>
      </c>
      <c r="B28" s="99"/>
      <c r="C28" s="99"/>
      <c r="D28" s="99"/>
      <c r="E28" s="99"/>
      <c r="F28" s="99"/>
      <c r="G28" s="99">
        <f>-'[1]לוח שפיצר אגודה'!H41</f>
        <v>0</v>
      </c>
      <c r="H28" s="99">
        <f>-'[1]לוח שפיצר אגודה'!I41</f>
        <v>0</v>
      </c>
      <c r="I28" s="99">
        <f>-'[1]לוח שפיצר אגודה'!J41</f>
        <v>0</v>
      </c>
      <c r="J28" s="99">
        <f>-'[1]לוח שפיצר אגודה'!K41</f>
        <v>0</v>
      </c>
      <c r="K28" s="99">
        <f>-'[1]לוח שפיצר אגודה'!L41</f>
        <v>0</v>
      </c>
      <c r="L28" s="99">
        <f>-'[1]לוח שפיצר אגודה'!M41</f>
        <v>0</v>
      </c>
      <c r="M28" s="99">
        <f>-'[1]לוח שפיצר אגודה'!N41</f>
        <v>0</v>
      </c>
      <c r="N28" s="99">
        <f>-'[1]לוח שפיצר אגודה'!O41</f>
        <v>0</v>
      </c>
      <c r="O28" s="99">
        <f>-'[1]לוח שפיצר אגודה'!P41</f>
        <v>0</v>
      </c>
      <c r="P28" s="99">
        <f>-'[1]לוח שפיצר אגודה'!Q41</f>
        <v>0</v>
      </c>
      <c r="Q28" s="99">
        <f>-'[1]לוח שפיצר אגודה'!R41</f>
        <v>0</v>
      </c>
      <c r="R28" s="99">
        <f>-'[1]לוח שפיצר אגודה'!S41</f>
        <v>0</v>
      </c>
      <c r="S28" s="99">
        <f>-'[1]לוח שפיצר אגודה'!T41</f>
        <v>0</v>
      </c>
      <c r="T28" s="99">
        <f>-'[1]לוח שפיצר אגודה'!U41</f>
        <v>0</v>
      </c>
      <c r="U28" s="99">
        <f>-'[1]לוח שפיצר אגודה'!V41</f>
        <v>0</v>
      </c>
      <c r="V28" s="99">
        <f>-'[1]לוח שפיצר אגודה'!W41</f>
        <v>0</v>
      </c>
      <c r="W28" s="99">
        <f>-'[1]לוח שפיצר אגודה'!X41</f>
        <v>0</v>
      </c>
      <c r="X28" s="99">
        <f>-'[1]לוח שפיצר אגודה'!Y41</f>
        <v>0</v>
      </c>
      <c r="Y28" s="99">
        <f>-'[1]לוח שפיצר אגודה'!Z41</f>
        <v>0</v>
      </c>
      <c r="Z28" s="99">
        <f>-'[1]לוח שפיצר אגודה'!AA41</f>
        <v>0</v>
      </c>
    </row>
    <row r="29" spans="1:26" ht="14.25" hidden="1">
      <c r="A29" s="4" t="s">
        <v>61</v>
      </c>
      <c r="B29" s="99"/>
      <c r="C29" s="99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>
        <f>-'[1]לוח שפיצר אגודה'!W86</f>
        <v>373764.30519055703</v>
      </c>
      <c r="X29" s="100">
        <f>-'[1]לוח שפיצר אגודה'!X86</f>
        <v>0</v>
      </c>
      <c r="Y29" s="100">
        <f>-'[1]לוח שפיצר אגודה'!Y86</f>
        <v>0</v>
      </c>
      <c r="Z29" s="100">
        <f>-'[1]לוח שפיצר אגודה'!Z86</f>
        <v>0</v>
      </c>
    </row>
    <row r="30" spans="1:26" ht="14.25" hidden="1">
      <c r="A30" s="4" t="s">
        <v>60</v>
      </c>
      <c r="B30" s="99"/>
      <c r="C30" s="99"/>
      <c r="D30" s="100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>
        <f>-'[1]לוח שפיצר אגודה'!V131</f>
        <v>1138949.4181131071</v>
      </c>
      <c r="X30" s="99">
        <f>-'[1]לוח שפיצר אגודה'!W131</f>
        <v>581460.71614878648</v>
      </c>
      <c r="Y30" s="99">
        <f>-'[1]לוח שפיצר אגודה'!X131</f>
        <v>0</v>
      </c>
      <c r="Z30" s="99">
        <f>-'[1]לוח שפיצר אגודה'!Y131</f>
        <v>0</v>
      </c>
    </row>
    <row r="31" spans="1:26" ht="14.25" hidden="1">
      <c r="A31" s="4" t="s">
        <v>59</v>
      </c>
      <c r="B31" s="99"/>
      <c r="C31" s="99"/>
      <c r="D31" s="100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>
        <f>-'[1]לוח שפיצר אגודה'!U175</f>
        <v>1883390.3625598608</v>
      </c>
      <c r="X31" s="99">
        <f>-'[1]לוח שפיצר אגודה'!V175</f>
        <v>1281831.3724712741</v>
      </c>
      <c r="Y31" s="99">
        <f>-'[1]לוח שפיצר אגודה'!W175</f>
        <v>654405.34580887866</v>
      </c>
      <c r="Z31" s="99">
        <f>-'[1]לוח שפיצר אגודה'!X175</f>
        <v>0</v>
      </c>
    </row>
    <row r="32" spans="1:26" ht="14.25" hidden="1">
      <c r="A32" s="4" t="s">
        <v>58</v>
      </c>
      <c r="B32" s="99"/>
      <c r="C32" s="99"/>
      <c r="D32" s="100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>
        <f>-'[1]לוח שפיצר אגודה'!T219</f>
        <v>2133531.9811323155</v>
      </c>
      <c r="X32" s="99">
        <f>-'[1]לוח שפיצר אגודה'!U219</f>
        <v>1633345.7820482953</v>
      </c>
      <c r="Y32" s="99">
        <f>-'[1]לוח שפיצר אגודה'!V219</f>
        <v>1111651.5764036614</v>
      </c>
      <c r="Z32" s="99">
        <f>-'[1]לוח שפיצר אגודה'!W219</f>
        <v>567524.51991630881</v>
      </c>
    </row>
    <row r="33" spans="1:26" ht="14.25" hidden="1">
      <c r="A33" s="4" t="s">
        <v>57</v>
      </c>
      <c r="B33" s="99"/>
      <c r="C33" s="99"/>
      <c r="D33" s="100"/>
      <c r="E33" s="99"/>
      <c r="F33" s="99"/>
      <c r="G33" s="99"/>
      <c r="H33" s="99"/>
      <c r="I33" s="99">
        <f>-'[1]לוח שפיצר אגודה'!D252</f>
        <v>31044787.784977272</v>
      </c>
      <c r="J33" s="99">
        <f>-'[1]לוח שפיצר אגודה'!E252</f>
        <v>29867212.310539484</v>
      </c>
      <c r="K33" s="99">
        <f>-'[1]לוח שפיצר אגודה'!F252</f>
        <v>28639001.090700872</v>
      </c>
      <c r="L33" s="99">
        <f>-'[1]לוח שפיצר אגודה'!G252</f>
        <v>27357976.788409207</v>
      </c>
      <c r="M33" s="99">
        <f>-'[1]לוח שפיצר אגודה'!H252</f>
        <v>26021868.441118997</v>
      </c>
      <c r="N33" s="99">
        <f>-'[1]לוח שפיצר אגודה'!I252</f>
        <v>24628307.434895307</v>
      </c>
      <c r="O33" s="99">
        <f>-'[1]לוח שפיצר אגודה'!J252</f>
        <v>23174823.305403996</v>
      </c>
      <c r="P33" s="99">
        <f>-'[1]לוח שפיצר אגודה'!K252</f>
        <v>21658839.358344562</v>
      </c>
      <c r="Q33" s="99">
        <f>-'[1]לוח שפיצר אגודה'!L252</f>
        <v>20077668.101561572</v>
      </c>
      <c r="R33" s="99">
        <f>-'[1]לוח שפיצר אגודה'!M252</f>
        <v>18428506.480736911</v>
      </c>
      <c r="S33" s="99">
        <f>-'[1]לוח שפיצר אגודה'!N252</f>
        <v>16708430.910216793</v>
      </c>
      <c r="T33" s="99">
        <f>-'[1]לוח שפיצר אגודה'!O252</f>
        <v>14914392.090164309</v>
      </c>
      <c r="U33" s="99">
        <f>-'[1]לוח שפיצר אגודה'!P252</f>
        <v>13043209.600849565</v>
      </c>
      <c r="V33" s="99">
        <f>-'[1]לוח שפיצר אגודה'!Q252</f>
        <v>11091566.264494291</v>
      </c>
      <c r="W33" s="99">
        <f>-'[1]לוח שפיצר אגודה'!R252</f>
        <v>9056002.2646757402</v>
      </c>
      <c r="X33" s="99">
        <f>-'[1]לוח שפיצר אגודה'!S252</f>
        <v>6932909.0128649892</v>
      </c>
      <c r="Y33" s="99">
        <f>-'[1]לוח שפיצר אגודה'!T252</f>
        <v>4718522.7512263749</v>
      </c>
      <c r="Z33" s="99">
        <f>-'[1]לוח שפיצר אגודה'!U252</f>
        <v>2408917.880337303</v>
      </c>
    </row>
    <row r="34" spans="1:26" ht="14.25" hidden="1">
      <c r="A34" s="4"/>
      <c r="B34" s="99"/>
      <c r="C34" s="99"/>
      <c r="D34" s="100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</row>
    <row r="35" spans="1:26" s="8" customFormat="1" ht="12.75" hidden="1">
      <c r="A35" s="102" t="s">
        <v>56</v>
      </c>
      <c r="B35" s="103">
        <f>B24-B25-B28-B29-B30-B31+B32</f>
        <v>1674317.3601464033</v>
      </c>
      <c r="C35" s="103">
        <f>C24-C25-C28-C29-C30-C31+C32</f>
        <v>11090316.249451712</v>
      </c>
      <c r="D35" s="103">
        <f>D24-D25-D28-D29-D30-D31+D32-20000000</f>
        <v>28876814.101348266</v>
      </c>
      <c r="E35" s="103">
        <f>E24-E25-E28-E29-E30-E31+E32-E26-20000000</f>
        <v>11611538.327738807</v>
      </c>
      <c r="F35" s="103">
        <f>F24-F25-F28-F29-F30-F31+F32-F26-20000000</f>
        <v>25053434.27488099</v>
      </c>
      <c r="G35" s="103">
        <f>G24-G25-G28-G29-G30-G31+G32-G26</f>
        <v>23390686.439921375</v>
      </c>
      <c r="H35" s="103">
        <f>H24-H25-H27-H29-H30-H31+H32</f>
        <v>-37812456.832218483</v>
      </c>
      <c r="I35" s="103">
        <f>I24-I25-I28-I29-I30-I31-I33</f>
        <v>-14141624.13819588</v>
      </c>
      <c r="J35" s="103">
        <f>J24-J25-J28-J29-J30-J31-J33</f>
        <v>26572874.063687883</v>
      </c>
      <c r="K35" s="103">
        <f>K24-K25-K28-K29-K30-K31-K33</f>
        <v>29108817.013935447</v>
      </c>
      <c r="L35" s="103">
        <f>L24-L25-L28-L29-L30-L31-L33</f>
        <v>31710650.363940153</v>
      </c>
      <c r="M35" s="103">
        <f>M24-M25-M28-M29-M30-M31-M33</f>
        <v>34380775.849420547</v>
      </c>
      <c r="N35" s="103">
        <f>N24-N25-N28-N29-N30-N31-N33</f>
        <v>21710973.82747113</v>
      </c>
      <c r="O35" s="103">
        <f>O24-O25-O28-O29-O30-O31-O33</f>
        <v>23717838.113209669</v>
      </c>
      <c r="P35" s="103">
        <f>P24-P25-P28-P29-P30-P31-P33</f>
        <v>19847309.958386585</v>
      </c>
      <c r="Q35" s="103">
        <f>Q24-Q25-Q28-Q29-Q30-Q31-Q33</f>
        <v>21920397.847147282</v>
      </c>
      <c r="R35" s="103">
        <f>R24-R25-R28-R29-R30-R31-R33</f>
        <v>24732870.994125687</v>
      </c>
      <c r="S35" s="103">
        <f>S24-S25-S28-S29-S30-S31-S33</f>
        <v>27627891.206061102</v>
      </c>
      <c r="T35" s="103">
        <f>T24-T25-T28-T29-T30-T31-T33</f>
        <v>30608624.113943115</v>
      </c>
      <c r="U35" s="103">
        <f>U24-U25-U28-U29-U30-U31-U33</f>
        <v>33678367.631965548</v>
      </c>
      <c r="V35" s="103">
        <f>V24-V25-V28-V29-V30-V31-V33</f>
        <v>36840557.6073156</v>
      </c>
      <c r="W35" s="103">
        <f>W24-W25-W28-W29-W30-W31+W32</f>
        <v>217342478.87646499</v>
      </c>
      <c r="X35" s="103">
        <f>X24-X25-X28-X29-X30-X31+X32</f>
        <v>261667210.42993984</v>
      </c>
      <c r="Y35" s="103">
        <f>Y24-Y25-Y28-Y29-Y30-Y31+Y32</f>
        <v>264931794.53447145</v>
      </c>
      <c r="Z35" s="103">
        <f>Z24-Z25-Z28-Z29-Z30-Z31+Z32</f>
        <v>267645238.30683181</v>
      </c>
    </row>
    <row r="36" spans="1:22" ht="14.25" hidden="1">
      <c r="A36" s="102" t="s">
        <v>55</v>
      </c>
      <c r="B36" s="99"/>
      <c r="C36" s="99"/>
      <c r="D36" s="100"/>
      <c r="E36" s="99"/>
      <c r="F36" s="100"/>
      <c r="G36" s="99"/>
      <c r="H36" s="99"/>
      <c r="I36" s="99"/>
      <c r="J36" s="99"/>
      <c r="K36" s="100"/>
      <c r="L36" s="99"/>
      <c r="M36" s="100"/>
      <c r="N36" s="99"/>
      <c r="O36" s="100"/>
      <c r="P36" s="99"/>
      <c r="Q36" s="100"/>
      <c r="R36" s="99"/>
      <c r="S36" s="100"/>
      <c r="T36" s="99"/>
      <c r="U36" s="98">
        <f>-U35</f>
        <v>-33678367.631965548</v>
      </c>
      <c r="V36" s="22">
        <f>-V35</f>
        <v>-36840557.6073156</v>
      </c>
    </row>
    <row r="37" spans="1:21" ht="14.25" hidden="1">
      <c r="A37" s="102" t="s">
        <v>54</v>
      </c>
      <c r="B37" s="99">
        <f>B35</f>
        <v>1674317.3601464033</v>
      </c>
      <c r="C37" s="99">
        <f>C35+C36</f>
        <v>11090316.249451712</v>
      </c>
      <c r="D37" s="100">
        <f>D35+D36</f>
        <v>28876814.101348266</v>
      </c>
      <c r="E37" s="99">
        <f>E35+E36</f>
        <v>11611538.327738807</v>
      </c>
      <c r="F37" s="100">
        <f>F35+F36</f>
        <v>25053434.27488099</v>
      </c>
      <c r="G37" s="99">
        <f>G35+G36</f>
        <v>23390686.439921375</v>
      </c>
      <c r="H37" s="99">
        <f>H35+H36</f>
        <v>-37812456.832218483</v>
      </c>
      <c r="I37" s="99">
        <f>I35+I36</f>
        <v>-14141624.13819588</v>
      </c>
      <c r="J37" s="99">
        <f>J35+J36</f>
        <v>26572874.063687883</v>
      </c>
      <c r="K37" s="100">
        <f>K35+K36</f>
        <v>29108817.013935447</v>
      </c>
      <c r="L37" s="100">
        <f>L35+L36</f>
        <v>31710650.363940153</v>
      </c>
      <c r="M37" s="100">
        <f>M35+M36</f>
        <v>34380775.849420547</v>
      </c>
      <c r="N37" s="100">
        <f>N35+N36</f>
        <v>21710973.82747113</v>
      </c>
      <c r="O37" s="100">
        <f>O35+O36</f>
        <v>23717838.113209669</v>
      </c>
      <c r="P37" s="100">
        <f>P35+P36</f>
        <v>19847309.958386585</v>
      </c>
      <c r="Q37" s="100">
        <f>Q35+Q36</f>
        <v>21920397.847147282</v>
      </c>
      <c r="R37" s="100">
        <f>R35+R36</f>
        <v>24732870.994125687</v>
      </c>
      <c r="S37" s="100">
        <f>S35+S36</f>
        <v>27627891.206061102</v>
      </c>
      <c r="T37" s="100">
        <f>T35+T36</f>
        <v>30608624.113943115</v>
      </c>
      <c r="U37" s="100">
        <f>U35+U36</f>
        <v>0</v>
      </c>
    </row>
    <row r="38" spans="1:26" ht="14.25" hidden="1">
      <c r="A38" s="102" t="s">
        <v>53</v>
      </c>
      <c r="B38" s="104">
        <v>0.25</v>
      </c>
      <c r="C38" s="104">
        <v>0.23999999999999999</v>
      </c>
      <c r="D38" s="105">
        <v>0.25</v>
      </c>
      <c r="E38" s="105">
        <v>0.25</v>
      </c>
      <c r="F38" s="105">
        <v>0.26500000000000001</v>
      </c>
      <c r="G38" s="105">
        <v>0.26500000000000001</v>
      </c>
      <c r="H38" s="105">
        <v>0.26500000000000001</v>
      </c>
      <c r="I38" s="105">
        <v>0.26500000000000001</v>
      </c>
      <c r="J38" s="105">
        <v>0.26500000000000001</v>
      </c>
      <c r="K38" s="105">
        <v>0.26500000000000001</v>
      </c>
      <c r="L38" s="105">
        <v>0.26500000000000001</v>
      </c>
      <c r="M38" s="105">
        <v>0.26500000000000001</v>
      </c>
      <c r="N38" s="105">
        <v>0.26500000000000001</v>
      </c>
      <c r="O38" s="105">
        <v>0.26500000000000001</v>
      </c>
      <c r="P38" s="105">
        <v>0.26500000000000001</v>
      </c>
      <c r="Q38" s="105">
        <v>0.26500000000000001</v>
      </c>
      <c r="R38" s="105">
        <v>0.26500000000000001</v>
      </c>
      <c r="S38" s="105">
        <v>0.26500000000000001</v>
      </c>
      <c r="T38" s="105">
        <v>0.26500000000000001</v>
      </c>
      <c r="U38" s="105">
        <v>0.26500000000000001</v>
      </c>
      <c r="V38" s="105">
        <v>0.26500000000000001</v>
      </c>
      <c r="W38" s="104">
        <f>V38</f>
        <v>0.26500000000000001</v>
      </c>
      <c r="X38" s="104">
        <f>W38</f>
        <v>0.26500000000000001</v>
      </c>
      <c r="Y38" s="104">
        <f>X38</f>
        <v>0.26500000000000001</v>
      </c>
      <c r="Z38" s="104">
        <f>Y38</f>
        <v>0.26500000000000001</v>
      </c>
    </row>
    <row r="39" spans="1:26" s="8" customFormat="1" ht="12.75" hidden="1">
      <c r="A39" s="102" t="s">
        <v>52</v>
      </c>
      <c r="B39" s="103">
        <f>B37*B38</f>
        <v>418579.34003660083</v>
      </c>
      <c r="C39" s="103">
        <f>C37*C38</f>
        <v>2661675.8998684105</v>
      </c>
      <c r="D39" s="103">
        <f>D37*D38</f>
        <v>7219203.5253370665</v>
      </c>
      <c r="E39" s="103">
        <f>E37*E38</f>
        <v>2902884.5819347017</v>
      </c>
      <c r="F39" s="103">
        <f>F37*F38</f>
        <v>6639160.0828434629</v>
      </c>
      <c r="G39" s="103">
        <f>G37*G38</f>
        <v>6198531.9065791648</v>
      </c>
      <c r="H39" s="103">
        <v>0</v>
      </c>
      <c r="I39" s="103">
        <v>0</v>
      </c>
      <c r="J39" s="103">
        <v>0</v>
      </c>
      <c r="K39" s="103">
        <v>0</v>
      </c>
      <c r="L39" s="103">
        <v>0</v>
      </c>
      <c r="M39" s="103">
        <v>0</v>
      </c>
      <c r="N39" s="103">
        <v>0</v>
      </c>
      <c r="O39" s="103">
        <v>0</v>
      </c>
      <c r="P39" s="103">
        <v>0</v>
      </c>
      <c r="Q39" s="103">
        <v>0</v>
      </c>
      <c r="R39" s="103">
        <v>0</v>
      </c>
      <c r="S39" s="103">
        <v>0</v>
      </c>
      <c r="T39" s="103">
        <v>0</v>
      </c>
      <c r="U39" s="103">
        <v>0</v>
      </c>
      <c r="V39" s="103">
        <f>V37*V38</f>
        <v>0</v>
      </c>
      <c r="W39" s="103">
        <f>W37*W38</f>
        <v>0</v>
      </c>
      <c r="X39" s="103">
        <f>X37*X38</f>
        <v>0</v>
      </c>
      <c r="Y39" s="103">
        <f>Y37*Y38</f>
        <v>0</v>
      </c>
      <c r="Z39" s="103">
        <f>Z37*Z38</f>
        <v>0</v>
      </c>
    </row>
    <row r="40" spans="1:21" ht="14.25" hidden="1">
      <c r="A40" s="102"/>
      <c r="B40" s="99"/>
      <c r="C40" s="99"/>
      <c r="D40" s="100"/>
      <c r="E40" s="99"/>
      <c r="F40" s="100"/>
      <c r="G40" s="99"/>
      <c r="H40" s="99">
        <f>H37*H38</f>
        <v>-10020301.060537899</v>
      </c>
      <c r="I40" s="99">
        <f>I37*I38</f>
        <v>-3747530.3966219085</v>
      </c>
      <c r="J40" s="99">
        <f>J37*J38</f>
        <v>7041811.6268772893</v>
      </c>
      <c r="K40" s="99">
        <f>K37*K38</f>
        <v>7713836.5086928941</v>
      </c>
      <c r="L40" s="99">
        <f>L37*L38</f>
        <v>8403322.3464441411</v>
      </c>
      <c r="M40" s="99">
        <f>M37*M38</f>
        <v>9110905.6000964455</v>
      </c>
      <c r="N40" s="99">
        <f>N37*N38</f>
        <v>5753408.0642798496</v>
      </c>
      <c r="O40" s="99">
        <f>O37*O38</f>
        <v>6285227.1000005621</v>
      </c>
      <c r="P40" s="99">
        <f>P37*P38</f>
        <v>5259537.1389724454</v>
      </c>
      <c r="Q40" s="99">
        <f>Q37*Q38</f>
        <v>5808905.4294940298</v>
      </c>
      <c r="R40" s="99">
        <f>R37*R38</f>
        <v>6554210.8134433068</v>
      </c>
      <c r="S40" s="99">
        <f>S37*S38</f>
        <v>7321391.169606193</v>
      </c>
      <c r="T40" s="99">
        <f>T37*T38</f>
        <v>8111285.3901949255</v>
      </c>
      <c r="U40" s="98"/>
    </row>
    <row r="41" spans="1:21" ht="15" thickBot="1">
      <c r="A41" s="21"/>
      <c r="B41" s="99"/>
      <c r="C41" s="99"/>
      <c r="D41" s="100"/>
      <c r="E41" s="101"/>
      <c r="F41" s="100"/>
      <c r="G41" s="101"/>
      <c r="H41" s="99"/>
      <c r="I41" s="99"/>
      <c r="J41" s="99"/>
      <c r="K41" s="100"/>
      <c r="L41" s="99"/>
      <c r="M41" s="100"/>
      <c r="N41" s="99"/>
      <c r="O41" s="100"/>
      <c r="P41" s="99"/>
      <c r="Q41" s="100"/>
      <c r="R41" s="99"/>
      <c r="S41" s="100"/>
      <c r="T41" s="99"/>
      <c r="U41" s="98"/>
    </row>
    <row r="42" spans="1:26" ht="15" thickBot="1">
      <c r="A42" s="61" t="s">
        <v>51</v>
      </c>
      <c r="B42" s="58">
        <f>B16</f>
        <v>2010</v>
      </c>
      <c r="C42" s="58">
        <f>C16</f>
        <v>2011</v>
      </c>
      <c r="D42" s="97">
        <f>D16</f>
        <v>2012</v>
      </c>
      <c r="E42" s="58">
        <f>E16</f>
        <v>2013</v>
      </c>
      <c r="F42" s="58">
        <f>F16</f>
        <v>2014</v>
      </c>
      <c r="G42" s="58">
        <f>G16</f>
        <v>2015</v>
      </c>
      <c r="H42" s="58">
        <f>H16</f>
        <v>2016</v>
      </c>
      <c r="I42" s="58">
        <f>I16</f>
        <v>2017</v>
      </c>
      <c r="J42" s="58">
        <f>J16</f>
        <v>2018</v>
      </c>
      <c r="K42" s="97">
        <f>K16</f>
        <v>2019</v>
      </c>
      <c r="L42" s="58">
        <f>L16</f>
        <v>2020</v>
      </c>
      <c r="M42" s="58">
        <f>M16</f>
        <v>2021</v>
      </c>
      <c r="N42" s="58">
        <f>N16</f>
        <v>2022</v>
      </c>
      <c r="O42" s="59">
        <f>O16</f>
        <v>2023</v>
      </c>
      <c r="P42" s="58">
        <f>P16</f>
        <v>2024</v>
      </c>
      <c r="Q42" s="60">
        <f>Q16</f>
        <v>2025</v>
      </c>
      <c r="R42" s="58">
        <f>R16</f>
        <v>2026</v>
      </c>
      <c r="S42" s="60">
        <f>S16</f>
        <v>2027</v>
      </c>
      <c r="T42" s="58">
        <f>T16</f>
        <v>2028</v>
      </c>
      <c r="U42" s="58">
        <v>2029</v>
      </c>
      <c r="V42" s="58">
        <v>2030</v>
      </c>
      <c r="W42" s="58">
        <v>2031</v>
      </c>
      <c r="X42" s="58">
        <v>2032</v>
      </c>
      <c r="Y42" s="58">
        <v>2033</v>
      </c>
      <c r="Z42" s="58">
        <v>2034</v>
      </c>
    </row>
    <row r="43" spans="1:26" ht="14.25">
      <c r="A43" s="21" t="s">
        <v>50</v>
      </c>
      <c r="B43" s="95">
        <f>79000000-145141000</f>
        <v>-66141000</v>
      </c>
      <c r="C43" s="95" t="e">
        <f>'[1]השקעות אגודה (ישן)'!#REF!*1000</f>
        <v>#REF!</v>
      </c>
      <c r="D43" s="95">
        <v>1000000</v>
      </c>
      <c r="E43" s="95">
        <f>'[1]השקעות אגודה'!K25*1000</f>
        <v>15231000</v>
      </c>
      <c r="F43" s="95">
        <f>'[1]השקעות אגודה'!L25*1000</f>
        <v>8684000</v>
      </c>
      <c r="G43" s="95">
        <f>'[1]השקעות אגודה'!M25*1000</f>
        <v>39000000</v>
      </c>
      <c r="H43" s="95">
        <f>'[1]השקעות אגודה'!N25*1000</f>
        <v>6000000</v>
      </c>
      <c r="I43" s="95">
        <f>'[1]השקעות אגודה'!O25*1000</f>
        <v>61700000</v>
      </c>
      <c r="J43" s="95">
        <f>'[1]השקעות אגודה'!P25*1000</f>
        <v>204600000</v>
      </c>
      <c r="K43" s="95">
        <f>'[1]השקעות אגודה'!Q25*1000</f>
        <v>310400000</v>
      </c>
      <c r="L43" s="95">
        <f>'[1]השקעות אגודה'!R25*1000</f>
        <v>300400000</v>
      </c>
      <c r="M43" s="95">
        <f>'[1]השקעות אגודה'!S25*1000</f>
        <v>236400000</v>
      </c>
      <c r="N43" s="95">
        <f>'[1]השקעות אגודה'!T25*1000</f>
        <v>72000000</v>
      </c>
      <c r="O43" s="95">
        <f>'[1]השקעות אגודה'!U25*1000</f>
        <v>1000000</v>
      </c>
      <c r="P43" s="95">
        <f>'[1]השקעות אגודה'!V25*1000</f>
        <v>1000000</v>
      </c>
      <c r="Q43" s="95">
        <f>'[1]השקעות אגודה'!W25*1000</f>
        <v>1000000</v>
      </c>
      <c r="R43" s="95">
        <f>'[1]השקעות אגודה'!X25*1000</f>
        <v>1000000</v>
      </c>
      <c r="S43" s="95">
        <f>'[1]השקעות אגודה'!Y25*1000</f>
        <v>1000000</v>
      </c>
      <c r="T43" s="95">
        <f>'[1]השקעות אגודה'!Z25*1000</f>
        <v>1000000</v>
      </c>
      <c r="U43" s="95">
        <f>'[1]השקעות אגודה'!AA25*1000</f>
        <v>1000000</v>
      </c>
      <c r="V43" s="95">
        <f>'[1]השקעות אגודה'!AB25*1000</f>
        <v>1000000</v>
      </c>
      <c r="W43" s="95">
        <f>V43</f>
        <v>1000000</v>
      </c>
      <c r="X43" s="95">
        <f>W43</f>
        <v>1000000</v>
      </c>
      <c r="Y43" s="95">
        <f>X43</f>
        <v>1000000</v>
      </c>
      <c r="Z43" s="95">
        <f>Y43</f>
        <v>1000000</v>
      </c>
    </row>
    <row r="44" spans="1:26" ht="14.25">
      <c r="A44" s="21" t="s">
        <v>49</v>
      </c>
      <c r="B44" s="95"/>
      <c r="C44" s="95" t="e">
        <f>'[1]השקעות אגודה (ישן)'!#REF!*1000</f>
        <v>#REF!</v>
      </c>
      <c r="D44" s="95">
        <v>0</v>
      </c>
      <c r="E44" s="95">
        <f>'[1]השקעות אגודה'!K26*1000</f>
        <v>144311000</v>
      </c>
      <c r="F44" s="95">
        <f>'[1]השקעות אגודה'!L26*1000</f>
        <v>233316000</v>
      </c>
      <c r="G44" s="95">
        <f>'[1]השקעות אגודה'!M26*1000</f>
        <v>231000000</v>
      </c>
      <c r="H44" s="95">
        <f>'[1]השקעות אגודה'!N26*1000</f>
        <v>114195000</v>
      </c>
      <c r="I44" s="95">
        <f>'[1]השקעות אגודה'!O26*1000</f>
        <v>50030000</v>
      </c>
      <c r="J44" s="95">
        <f>'[1]השקעות אגודה'!P26*1000</f>
        <v>35000000</v>
      </c>
      <c r="K44" s="95">
        <f>'[1]השקעות אגודה'!Q26*1000</f>
        <v>0</v>
      </c>
      <c r="L44" s="95">
        <f>'[1]השקעות אגודה'!R26*1000</f>
        <v>0</v>
      </c>
      <c r="M44" s="95">
        <f>'[1]השקעות אגודה'!S26*1000</f>
        <v>0</v>
      </c>
      <c r="N44" s="95">
        <f>'[1]השקעות אגודה'!T26*1000</f>
        <v>0</v>
      </c>
      <c r="O44" s="95">
        <f>'[1]השקעות אגודה'!U26*1000</f>
        <v>0</v>
      </c>
      <c r="P44" s="95">
        <f>'[1]השקעות אגודה'!V26*1000</f>
        <v>0</v>
      </c>
      <c r="Q44" s="95">
        <f>'[1]השקעות אגודה'!W26*1000</f>
        <v>0</v>
      </c>
      <c r="R44" s="95">
        <f>'[1]השקעות אגודה'!X26*1000</f>
        <v>0</v>
      </c>
      <c r="S44" s="95">
        <f>'[1]השקעות אגודה'!Y26*1000</f>
        <v>0</v>
      </c>
      <c r="T44" s="95">
        <f>'[1]השקעות אגודה'!Z26*1000</f>
        <v>0</v>
      </c>
      <c r="U44" s="95">
        <f>'[1]השקעות אגודה'!AA26*1000</f>
        <v>0</v>
      </c>
      <c r="V44" s="95">
        <f>'[1]השקעות אגודה'!AB26*1000</f>
        <v>0</v>
      </c>
      <c r="W44" s="95" t="e">
        <f>'[1]השקעות אגודה (ישן)'!#REF!*1000</f>
        <v>#REF!</v>
      </c>
      <c r="X44" s="95" t="e">
        <f>'[1]השקעות אגודה (ישן)'!#REF!*1000</f>
        <v>#REF!</v>
      </c>
      <c r="Y44" s="95" t="e">
        <f>'[1]השקעות אגודה (ישן)'!#REF!*1000</f>
        <v>#REF!</v>
      </c>
      <c r="Z44" s="95" t="e">
        <f>'[1]השקעות אגודה (ישן)'!#REF!*1000</f>
        <v>#REF!</v>
      </c>
    </row>
    <row r="45" spans="1:26" ht="14.25">
      <c r="A45" s="21" t="s">
        <v>48</v>
      </c>
      <c r="B45" s="95" t="e">
        <f>'[1]השקעות אגודה (ישן)'!#REF!*1000</f>
        <v>#REF!</v>
      </c>
      <c r="C45" s="95">
        <v>-49000000</v>
      </c>
      <c r="D45" s="95">
        <f>'[1]השקעות אגודה (ישן)'!E26*1000</f>
        <v>0</v>
      </c>
      <c r="E45" s="95">
        <v>0</v>
      </c>
      <c r="F45" s="95">
        <v>0</v>
      </c>
      <c r="G45" s="95">
        <v>0</v>
      </c>
      <c r="H45" s="95">
        <v>0</v>
      </c>
      <c r="I45" s="95">
        <v>0</v>
      </c>
      <c r="J45" s="95">
        <v>0</v>
      </c>
      <c r="K45" s="95">
        <v>0</v>
      </c>
      <c r="L45" s="95">
        <v>0</v>
      </c>
      <c r="M45" s="95">
        <v>8500000</v>
      </c>
      <c r="N45" s="95">
        <f>M45</f>
        <v>8500000</v>
      </c>
      <c r="O45" s="95">
        <f>N45</f>
        <v>8500000</v>
      </c>
      <c r="P45" s="95">
        <f>O45</f>
        <v>8500000</v>
      </c>
      <c r="Q45" s="95">
        <f>P45</f>
        <v>8500000</v>
      </c>
      <c r="R45" s="95">
        <f>Q45</f>
        <v>8500000</v>
      </c>
      <c r="S45" s="95">
        <f>R45</f>
        <v>8500000</v>
      </c>
      <c r="T45" s="95">
        <f>S45</f>
        <v>8500000</v>
      </c>
      <c r="U45" s="95">
        <f>T45</f>
        <v>8500000</v>
      </c>
      <c r="V45" s="95">
        <f>U45</f>
        <v>8500000</v>
      </c>
      <c r="W45" s="95">
        <f>V45</f>
        <v>8500000</v>
      </c>
      <c r="X45" s="95">
        <f>W45</f>
        <v>8500000</v>
      </c>
      <c r="Y45" s="95">
        <f>X45</f>
        <v>8500000</v>
      </c>
      <c r="Z45" s="95">
        <f>Y45</f>
        <v>8500000</v>
      </c>
    </row>
    <row r="46" spans="1:21" ht="15" thickBot="1">
      <c r="A46" s="21"/>
      <c r="B46" s="95"/>
      <c r="C46" s="96"/>
      <c r="D46" s="95"/>
      <c r="E46" s="96"/>
      <c r="F46" s="95"/>
      <c r="G46" s="96"/>
      <c r="H46" s="95"/>
      <c r="I46" s="96"/>
      <c r="J46" s="95"/>
      <c r="K46" s="96"/>
      <c r="L46" s="95"/>
      <c r="M46" s="96"/>
      <c r="N46" s="95"/>
      <c r="O46" s="96"/>
      <c r="P46" s="95"/>
      <c r="Q46" s="96"/>
      <c r="R46" s="95"/>
      <c r="S46" s="96"/>
      <c r="T46" s="95"/>
      <c r="U46" s="94"/>
    </row>
    <row r="47" spans="1:26" ht="15.75" thickBot="1">
      <c r="A47" s="93" t="s">
        <v>47</v>
      </c>
      <c r="B47" s="92" t="e">
        <f>SUM(B43:B46)</f>
        <v>#REF!</v>
      </c>
      <c r="C47" s="92" t="e">
        <f>SUM(C43:C46)</f>
        <v>#REF!</v>
      </c>
      <c r="D47" s="92">
        <f>SUM(D43:D46)</f>
        <v>1000000</v>
      </c>
      <c r="E47" s="92">
        <f>SUM(E43:E46)</f>
        <v>159542000</v>
      </c>
      <c r="F47" s="92">
        <f>SUM(F43:F46)</f>
        <v>242000000</v>
      </c>
      <c r="G47" s="92">
        <f>SUM(G43:G46)</f>
        <v>270000000</v>
      </c>
      <c r="H47" s="92">
        <f>SUM(H43:H46)</f>
        <v>120195000</v>
      </c>
      <c r="I47" s="92">
        <f>SUM(I43:I46)</f>
        <v>111730000</v>
      </c>
      <c r="J47" s="92">
        <f>SUM(J43:J46)</f>
        <v>239600000</v>
      </c>
      <c r="K47" s="92">
        <f>SUM(K43:K46)</f>
        <v>310400000</v>
      </c>
      <c r="L47" s="92">
        <f>SUM(L43:L46)</f>
        <v>300400000</v>
      </c>
      <c r="M47" s="92">
        <f>SUM(M43:M46)</f>
        <v>244900000</v>
      </c>
      <c r="N47" s="92">
        <f>SUM(N43:N46)</f>
        <v>80500000</v>
      </c>
      <c r="O47" s="92">
        <f>SUM(O43:O46)</f>
        <v>9500000</v>
      </c>
      <c r="P47" s="92">
        <f>SUM(P43:P46)</f>
        <v>9500000</v>
      </c>
      <c r="Q47" s="92">
        <f>SUM(Q43:Q46)</f>
        <v>9500000</v>
      </c>
      <c r="R47" s="92">
        <f>SUM(R43:R46)</f>
        <v>9500000</v>
      </c>
      <c r="S47" s="92">
        <f>SUM(S43:S46)</f>
        <v>9500000</v>
      </c>
      <c r="T47" s="92">
        <f>SUM(T43:T46)</f>
        <v>9500000</v>
      </c>
      <c r="U47" s="92">
        <f>SUM(U43:U46)</f>
        <v>9500000</v>
      </c>
      <c r="V47" s="92">
        <f>SUM(V43:V46)</f>
        <v>9500000</v>
      </c>
      <c r="W47" s="92" t="e">
        <f>SUM(W43:W46)</f>
        <v>#REF!</v>
      </c>
      <c r="X47" s="92" t="e">
        <f>SUM(X43:X46)</f>
        <v>#REF!</v>
      </c>
      <c r="Y47" s="92" t="e">
        <f>SUM(Y43:Y46)</f>
        <v>#REF!</v>
      </c>
      <c r="Z47" s="92" t="e">
        <f>SUM(Z43:Z46)</f>
        <v>#REF!</v>
      </c>
    </row>
    <row r="48" spans="1:21" ht="15" thickBot="1">
      <c r="A48" s="91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1:26" ht="15.75" hidden="1" thickBot="1">
      <c r="A49" s="90" t="s">
        <v>46</v>
      </c>
      <c r="B49" s="89" t="e">
        <f>B14-B47-B22-B39</f>
        <v>#REF!</v>
      </c>
      <c r="C49" s="89" t="e">
        <f>C14-C47-C22-C39</f>
        <v>#REF!</v>
      </c>
      <c r="D49" s="89">
        <f>D14-D47-D22-D39</f>
        <v>66857610.576011196</v>
      </c>
      <c r="E49" s="89">
        <f>E14-E47-E22-E39</f>
        <v>-109833346.2541959</v>
      </c>
      <c r="F49" s="89">
        <f>F14-F47-F22-F39</f>
        <v>-182585725.80796245</v>
      </c>
      <c r="G49" s="89">
        <f>G14-G47-G22</f>
        <v>-214315980.22674531</v>
      </c>
      <c r="H49" s="89">
        <f>H14-H47-H22</f>
        <v>-71484096.518667951</v>
      </c>
      <c r="I49" s="89">
        <f>I14-I47-I22</f>
        <v>-38360169.686551943</v>
      </c>
      <c r="J49" s="89">
        <f>J14-J47-J22</f>
        <v>-126693246.95910597</v>
      </c>
      <c r="K49" s="89">
        <f>K14-K47-K22</f>
        <v>-196185515.228697</v>
      </c>
      <c r="L49" s="89">
        <f>L14-L47-L22</f>
        <v>-184864706.18098396</v>
      </c>
      <c r="M49" s="89">
        <f>M14-M47-M22</f>
        <v>-128030689.0427938</v>
      </c>
      <c r="N49" s="89">
        <f>N14-N47-N22</f>
        <v>22305947.929033101</v>
      </c>
      <c r="O49" s="89">
        <f>O14-O47-O22</f>
        <v>93859328.085280329</v>
      </c>
      <c r="P49" s="89">
        <f>P14-P47-P22</f>
        <v>88472815.983397812</v>
      </c>
      <c r="Q49" s="89">
        <f>Q14-Q47-Q22</f>
        <v>88964732.615375519</v>
      </c>
      <c r="R49" s="89">
        <f>R14-R47-R22</f>
        <v>90128044.141529262</v>
      </c>
      <c r="S49" s="89">
        <f>S14-S47-S22</f>
        <v>91302988.78294456</v>
      </c>
      <c r="T49" s="89">
        <f>T14-T47-T22</f>
        <v>92489682.87077409</v>
      </c>
      <c r="U49" s="89">
        <f>U14-U47-U22</f>
        <v>93688243.899481773</v>
      </c>
      <c r="V49" s="89">
        <f>V14-V47-V22</f>
        <v>94898790.538476557</v>
      </c>
      <c r="W49" s="89" t="e">
        <f>W14-W47-W22</f>
        <v>#REF!</v>
      </c>
      <c r="X49" s="89" t="e">
        <f>X14-X47-X22</f>
        <v>#REF!</v>
      </c>
      <c r="Y49" s="89" t="e">
        <f>Y14-Y47-Y22</f>
        <v>#REF!</v>
      </c>
      <c r="Z49" s="89" t="e">
        <f>Z14-Z47-Z22</f>
        <v>#REF!</v>
      </c>
    </row>
    <row r="50" spans="1:21" ht="15" hidden="1">
      <c r="A50" s="63"/>
      <c r="B50" s="70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:26" ht="15" hidden="1">
      <c r="A51" s="83" t="s">
        <v>45</v>
      </c>
      <c r="B51" s="85"/>
      <c r="C51" s="85">
        <v>0</v>
      </c>
      <c r="D51" s="85">
        <f>70000000+50000000</f>
        <v>120000000</v>
      </c>
      <c r="E51" s="85">
        <v>186682583.031252</v>
      </c>
      <c r="F51" s="85">
        <v>210102035.97967714</v>
      </c>
      <c r="G51" s="85">
        <v>182208256.49799809</v>
      </c>
      <c r="H51" s="84">
        <v>22978933.444032617</v>
      </c>
      <c r="I51" s="87"/>
      <c r="J51" s="87"/>
      <c r="K51" s="87"/>
      <c r="L51" s="87"/>
      <c r="M51" s="87"/>
      <c r="N51" s="87"/>
      <c r="O51" s="87"/>
      <c r="P51" s="84"/>
      <c r="Q51" s="84"/>
      <c r="R51" s="87"/>
      <c r="S51" s="87"/>
      <c r="T51" s="87"/>
      <c r="U51" s="87"/>
      <c r="V51" s="86"/>
      <c r="W51" s="86"/>
      <c r="X51" s="86"/>
      <c r="Y51" s="86"/>
      <c r="Z51" s="86"/>
    </row>
    <row r="52" spans="1:26" ht="15" hidden="1">
      <c r="A52" s="88" t="s">
        <v>44</v>
      </c>
      <c r="B52" s="85"/>
      <c r="C52" s="85"/>
      <c r="D52" s="85"/>
      <c r="E52" s="85"/>
      <c r="F52" s="87"/>
      <c r="G52" s="87"/>
      <c r="H52" s="84"/>
      <c r="I52" s="87"/>
      <c r="J52" s="87"/>
      <c r="K52" s="87"/>
      <c r="L52" s="87"/>
      <c r="M52" s="87"/>
      <c r="N52" s="87"/>
      <c r="O52" s="87"/>
      <c r="P52" s="84"/>
      <c r="Q52" s="84"/>
      <c r="R52" s="87"/>
      <c r="S52" s="87"/>
      <c r="T52" s="87"/>
      <c r="U52" s="87"/>
      <c r="V52" s="86"/>
      <c r="W52" s="86"/>
      <c r="X52" s="86"/>
      <c r="Y52" s="86"/>
      <c r="Z52" s="86"/>
    </row>
    <row r="53" spans="1:26" ht="15" hidden="1">
      <c r="A53" s="83" t="s">
        <v>43</v>
      </c>
      <c r="B53" s="85"/>
      <c r="C53" s="84">
        <f>'[1]לוח שפיצר אגודה'!D42</f>
        <v>0</v>
      </c>
      <c r="D53" s="84">
        <f>'[1]לוח שפיצר אגודה'!E42</f>
        <v>0</v>
      </c>
      <c r="E53" s="84">
        <f>'[1]לוח שפיצר אגודה'!F42</f>
        <v>0</v>
      </c>
      <c r="F53" s="84">
        <f>'[1]לוח שפיצר אגודה'!G42</f>
        <v>0</v>
      </c>
      <c r="G53" s="84">
        <f>'[1]לוח שפיצר אגודה'!H42</f>
        <v>0</v>
      </c>
      <c r="H53" s="84">
        <f>'[1]לוח שפיצר אגודה'!I42</f>
        <v>0</v>
      </c>
      <c r="I53" s="84">
        <f>'[1]לוח שפיצר אגודה'!J42</f>
        <v>0</v>
      </c>
      <c r="J53" s="84">
        <f>'[1]לוח שפיצר אגודה'!K42</f>
        <v>0</v>
      </c>
      <c r="K53" s="84">
        <f>'[1]לוח שפיצר אגודה'!L42</f>
        <v>0</v>
      </c>
      <c r="L53" s="84">
        <f>'[1]לוח שפיצר אגודה'!M42</f>
        <v>0</v>
      </c>
      <c r="M53" s="84">
        <f>'[1]לוח שפיצר אגודה'!N42</f>
        <v>0</v>
      </c>
      <c r="N53" s="84">
        <f>'[1]לוח שפיצר אגודה'!O42</f>
        <v>0</v>
      </c>
      <c r="O53" s="84">
        <f>'[1]לוח שפיצר אגודה'!P42</f>
        <v>0</v>
      </c>
      <c r="P53" s="84">
        <f>'[1]לוח שפיצר אגודה'!Q42</f>
        <v>0</v>
      </c>
      <c r="Q53" s="84">
        <f>'[1]לוח שפיצר אגודה'!R42</f>
        <v>0</v>
      </c>
      <c r="R53" s="84">
        <f>'[1]לוח שפיצר אגודה'!S42</f>
        <v>0</v>
      </c>
      <c r="S53" s="84">
        <f>'[1]לוח שפיצר אגודה'!T42</f>
        <v>0</v>
      </c>
      <c r="T53" s="84">
        <f>'[1]לוח שפיצר אגודה'!U42</f>
        <v>0</v>
      </c>
      <c r="U53" s="84">
        <f>'[1]לוח שפיצר אגודה'!V42</f>
        <v>0</v>
      </c>
      <c r="V53" s="84">
        <f>'[1]לוח שפיצר אגודה'!W42</f>
        <v>0</v>
      </c>
      <c r="W53" s="84">
        <f>'[1]לוח שפיצר אגודה'!X42</f>
        <v>0</v>
      </c>
      <c r="X53" s="84">
        <f>'[1]לוח שפיצר אגודה'!Y42</f>
        <v>0</v>
      </c>
      <c r="Y53" s="84">
        <f>'[1]לוח שפיצר אגודה'!Z42</f>
        <v>0</v>
      </c>
      <c r="Z53" s="84">
        <f>'[1]לוח שפיצר אגודה'!AA42</f>
        <v>0</v>
      </c>
    </row>
    <row r="54" spans="1:26" ht="15" hidden="1">
      <c r="A54" s="83" t="s">
        <v>42</v>
      </c>
      <c r="B54" s="85"/>
      <c r="C54" s="84"/>
      <c r="D54" s="84">
        <f>-'[1]לוח שפיצר אגודה'!C49/2</f>
        <v>-2580000</v>
      </c>
      <c r="E54" s="84">
        <f>-'[1]לוח שפיצר אגודה'!C49</f>
        <v>-5160000</v>
      </c>
      <c r="F54" s="84">
        <f>-'[1]לוח שפיצר אגודה'!C49</f>
        <v>-5160000</v>
      </c>
      <c r="G54" s="84">
        <f>F54</f>
        <v>-5160000</v>
      </c>
      <c r="H54" s="84">
        <f>G54</f>
        <v>-5160000</v>
      </c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>
        <f>'[1]לוח שפיצר אגודה'!W87</f>
        <v>-9065957.4491570015</v>
      </c>
      <c r="X54" s="84">
        <f>'[1]לוח שפיצר אגודה'!X87</f>
        <v>0</v>
      </c>
      <c r="Y54" s="84">
        <f>'[1]לוח שפיצר אגודה'!Y87</f>
        <v>0</v>
      </c>
      <c r="Z54" s="84">
        <f>'[1]לוח שפיצר אגודה'!Z87</f>
        <v>0</v>
      </c>
    </row>
    <row r="55" spans="1:26" ht="15" hidden="1">
      <c r="A55" s="83" t="s">
        <v>41</v>
      </c>
      <c r="B55" s="85"/>
      <c r="C55" s="84"/>
      <c r="D55" s="84"/>
      <c r="E55" s="84">
        <f>-'[1]לוח שפיצר אגודה'!C94/2</f>
        <v>-4013675.5351719176</v>
      </c>
      <c r="F55" s="84">
        <f>-'[1]לוח שפיצר אגודה'!C94</f>
        <v>-8027351.0703438353</v>
      </c>
      <c r="G55" s="84">
        <f>F55</f>
        <v>-8027351.0703438353</v>
      </c>
      <c r="H55" s="84">
        <f>G55</f>
        <v>-8027351.0703438353</v>
      </c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>
        <f>'[1]לוח שפיצר אגודה'!V132</f>
        <v>-14103802.952167079</v>
      </c>
      <c r="X55" s="84">
        <f>'[1]לוח שפיצר אגודה'!W132</f>
        <v>-14103802.952167079</v>
      </c>
      <c r="Y55" s="84">
        <f>'[1]לוח שפיצר אגודה'!X132</f>
        <v>0</v>
      </c>
      <c r="Z55" s="84">
        <f>'[1]לוח שפיצר אגודה'!Y132</f>
        <v>0</v>
      </c>
    </row>
    <row r="56" spans="1:26" ht="15" hidden="1">
      <c r="A56" s="83" t="s">
        <v>40</v>
      </c>
      <c r="B56" s="85"/>
      <c r="C56" s="84"/>
      <c r="D56" s="84"/>
      <c r="E56" s="84"/>
      <c r="F56" s="84">
        <f>-'[1]לוח שפיצר אגודה'!C138/2</f>
        <v>-4517193.7735630581</v>
      </c>
      <c r="G56" s="84">
        <f>-'[1]לוח שפיצר אגודה'!C138</f>
        <v>-9034387.5471261162</v>
      </c>
      <c r="H56" s="84">
        <f>G56</f>
        <v>-9034387.5471261162</v>
      </c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>
        <f>'[1]לוח שפיצר אגודה'!U176</f>
        <v>-15873134.318108384</v>
      </c>
      <c r="X56" s="84">
        <f>'[1]לוח שפיצר אגודה'!V176</f>
        <v>-15873134.318108384</v>
      </c>
      <c r="Y56" s="84">
        <f>'[1]לוח שפיצר אגודה'!W176</f>
        <v>-15873134.318108384</v>
      </c>
      <c r="Z56" s="84">
        <f>'[1]לוח שפיצר אגודה'!X176</f>
        <v>0</v>
      </c>
    </row>
    <row r="57" spans="1:26" ht="15" hidden="1">
      <c r="A57" s="83" t="s">
        <v>39</v>
      </c>
      <c r="B57" s="85"/>
      <c r="C57" s="84"/>
      <c r="D57" s="84"/>
      <c r="E57" s="84"/>
      <c r="F57" s="84"/>
      <c r="G57" s="84">
        <f>-'[1]לוח שפיצר אגודה'!C182/2</f>
        <v>-3917477.5147069586</v>
      </c>
      <c r="H57" s="84">
        <f>-'[1]לוח שפיצר אגודה'!C182</f>
        <v>-7834955.0294139171</v>
      </c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>
        <f>'[1]לוח שפיצר אגודה'!T220</f>
        <v>-13765769.169132795</v>
      </c>
      <c r="X57" s="84">
        <f>'[1]לוח שפיצר אגודה'!U220</f>
        <v>-13765769.169132795</v>
      </c>
      <c r="Y57" s="84">
        <f>'[1]לוח שפיצר אגודה'!V220</f>
        <v>-13765769.169132795</v>
      </c>
      <c r="Z57" s="84">
        <f>'[1]לוח שפיצר אגודה'!W220</f>
        <v>-13765769.169132795</v>
      </c>
    </row>
    <row r="58" spans="1:26" ht="15" hidden="1">
      <c r="A58" s="83"/>
      <c r="B58" s="81"/>
      <c r="C58" s="80"/>
      <c r="D58" s="80"/>
      <c r="E58" s="80"/>
      <c r="F58" s="80"/>
      <c r="G58" s="80"/>
      <c r="H58" s="80">
        <f>-'[1]לוח שפיצר אגודה'!C291/2</f>
        <v>-574473.33610081545</v>
      </c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</row>
    <row r="59" spans="1:27" ht="15" hidden="1">
      <c r="A59" s="83" t="s">
        <v>38</v>
      </c>
      <c r="B59" s="81"/>
      <c r="C59" s="80"/>
      <c r="D59" s="80"/>
      <c r="E59" s="80"/>
      <c r="F59" s="80"/>
      <c r="G59" s="80"/>
      <c r="H59" s="80"/>
      <c r="I59" s="80">
        <f>'[1]לוח שפיצר אגודה'!G228</f>
        <v>-58430263.934693187</v>
      </c>
      <c r="J59" s="80">
        <f>I59</f>
        <v>-58430263.934693187</v>
      </c>
      <c r="K59" s="80">
        <f>J59</f>
        <v>-58430263.934693187</v>
      </c>
      <c r="L59" s="80">
        <f>K59</f>
        <v>-58430263.934693187</v>
      </c>
      <c r="M59" s="80">
        <f>L59</f>
        <v>-58430263.934693187</v>
      </c>
      <c r="N59" s="80">
        <f>M59</f>
        <v>-58430263.934693187</v>
      </c>
      <c r="O59" s="80">
        <f>N59</f>
        <v>-58430263.934693187</v>
      </c>
      <c r="P59" s="80">
        <f>O59</f>
        <v>-58430263.934693187</v>
      </c>
      <c r="Q59" s="80">
        <f>P59</f>
        <v>-58430263.934693187</v>
      </c>
      <c r="R59" s="80">
        <f>Q59</f>
        <v>-58430263.934693187</v>
      </c>
      <c r="S59" s="80">
        <f>R59</f>
        <v>-58430263.934693187</v>
      </c>
      <c r="T59" s="80">
        <f>S59</f>
        <v>-58430263.934693187</v>
      </c>
      <c r="U59" s="80">
        <f>T59</f>
        <v>-58430263.934693187</v>
      </c>
      <c r="V59" s="80">
        <f>U59</f>
        <v>-58430263.934693187</v>
      </c>
      <c r="W59" s="80">
        <f>V59</f>
        <v>-58430263.934693187</v>
      </c>
      <c r="X59" s="80">
        <f>W59</f>
        <v>-58430263.934693187</v>
      </c>
      <c r="Y59" s="80">
        <f>X59</f>
        <v>-58430263.934693187</v>
      </c>
      <c r="Z59" s="80">
        <f>Y59</f>
        <v>-58430263.934693187</v>
      </c>
      <c r="AA59" s="4" t="s">
        <v>37</v>
      </c>
    </row>
    <row r="60" spans="1:26" ht="15" hidden="1" thickBot="1">
      <c r="A60" s="82"/>
      <c r="B60" s="81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</row>
    <row r="61" spans="1:26" ht="15" hidden="1">
      <c r="A61" s="79" t="s">
        <v>36</v>
      </c>
      <c r="B61" s="78" t="e">
        <f>SUM(B49:B60)</f>
        <v>#REF!</v>
      </c>
      <c r="C61" s="77">
        <f>22671000+15145000</f>
        <v>37816000</v>
      </c>
      <c r="D61" s="77">
        <v>59000000</v>
      </c>
      <c r="E61" s="76">
        <f>SUM(E49:E60)+D61+D62</f>
        <v>126675561.24188419</v>
      </c>
      <c r="F61" s="76">
        <f>SUM(F49:F60)+E61+E62</f>
        <v>138387459.98832026</v>
      </c>
      <c r="G61" s="76">
        <f>SUM(G49:G60)+F61+F62</f>
        <v>82216332.027220935</v>
      </c>
      <c r="H61" s="76">
        <f>SUM(H49:H60)+G61+G62</f>
        <v>4313246.9500092147</v>
      </c>
      <c r="I61" s="76">
        <f>SUM(I49:I60)+H61+H62</f>
        <v>-92412487.966985777</v>
      </c>
      <c r="J61" s="76">
        <f>SUM(J49:J60)+I61+I62</f>
        <v>-277535998.86078495</v>
      </c>
      <c r="K61" s="76">
        <f>SUM(K49:K60)+J61+J62</f>
        <v>-532151778.02417517</v>
      </c>
      <c r="L61" s="76">
        <f>SUM(L49:L60)+K61+K62</f>
        <v>-775446748.13985229</v>
      </c>
      <c r="M61" s="76">
        <f>SUM(M49:M60)+L61+L62</f>
        <v>-961907701.11733925</v>
      </c>
      <c r="N61" s="76">
        <f>SUM(N49:N60)+M61+M62</f>
        <v>-998032017.12299931</v>
      </c>
      <c r="O61" s="76">
        <f>SUM(O49:O60)+N61+N62</f>
        <v>-962602952.97241211</v>
      </c>
      <c r="P61" s="76">
        <f>SUM(P49:P60)+O61+O62</f>
        <v>-932560400.92370749</v>
      </c>
      <c r="Q61" s="76">
        <f>SUM(Q49:Q60)+P61+P62</f>
        <v>-902025932.24302518</v>
      </c>
      <c r="R61" s="76">
        <f>SUM(R49:R60)+Q61+Q62</f>
        <v>-870328152.03618908</v>
      </c>
      <c r="S61" s="76">
        <f>SUM(S49:S60)+R61+R62</f>
        <v>-837455427.18793774</v>
      </c>
      <c r="T61" s="76">
        <f>SUM(T49:T60)+S61+S62</f>
        <v>-803396008.2518568</v>
      </c>
      <c r="U61" s="76">
        <f>SUM(U49:U60)+T61+T62</f>
        <v>-768138028.28706825</v>
      </c>
      <c r="V61" s="76">
        <f>SUM(V49:V60)+U61+U62</f>
        <v>-731669501.68328488</v>
      </c>
      <c r="W61" s="76" t="e">
        <f>SUM(W49:W60)+V61+V62</f>
        <v>#REF!</v>
      </c>
      <c r="X61" s="76" t="e">
        <f>SUM(X49:X60)+W61+W62</f>
        <v>#REF!</v>
      </c>
      <c r="Y61" s="76" t="e">
        <f>SUM(Y49:Y60)+X61+X62</f>
        <v>#REF!</v>
      </c>
      <c r="Z61" s="76" t="e">
        <f>SUM(Z49:Z60)+Y61+Y62</f>
        <v>#REF!</v>
      </c>
    </row>
    <row r="62" spans="1:26" ht="15.75" hidden="1" thickBot="1">
      <c r="A62" s="75" t="s">
        <v>35</v>
      </c>
      <c r="B62" s="74" t="e">
        <f>IF(B61&gt;0,B61*$C$68,B61*0)</f>
        <v>#REF!</v>
      </c>
      <c r="C62" s="74">
        <v>0</v>
      </c>
      <c r="D62" s="74">
        <v>0</v>
      </c>
      <c r="E62" s="74">
        <f>IF(E61&gt;0,E61*$C$68,E61*0)</f>
        <v>1900133.4186282628</v>
      </c>
      <c r="F62" s="74">
        <f>IF(F61&gt;0,F61*$C$68,F61*0)</f>
        <v>2075811.8998248039</v>
      </c>
      <c r="G62" s="74">
        <f>IF(G61&gt;0,G61*$C$68,G61*0)</f>
        <v>1233244.9804083139</v>
      </c>
      <c r="H62" s="74">
        <f>IF(H61&gt;0,H61*$C$68,H61*0)</f>
        <v>64698.704250138217</v>
      </c>
      <c r="I62" s="74">
        <f>IF(I61&gt;0,I61*$C$68,I61*0)</f>
        <v>0</v>
      </c>
      <c r="J62" s="74">
        <f>IF(J61&gt;0,J61*$C$68,J61*0)</f>
        <v>0</v>
      </c>
      <c r="K62" s="74">
        <f>IF(K61&gt;0,K61*$C$68,K61*0)</f>
        <v>0</v>
      </c>
      <c r="L62" s="74">
        <f>IF(L61&gt;0,L61*$C$68,L61*0)</f>
        <v>0</v>
      </c>
      <c r="M62" s="74">
        <f>IF(M61&gt;0,M61*$C$68,M61*0)</f>
        <v>0</v>
      </c>
      <c r="N62" s="74">
        <f>IF(N61&gt;0,N61*$C$68,N61*0)</f>
        <v>0</v>
      </c>
      <c r="O62" s="74">
        <f>IF(O61&gt;0,O61*$C$68,O61*0)</f>
        <v>0</v>
      </c>
      <c r="P62" s="74">
        <f>IF(P61&gt;0,P61*$C$68,P61*0)</f>
        <v>0</v>
      </c>
      <c r="Q62" s="74">
        <f>IF(Q61&gt;0,Q61*$C$68,Q61*0)</f>
        <v>0</v>
      </c>
      <c r="R62" s="74">
        <f>IF(R61&gt;0,R61*$C$68,R61*0)</f>
        <v>0</v>
      </c>
      <c r="S62" s="74">
        <f>IF(S61&gt;0,S61*$C$68,S61*0)</f>
        <v>0</v>
      </c>
      <c r="T62" s="74">
        <f>IF(T61&gt;0,T61*$C$68,T61*0)</f>
        <v>0</v>
      </c>
      <c r="U62" s="74">
        <f>IF(U61&gt;0,U61*$C$68,U61*0)</f>
        <v>0</v>
      </c>
      <c r="V62" s="74">
        <f>IF(V61&gt;0,V61*$C$68,V61*0)</f>
        <v>0</v>
      </c>
      <c r="W62" s="74" t="e">
        <f>IF(W61&gt;0,W61*$C$68,W61*0)</f>
        <v>#REF!</v>
      </c>
      <c r="X62" s="74" t="e">
        <f>IF(X61&gt;0,X61*$C$68,X61*0)</f>
        <v>#REF!</v>
      </c>
      <c r="Y62" s="74" t="e">
        <f>IF(Y61&gt;0,Y61*$C$68,Y61*0)</f>
        <v>#REF!</v>
      </c>
      <c r="Z62" s="74" t="e">
        <f>IF(Z61&gt;0,Z61*$C$68,Z61*0)</f>
        <v>#REF!</v>
      </c>
    </row>
    <row r="63" spans="1:22" ht="15" hidden="1">
      <c r="A63" s="63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3"/>
      <c r="O63" s="71"/>
      <c r="P63" s="72"/>
      <c r="Q63" s="71"/>
      <c r="R63" s="71"/>
      <c r="S63" s="71"/>
      <c r="T63" s="71"/>
      <c r="U63" s="71"/>
      <c r="V63" s="71"/>
    </row>
    <row r="64" spans="1:22" ht="15" hidden="1">
      <c r="A64" s="63" t="s">
        <v>34</v>
      </c>
      <c r="B64" s="70">
        <v>0</v>
      </c>
      <c r="C64" s="70">
        <f>C51+B64</f>
        <v>0</v>
      </c>
      <c r="D64" s="70">
        <f>D51+C64</f>
        <v>120000000</v>
      </c>
      <c r="E64" s="70">
        <f>E51+D64</f>
        <v>306682583.03125203</v>
      </c>
      <c r="F64" s="70">
        <f>F51+E64</f>
        <v>516784619.01092917</v>
      </c>
      <c r="G64" s="70">
        <f>G51+F64</f>
        <v>698992875.50892723</v>
      </c>
      <c r="H64" s="70">
        <f>H51+G64</f>
        <v>721971808.9529599</v>
      </c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</row>
    <row r="65" spans="1:22" ht="15" hidden="1">
      <c r="A65" s="63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</row>
    <row r="66" spans="1:20" ht="15" hidden="1" thickBot="1">
      <c r="A66" s="6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</row>
    <row r="67" spans="1:20" ht="15.75" hidden="1" thickBot="1">
      <c r="A67" s="69" t="s">
        <v>33</v>
      </c>
      <c r="B67" s="68"/>
      <c r="C67" s="67">
        <v>0.042999999999999997</v>
      </c>
      <c r="D67" s="67">
        <v>0.042999999999999997</v>
      </c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</row>
    <row r="68" spans="1:20" ht="15.75" hidden="1" thickBot="1">
      <c r="A68" s="66" t="s">
        <v>32</v>
      </c>
      <c r="B68" s="65"/>
      <c r="C68" s="64">
        <v>0.014999999999999999</v>
      </c>
      <c r="D68" s="64">
        <v>0.014999999999999999</v>
      </c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</row>
    <row r="69" spans="1:20" ht="15.75" thickBot="1">
      <c r="A69" s="63"/>
      <c r="B69" s="24"/>
      <c r="C69" s="24"/>
      <c r="D69" s="24"/>
      <c r="E69" s="24"/>
      <c r="F69" s="24"/>
      <c r="G69" s="24"/>
      <c r="H69" s="24"/>
      <c r="I69" s="62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</row>
    <row r="70" spans="1:22" ht="15" thickBot="1">
      <c r="A70" s="61" t="s">
        <v>31</v>
      </c>
      <c r="B70" s="58">
        <f>B2</f>
        <v>2010</v>
      </c>
      <c r="C70" s="58">
        <f>C2</f>
        <v>2011</v>
      </c>
      <c r="D70" s="59">
        <f>D2</f>
        <v>2012</v>
      </c>
      <c r="E70" s="60">
        <f>E2</f>
        <v>2013</v>
      </c>
      <c r="F70" s="58">
        <f>F2</f>
        <v>2014</v>
      </c>
      <c r="G70" s="59">
        <f>G2</f>
        <v>2015</v>
      </c>
      <c r="H70" s="58">
        <f>H2</f>
        <v>2016</v>
      </c>
      <c r="I70" s="58">
        <f>I2</f>
        <v>2017</v>
      </c>
      <c r="J70" s="58">
        <f>J2</f>
        <v>2018</v>
      </c>
      <c r="K70" s="59">
        <f>K2</f>
        <v>2019</v>
      </c>
      <c r="L70" s="58">
        <f>L2</f>
        <v>2020</v>
      </c>
      <c r="M70" s="59">
        <f>M2</f>
        <v>2021</v>
      </c>
      <c r="N70" s="58">
        <f>N2</f>
        <v>2022</v>
      </c>
      <c r="O70" s="59">
        <f>O2</f>
        <v>2023</v>
      </c>
      <c r="P70" s="58">
        <f>P2</f>
        <v>2024</v>
      </c>
      <c r="Q70" s="59">
        <f>Q2</f>
        <v>2025</v>
      </c>
      <c r="R70" s="58">
        <f>R2</f>
        <v>2026</v>
      </c>
      <c r="S70" s="59">
        <f>S2</f>
        <v>2027</v>
      </c>
      <c r="T70" s="58">
        <f>T2</f>
        <v>2028</v>
      </c>
      <c r="U70" s="59">
        <f>U2</f>
        <v>2029</v>
      </c>
      <c r="V70" s="58">
        <f>V2</f>
        <v>2030</v>
      </c>
    </row>
    <row r="71" spans="1:22" ht="14.25">
      <c r="A71" s="57" t="s">
        <v>30</v>
      </c>
      <c r="B71" s="54">
        <v>0.40000000000000002</v>
      </c>
      <c r="C71" s="54">
        <f>0.42*(1+'[1]תעריף טיהור והולכה'!E29)</f>
        <v>0.41999999999999998</v>
      </c>
      <c r="D71" s="55">
        <f>0.536/1.16</f>
        <v>0.46206896551724141</v>
      </c>
      <c r="E71" s="56">
        <f>D71</f>
        <v>0.46206896551724141</v>
      </c>
      <c r="F71" s="54">
        <f>(E71+0.15)*(1+'[1]תעריף טיהור והולכה'!E29)</f>
        <v>0.61206896551724144</v>
      </c>
      <c r="G71" s="55">
        <f>(F71-0.195)*(1+'[1]תעריף טיהור והולכה'!F29)</f>
        <v>0.41706896551724143</v>
      </c>
      <c r="H71" s="54">
        <f>G71*(1+'[1]תעריף טיהור והולכה'!G29)-'[1]ניתוח שפדן השקעות קיימות'!B11</f>
        <v>0.41706896551724143</v>
      </c>
      <c r="I71" s="55">
        <f>(H71)*(1+'[1]תעריף טיהור והולכה'!H29)</f>
        <v>0.41706896551724143</v>
      </c>
      <c r="J71" s="54">
        <f>I71*(1+'[1]תעריף טיהור והולכה'!I29)</f>
        <v>0.41706896551724143</v>
      </c>
      <c r="K71" s="55">
        <f>J71*(1+'[1]תעריף טיהור והולכה'!J29)</f>
        <v>0.41706896551724143</v>
      </c>
      <c r="L71" s="54">
        <f>K71*(1+'[1]תעריף טיהור והולכה'!K29)</f>
        <v>0.41706896551724143</v>
      </c>
      <c r="M71" s="55">
        <f>L71*(1+'[1]תעריף טיהור והולכה'!L29)</f>
        <v>0.41706896551724143</v>
      </c>
      <c r="N71" s="54">
        <f>M71*(1+'[1]תעריף טיהור והולכה'!M29)-'[1]ניתוח שפדן השקעות קיימות'!B12</f>
        <v>0.27706896551724142</v>
      </c>
      <c r="O71" s="55">
        <f>N71*(1+'[1]תעריף טיהור והולכה'!N29)</f>
        <v>0.27706896551724142</v>
      </c>
      <c r="P71" s="54">
        <f>O71*(1+'[1]תעריף טיהור והולכה'!O29)</f>
        <v>0.27706896551724142</v>
      </c>
      <c r="Q71" s="55">
        <f>P71*(1+'[1]תעריף טיהור והולכה'!P29)</f>
        <v>0.27706896551724142</v>
      </c>
      <c r="R71" s="54">
        <f>Q71*(1+'[1]תעריף טיהור והולכה'!Q29)</f>
        <v>0.27706896551724142</v>
      </c>
      <c r="S71" s="55">
        <f>R71*(1+'[1]תעריף טיהור והולכה'!R29)</f>
        <v>0.27706896551724142</v>
      </c>
      <c r="T71" s="54">
        <f>S71*(1+'[1]תעריף טיהור והולכה'!S29)</f>
        <v>0.27706896551724142</v>
      </c>
      <c r="U71" s="55">
        <f>T71*(1+'[1]תעריף טיהור והולכה'!T29)</f>
        <v>0.27706896551724142</v>
      </c>
      <c r="V71" s="54">
        <f>U71*(1+'[1]תעריף טיהור והולכה'!U29)</f>
        <v>0.27706896551724142</v>
      </c>
    </row>
    <row r="72" spans="1:22" ht="14.25">
      <c r="A72" s="53" t="s">
        <v>29</v>
      </c>
      <c r="B72" s="43">
        <f>'[1]כמויות מים'!C176+'[1]כמויות מים'!C177+'[1]כמויות מים'!C178+'[1]כמויות מים'!C179+'[1]כמויות מים'!C181+'[1]כמויות מים'!C182+'[1]כמויות מים'!C183</f>
        <v>95830436.876228079</v>
      </c>
      <c r="C72" s="43">
        <f>'[1]כמויות מים'!B176+'[1]כמויות מים'!B177+'[1]כמויות מים'!B178+'[1]כמויות מים'!B179+'[1]כמויות מים'!B181+'[1]כמויות מים'!B182+'[1]כמויות מים'!B183</f>
        <v>93469142</v>
      </c>
      <c r="D72" s="44">
        <f>C72*(1+'[1]תעריף טיהור והולכה'!$F$23)</f>
        <v>94403833.420000002</v>
      </c>
      <c r="E72" s="45">
        <f>D72*(1+'[1]תעריף טיהור והולכה'!$F$23)</f>
        <v>95347871.754199997</v>
      </c>
      <c r="F72" s="43">
        <f>E72*(1+'[1]תעריף טיהור והולכה'!$F$23)-'ניתוח פעילות מאוחד לפני השקעות '!E145</f>
        <v>92301350.471742004</v>
      </c>
      <c r="G72" s="44">
        <f>F72*(1+'[1]תעריף טיהור והולכה'!$F$23)+3500000</f>
        <v>96724363.976459429</v>
      </c>
      <c r="H72" s="43">
        <f>G72*(1+'[1]תעריף טיהור והולכה'!$F$23)-2700000</f>
        <v>94991607.616224021</v>
      </c>
      <c r="I72" s="44">
        <f>H72*(1+'[1]תעריף טיהור והולכה'!$F$23)</f>
        <v>95941523.692386255</v>
      </c>
      <c r="J72" s="43">
        <f>I72*(1+'[1]תעריף טיהור והולכה'!$F$23)</f>
        <v>96900938.929310113</v>
      </c>
      <c r="K72" s="44">
        <f>J72*(1+'[1]תעריף טיהור והולכה'!$F$23)</f>
        <v>97869948.318603218</v>
      </c>
      <c r="L72" s="43">
        <f>K72*(1+'[1]תעריף טיהור והולכה'!$F$23)</f>
        <v>98848647.801789254</v>
      </c>
      <c r="M72" s="44">
        <f>L72*(1+'[1]תעריף טיהור והולכה'!$F$23)</f>
        <v>99837134.27980715</v>
      </c>
      <c r="N72" s="43">
        <f>M72*(1+'[1]תעריף טיהור והולכה'!$F$23)</f>
        <v>100835505.62260522</v>
      </c>
      <c r="O72" s="44">
        <f>N72*(1+'[1]תעריף טיהור והולכה'!$F$23)</f>
        <v>101843860.67883128</v>
      </c>
      <c r="P72" s="43">
        <f>O72*(1+'[1]תעריף טיהור והולכה'!$F$23)</f>
        <v>102862299.28561959</v>
      </c>
      <c r="Q72" s="44">
        <f>P72*(1+'[1]תעריף טיהור והולכה'!$F$23)</f>
        <v>103890922.27847578</v>
      </c>
      <c r="R72" s="43">
        <f>Q72*(1+'[1]תעריף טיהור והולכה'!$F$23)</f>
        <v>104929831.50126053</v>
      </c>
      <c r="S72" s="44">
        <f>R72*(1+'[1]תעריף טיהור והולכה'!$F$23)</f>
        <v>105979129.81627314</v>
      </c>
      <c r="T72" s="43">
        <f>S72*(1+'[1]תעריף טיהור והולכה'!$F$23)</f>
        <v>107038921.11443587</v>
      </c>
      <c r="U72" s="44">
        <f>T72*(1+'[1]תעריף טיהור והולכה'!$F$23)</f>
        <v>108109310.32558022</v>
      </c>
      <c r="V72" s="43">
        <f>U72*(1+'[1]תעריף טיהור והולכה'!$F$23)</f>
        <v>109190403.42883603</v>
      </c>
    </row>
    <row r="73" spans="1:22" ht="14.25">
      <c r="A73" s="46" t="s">
        <v>28</v>
      </c>
      <c r="B73" s="52">
        <v>0</v>
      </c>
      <c r="C73" s="51">
        <f>0.058/1.16</f>
        <v>0.050000000000000003</v>
      </c>
      <c r="D73" s="50">
        <f>0.546/1.16</f>
        <v>0.47068965517241385</v>
      </c>
      <c r="E73" s="49">
        <f>0.719/1.16*(1+'[1]תעריף טיהור והולכה'!E29)^2</f>
        <v>0.6198275862068966</v>
      </c>
      <c r="F73" s="47">
        <f>E73*(1+'[1]תעריף טיהור והולכה'!E29)</f>
        <v>0.6198275862068966</v>
      </c>
      <c r="G73" s="48">
        <f>F73*(1+'[1]תעריף טיהור והולכה'!F29)</f>
        <v>0.6198275862068966</v>
      </c>
      <c r="H73" s="47">
        <f>G73*(1+'[1]תעריף טיהור והולכה'!G29)</f>
        <v>0.6198275862068966</v>
      </c>
      <c r="I73" s="48">
        <f>(0.62)*(1+'[1]תעריף טיהור והולכה'!H29)+I116</f>
        <v>0.87</v>
      </c>
      <c r="J73" s="47">
        <f>I73*(1+'[1]תעריף טיהור והולכה'!I29)+J116</f>
        <v>1.1799999999999999</v>
      </c>
      <c r="K73" s="47">
        <f>J73*(1+'[1]תעריף טיהור והולכה'!J29)+K116</f>
        <v>1.1799999999999999</v>
      </c>
      <c r="L73" s="47">
        <f>K73*(1+'[1]תעריף טיהור והולכה'!K29)+L116</f>
        <v>1.1799999999999999</v>
      </c>
      <c r="M73" s="47">
        <f>L73*(1+'[1]תעריף טיהור והולכה'!L29)+M116</f>
        <v>1.21</v>
      </c>
      <c r="N73" s="47">
        <f>M73*(1+'[1]תעריף טיהור והולכה'!M29)+N116</f>
        <v>1.28</v>
      </c>
      <c r="O73" s="47">
        <f>N73*(1+'[1]תעריף טיהור והולכה'!N29)+O116</f>
        <v>1.2450000000000001</v>
      </c>
      <c r="P73" s="47">
        <f>O73*(1+'[1]תעריף טיהור והולכה'!O29)+P116</f>
        <v>1.2250000000000001</v>
      </c>
      <c r="Q73" s="47">
        <f>P73*(1+'[1]תעריף טיהור והולכה'!P29)+Q116</f>
        <v>1.2200000000000002</v>
      </c>
      <c r="R73" s="47">
        <f>Q73*(1+'[1]תעריף טיהור והולכה'!Q29)</f>
        <v>1.2200000000000002</v>
      </c>
      <c r="S73" s="48">
        <f>R73*(1+'[1]תעריף טיהור והולכה'!R29)</f>
        <v>1.2200000000000002</v>
      </c>
      <c r="T73" s="47">
        <f>S73*(1+'[1]תעריף טיהור והולכה'!S29)</f>
        <v>1.2200000000000002</v>
      </c>
      <c r="U73" s="48">
        <f>T73*(1+'[1]תעריף טיהור והולכה'!T29)</f>
        <v>1.2200000000000002</v>
      </c>
      <c r="V73" s="47">
        <f>U73*(1+'[1]תעריף טיהור והולכה'!U29)</f>
        <v>1.2200000000000002</v>
      </c>
    </row>
    <row r="74" spans="1:22" ht="14.25">
      <c r="A74" s="46" t="s">
        <v>27</v>
      </c>
      <c r="B74" s="43">
        <f>'[1]הכנסות מרשויות שבהסכם'!B158</f>
        <v>38548004</v>
      </c>
      <c r="C74" s="43">
        <f>'[1]הכנסות מרשויות שבהסכם'!C158</f>
        <v>41865101.07</v>
      </c>
      <c r="D74" s="44">
        <f>'[1]הכנסות מרשויות שבהסכם'!D158</f>
        <v>41939871.07</v>
      </c>
      <c r="E74" s="45">
        <f>'[1]הכנסות מרשויות שבהסכם'!E158</f>
        <v>41937738.180700004</v>
      </c>
      <c r="F74" s="43">
        <f>'[1]הכנסות מרשויות שבהסכם'!F158</f>
        <v>42357115.562507004</v>
      </c>
      <c r="G74" s="44">
        <f>'[1]הכנסות מרשויות שבהסכם'!G158</f>
        <v>42780686.718132064</v>
      </c>
      <c r="H74" s="43">
        <f>'[1]הכנסות מרשויות שבהסכם'!H158</f>
        <v>43208493.585313387</v>
      </c>
      <c r="I74" s="44">
        <f>'[1]הכנסות מרשויות שבהסכם'!I158</f>
        <v>43640578.521166533</v>
      </c>
      <c r="J74" s="43">
        <f>'[1]הכנסות מרשויות שבהסכם'!J158</f>
        <v>44076984.306378201</v>
      </c>
      <c r="K74" s="44">
        <f>'[1]הכנסות מרשויות שבהסכם'!K158</f>
        <v>44517754.14944198</v>
      </c>
      <c r="L74" s="43">
        <f>'[1]הכנסות מרשויות שבהסכם'!L158</f>
        <v>44962931.690936401</v>
      </c>
      <c r="M74" s="44">
        <f>'[1]הכנסות מרשויות שבהסכם'!M158</f>
        <v>45412561.007845759</v>
      </c>
      <c r="N74" s="43">
        <f>'[1]הכנסות מרשויות שבהסכם'!N158</f>
        <v>45866686.617924221</v>
      </c>
      <c r="O74" s="44">
        <f>'[1]הכנסות מרשויות שבהסכם'!O158</f>
        <v>46325353.484103464</v>
      </c>
      <c r="P74" s="43">
        <f>'[1]הכנסות מרשויות שבהסכם'!P158</f>
        <v>46788607.018944494</v>
      </c>
      <c r="Q74" s="44">
        <f>'[1]הכנסות מרשויות שבהסכם'!Q158</f>
        <v>47256493.089133933</v>
      </c>
      <c r="R74" s="43">
        <f>'[1]הכנסות מרשויות שבהסכם'!R158</f>
        <v>47729058.020025283</v>
      </c>
      <c r="S74" s="44">
        <f>'[1]הכנסות מרשויות שבהסכם'!S158</f>
        <v>48206348.600225531</v>
      </c>
      <c r="T74" s="43">
        <f>'[1]הכנסות מרשויות שבהסכם'!T158</f>
        <v>48688412.086227804</v>
      </c>
      <c r="U74" s="44">
        <f>'[1]הכנסות מרשויות שבהסכם'!U158</f>
        <v>49175296.20709008</v>
      </c>
      <c r="V74" s="43">
        <f>'[1]הכנסות מרשויות שבהסכם'!V158</f>
        <v>49667049.169160977</v>
      </c>
    </row>
    <row r="75" spans="1:22" ht="15" thickBot="1">
      <c r="A75" s="42" t="s">
        <v>26</v>
      </c>
      <c r="B75" s="40">
        <f>B74+B72-'[1]הכנסות מרשויות שבהסכם'!B148</f>
        <v>121138444.87622809</v>
      </c>
      <c r="C75" s="40">
        <f>C74+C72-'[1]הכנסות מרשויות שבהסכם'!C148</f>
        <v>119491260.06999999</v>
      </c>
      <c r="D75" s="40">
        <f>D74+D72-'[1]הכנסות מרשויות שבהסכם'!D148</f>
        <v>120500721.49000001</v>
      </c>
      <c r="E75" s="41">
        <f>E74+E72-'[1]הכנסות מרשויות שבהסכם'!E148</f>
        <v>121284197.10489999</v>
      </c>
      <c r="F75" s="40">
        <f>F74+F72-'[1]הכנסות מרשויות שבהסכם'!F148</f>
        <v>118497039.07594901</v>
      </c>
      <c r="G75" s="40">
        <f>G74+G72-'[1]הכנסות מרשויות שבהסכם'!G148</f>
        <v>123182009.4667085</v>
      </c>
      <c r="H75" s="40">
        <f>H74+H72-'[1]הכנסות מרשויות שבהסכם'!H148</f>
        <v>121713829.56137557</v>
      </c>
      <c r="I75" s="40">
        <f>I74+I72-'[1]הכנסות מרשויות שבהסכם'!I148</f>
        <v>122930967.85698932</v>
      </c>
      <c r="J75" s="40">
        <f>J74+J72-'[1]הכנסות מרשויות שבהסכם'!I148</f>
        <v>124326788.87912488</v>
      </c>
      <c r="K75" s="40">
        <f>K74+K72-'[1]הכנסות מרשויות שבהסכם'!J148</f>
        <v>125570056.76791611</v>
      </c>
      <c r="L75" s="40">
        <f>L74+L72-'[1]הכנסות מרשויות שבהסכם'!K148</f>
        <v>126825757.3355953</v>
      </c>
      <c r="M75" s="40">
        <f>M74+M72-'[1]הכנסות מרשויות שבהסכם'!L148</f>
        <v>128094014.90895122</v>
      </c>
      <c r="N75" s="40">
        <f>N74+N72-'[1]הכנסות מרשויות שבהסכם'!M148</f>
        <v>129374955.05804075</v>
      </c>
      <c r="O75" s="40">
        <f>O74+O72-'[1]הכנסות מרשויות שבהסכם'!N148</f>
        <v>130668704.60862117</v>
      </c>
      <c r="P75" s="40">
        <f>P74+P72-'[1]הכנסות מרשויות שבהסכם'!O148</f>
        <v>131975391.65470737</v>
      </c>
      <c r="Q75" s="40">
        <f>Q74+Q72-'[1]הכנסות מרשויות שבהסכם'!P148</f>
        <v>133295145.57125443</v>
      </c>
      <c r="R75" s="40">
        <f>R74+R72-'[1]הכנסות מרשויות שבהסכם'!Q148</f>
        <v>134628097.02696699</v>
      </c>
      <c r="S75" s="40">
        <f>S74+S72-'[1]הכנסות מרשויות שבהסכם'!R148</f>
        <v>135974377.99723664</v>
      </c>
      <c r="T75" s="40">
        <f>T74+T72-'[1]הכנסות מרשויות שבהסכם'!S148</f>
        <v>137334121.77720904</v>
      </c>
      <c r="U75" s="40">
        <f>U74+U72-'[1]הכנסות מרשויות שבהסכם'!T148</f>
        <v>138707462.99498111</v>
      </c>
      <c r="V75" s="40">
        <f>V74+V72-'[1]הכנסות מרשויות שבהסכם'!U148</f>
        <v>140094537.62493092</v>
      </c>
    </row>
    <row r="76" spans="2:4" ht="14.25">
      <c r="B76" s="7"/>
      <c r="C76" s="3">
        <f>C75-C72</f>
        <v>26022118.069999993</v>
      </c>
      <c r="D76" s="7"/>
    </row>
    <row r="77" spans="2:5" ht="14.25" hidden="1">
      <c r="B77" s="39">
        <f>B71*1.16</f>
        <v>0.46399999999999997</v>
      </c>
      <c r="C77" s="39">
        <f>C71*1.16</f>
        <v>0.48719999999999997</v>
      </c>
      <c r="D77" s="39">
        <f>D71*1.16</f>
        <v>0.53600000000000003</v>
      </c>
      <c r="E77" s="39">
        <f>E71*1.16</f>
        <v>0.53600000000000003</v>
      </c>
    </row>
    <row r="78" spans="2:5" ht="14.25" hidden="1">
      <c r="B78" s="39">
        <f>B73*1.16</f>
        <v>0</v>
      </c>
      <c r="C78" s="39">
        <f>C73*1.16</f>
        <v>0.057999999999999996</v>
      </c>
      <c r="D78" s="39">
        <f>D73*1.16</f>
        <v>0.54600000000000004</v>
      </c>
      <c r="E78" s="39">
        <f>E73*1.16</f>
        <v>0.71899999999999997</v>
      </c>
    </row>
    <row r="79" spans="2:5" ht="14.25" hidden="1" thickBot="1">
      <c r="B79">
        <f>'עלויות המטש'!B77</f>
        <v>1.1399999999999999</v>
      </c>
      <c r="C79">
        <f>'עלויות המטש'!C77</f>
        <v>1.226</v>
      </c>
      <c r="D79">
        <f>'עלויות המטש'!D77</f>
        <v>1.4079999999999999</v>
      </c>
      <c r="E79">
        <f>'עלויות המטש'!E77</f>
        <v>1.7121034482758621</v>
      </c>
    </row>
    <row r="80" spans="1:9" ht="15" hidden="1" thickBot="1">
      <c r="A80" s="4" t="s">
        <v>25</v>
      </c>
      <c r="B80">
        <f>SUM(B77:B79)</f>
        <v>1.6039999999999999</v>
      </c>
      <c r="C80">
        <f>SUM(C77:C79)</f>
        <v>1.7711999999999999</v>
      </c>
      <c r="D80">
        <f>SUM(D77:D79)</f>
        <v>2.4900000000000002</v>
      </c>
      <c r="E80">
        <f>SUM(E77:E79)</f>
        <v>2.967103448275862</v>
      </c>
      <c r="F80" s="38">
        <f>F73+F71+'עלויות המטש'!F77</f>
        <v>2.6619999999999999</v>
      </c>
      <c r="I80" s="22">
        <f>C5+D5+E5+F5+G5</f>
        <v>287667638.48120159</v>
      </c>
    </row>
    <row r="81" spans="1:9" ht="14.25" hidden="1">
      <c r="A81" s="4"/>
      <c r="I81">
        <f>I80/5</f>
        <v>57533527.696240321</v>
      </c>
    </row>
    <row r="82" spans="1:5" ht="14.25" hidden="1" thickBot="1">
      <c r="A82" s="4"/>
      <c r="E82" s="6">
        <f>E71+E73+'עלויות המטש'!E77</f>
        <v>2.794</v>
      </c>
    </row>
    <row r="83" spans="1:31" ht="14.25" hidden="1">
      <c r="A83" s="37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AA83" s="36"/>
      <c r="AB83" s="36"/>
      <c r="AC83" s="36"/>
      <c r="AD83" s="36"/>
      <c r="AE83" s="35"/>
    </row>
    <row r="84" spans="1:31" ht="15" hidden="1">
      <c r="A84" s="32" t="s">
        <v>24</v>
      </c>
      <c r="C84" s="34">
        <f>C70</f>
        <v>2011</v>
      </c>
      <c r="D84" s="34">
        <f>D70</f>
        <v>2012</v>
      </c>
      <c r="E84" s="34">
        <f>E70</f>
        <v>2013</v>
      </c>
      <c r="F84" s="34">
        <f>F70</f>
        <v>2014</v>
      </c>
      <c r="G84" s="34">
        <f>G70</f>
        <v>2015</v>
      </c>
      <c r="H84" s="34">
        <f>H70</f>
        <v>2016</v>
      </c>
      <c r="I84" s="34">
        <f>I70</f>
        <v>2017</v>
      </c>
      <c r="J84" s="34">
        <f>J70</f>
        <v>2018</v>
      </c>
      <c r="K84" s="34">
        <f>K70</f>
        <v>2019</v>
      </c>
      <c r="L84" s="34">
        <f>L70</f>
        <v>2020</v>
      </c>
      <c r="M84" s="34">
        <f>M70</f>
        <v>2021</v>
      </c>
      <c r="N84" s="34">
        <f>N70</f>
        <v>2022</v>
      </c>
      <c r="O84" s="34">
        <f>O70</f>
        <v>2023</v>
      </c>
      <c r="P84" s="34">
        <f>P70</f>
        <v>2024</v>
      </c>
      <c r="Q84" s="34">
        <f>Q70</f>
        <v>2025</v>
      </c>
      <c r="R84" s="34">
        <f>R70</f>
        <v>2026</v>
      </c>
      <c r="S84" s="34">
        <f>S70</f>
        <v>2027</v>
      </c>
      <c r="T84" s="34">
        <f>T70</f>
        <v>2028</v>
      </c>
      <c r="U84" s="34">
        <f>U70</f>
        <v>2029</v>
      </c>
      <c r="V84" s="34">
        <f>V70</f>
        <v>2030</v>
      </c>
      <c r="AA84" s="34">
        <f>V84+1</f>
        <v>2031</v>
      </c>
      <c r="AB84" s="34">
        <f>AA84+1</f>
        <v>2032</v>
      </c>
      <c r="AC84" s="34">
        <f>Y70</f>
        <v>0</v>
      </c>
      <c r="AD84" s="34"/>
      <c r="AE84" s="34"/>
    </row>
    <row r="85" spans="1:31" ht="15" hidden="1">
      <c r="A85" s="32" t="s">
        <v>23</v>
      </c>
      <c r="C85" s="22">
        <f>C39</f>
        <v>2661675.8998684105</v>
      </c>
      <c r="D85" s="22">
        <f>D39</f>
        <v>7219203.5253370665</v>
      </c>
      <c r="E85" s="22">
        <f>E39</f>
        <v>2902884.5819347017</v>
      </c>
      <c r="F85" s="22">
        <f>F39</f>
        <v>6639160.0828434629</v>
      </c>
      <c r="G85" s="22">
        <f>G39</f>
        <v>6198531.9065791648</v>
      </c>
      <c r="H85" s="22">
        <f>H39</f>
        <v>0</v>
      </c>
      <c r="I85" s="22">
        <f>I39</f>
        <v>0</v>
      </c>
      <c r="J85" s="22">
        <f>J39</f>
        <v>0</v>
      </c>
      <c r="AE85" s="20"/>
    </row>
    <row r="86" spans="1:31" ht="15" hidden="1">
      <c r="A86" s="32" t="s">
        <v>22</v>
      </c>
      <c r="C86" s="33">
        <v>818910.3740754443</v>
      </c>
      <c r="D86" s="33">
        <v>-1946458.5089235529</v>
      </c>
      <c r="E86" s="33">
        <v>-2067023.4518877864</v>
      </c>
      <c r="F86" s="33">
        <v>-2052816.8746497892</v>
      </c>
      <c r="G86" s="33">
        <v>-19911698.570125185</v>
      </c>
      <c r="H86" s="33">
        <v>2333062.9526176602</v>
      </c>
      <c r="I86" s="33">
        <v>6855396.9193615578</v>
      </c>
      <c r="J86" s="33">
        <v>7358571.4927928615</v>
      </c>
      <c r="K86" s="33">
        <v>7903387.7246224647</v>
      </c>
      <c r="L86" s="33">
        <v>8447166.5740038119</v>
      </c>
      <c r="AE86" s="20"/>
    </row>
    <row r="87" spans="1:31" ht="15" hidden="1">
      <c r="A87" s="32" t="s">
        <v>21</v>
      </c>
      <c r="C87" s="22">
        <f>C86-C85</f>
        <v>-1842765.5257929661</v>
      </c>
      <c r="D87" s="22">
        <f>-D85</f>
        <v>-7219203.5253370665</v>
      </c>
      <c r="E87" s="22">
        <f>-E85</f>
        <v>-2902884.5819347017</v>
      </c>
      <c r="F87" s="22">
        <f>-F85</f>
        <v>-6639160.0828434629</v>
      </c>
      <c r="G87" s="22">
        <v>0</v>
      </c>
      <c r="H87" s="2">
        <f>H86</f>
        <v>2333062.9526176602</v>
      </c>
      <c r="I87" s="2">
        <f>I86</f>
        <v>6855396.9193615578</v>
      </c>
      <c r="J87" s="2">
        <f>J86</f>
        <v>7358571.4927928615</v>
      </c>
      <c r="K87" s="2">
        <f>K86</f>
        <v>7903387.7246224647</v>
      </c>
      <c r="L87" s="2">
        <f>L86</f>
        <v>8447166.5740038119</v>
      </c>
      <c r="AE87" s="20"/>
    </row>
    <row r="88" spans="1:31" ht="15" hidden="1">
      <c r="A88" s="32"/>
      <c r="AE88" s="20"/>
    </row>
    <row r="89" spans="1:31" ht="15" hidden="1">
      <c r="A89" s="32" t="s">
        <v>20</v>
      </c>
      <c r="D89" s="22">
        <f>D87</f>
        <v>-7219203.5253370665</v>
      </c>
      <c r="E89" s="22">
        <f>E87+D89</f>
        <v>-10122088.107271768</v>
      </c>
      <c r="F89" s="22">
        <f>F87+E89</f>
        <v>-16761248.190115232</v>
      </c>
      <c r="G89" s="22">
        <f>G87+F89</f>
        <v>-16761248.190115232</v>
      </c>
      <c r="H89" s="22">
        <f>H87+G89</f>
        <v>-14428185.237497572</v>
      </c>
      <c r="I89" s="22">
        <f>I87+H89</f>
        <v>-7572788.318136014</v>
      </c>
      <c r="J89" s="22">
        <f>J87+I89</f>
        <v>-214216.82534315251</v>
      </c>
      <c r="K89" s="22">
        <f>K87+J89</f>
        <v>7689170.8992793122</v>
      </c>
      <c r="L89" s="22">
        <f>L87+K89</f>
        <v>16136337.473283123</v>
      </c>
      <c r="AE89" s="20"/>
    </row>
    <row r="90" spans="1:31" ht="15" hidden="1">
      <c r="A90" s="32" t="s">
        <v>18</v>
      </c>
      <c r="AE90" s="20"/>
    </row>
    <row r="91" spans="1:31" ht="15" hidden="1">
      <c r="A91" s="31" t="s">
        <v>17</v>
      </c>
      <c r="C91" s="4" t="s">
        <v>19</v>
      </c>
      <c r="AE91" s="20"/>
    </row>
    <row r="92" spans="1:31" ht="14.25" hidden="1">
      <c r="A92" s="21"/>
      <c r="AE92" s="20"/>
    </row>
    <row r="93" spans="1:31" s="26" customFormat="1" ht="15" hidden="1">
      <c r="A93" s="32" t="s">
        <v>18</v>
      </c>
      <c r="B93" s="28"/>
      <c r="C93" s="28">
        <f>C89/2*$A$96+B89*$A$96</f>
        <v>0</v>
      </c>
      <c r="D93" s="28">
        <f>D89/2*$A$96+C89*$A$96</f>
        <v>-180480.08813342667</v>
      </c>
      <c r="E93" s="28">
        <f>E89/2*$A$96+D89*$A$96</f>
        <v>-614012.37894864753</v>
      </c>
      <c r="F93" s="28">
        <f>F89/2*$A$96+E89*$A$96</f>
        <v>-925135.61011646921</v>
      </c>
      <c r="G93" s="28">
        <f>G89/2*$A$96+F89*$A$96</f>
        <v>-1257093.6142586425</v>
      </c>
      <c r="H93" s="28">
        <f>H89/2*$A$96+G89*$A$96</f>
        <v>-1198767.0404432011</v>
      </c>
      <c r="I93" s="28">
        <f>I89/2*$A$96+H89*$A$96</f>
        <v>-910728.96982827899</v>
      </c>
      <c r="J93" s="28">
        <f>J89/2*$A$96+I89*$A$96</f>
        <v>-383994.8365403795</v>
      </c>
      <c r="K93" s="28">
        <f>K89/2*$A$96+J89*$A$96</f>
        <v>181518.43121482519</v>
      </c>
      <c r="L93" s="28">
        <f>L89/2*$A$96+K89*$A$96</f>
        <v>787866.98179604369</v>
      </c>
      <c r="M93" s="28">
        <f>M89/2*$A$96+L89*$A$96</f>
        <v>806816.87366415618</v>
      </c>
      <c r="N93" s="28">
        <f>N92/2*$A$66+M92*$A$66</f>
        <v>0</v>
      </c>
      <c r="O93" s="28">
        <f>O92/2*$A$66+N92*$A$66</f>
        <v>0</v>
      </c>
      <c r="P93" s="28">
        <f>P92/2*$A$66+O92*$A$66</f>
        <v>0</v>
      </c>
      <c r="Q93" s="28">
        <f>Q92/2*$A$66+P92*$A$66</f>
        <v>0</v>
      </c>
      <c r="R93" s="28">
        <f>R92/2*$A$66+Q92*$A$66</f>
        <v>0</v>
      </c>
      <c r="S93" s="28">
        <f>S92/2*$A$66+R92*$A$66</f>
        <v>0</v>
      </c>
      <c r="T93" s="28">
        <f>T92/2*$A$66+S92*$A$66</f>
        <v>0</v>
      </c>
      <c r="U93" s="28">
        <f>U92/2*$A$66+T92*$A$66</f>
        <v>0</v>
      </c>
      <c r="V93" s="28"/>
      <c r="AA93" s="28"/>
      <c r="AB93" s="28"/>
      <c r="AC93" s="28"/>
      <c r="AD93" s="28"/>
      <c r="AE93" s="27"/>
    </row>
    <row r="94" spans="1:31" s="26" customFormat="1" ht="15" hidden="1">
      <c r="A94" s="31" t="s">
        <v>17</v>
      </c>
      <c r="B94" s="30"/>
      <c r="C94" s="30">
        <f>C93+B94</f>
        <v>0</v>
      </c>
      <c r="D94" s="30">
        <f>D89+C94</f>
        <v>-7219203.5253370665</v>
      </c>
      <c r="E94" s="30">
        <f>E90+D94</f>
        <v>-7219203.5253370665</v>
      </c>
      <c r="F94" s="30">
        <f>F90+E94</f>
        <v>-7219203.5253370665</v>
      </c>
      <c r="G94" s="30">
        <f>G90+F94</f>
        <v>-7219203.5253370665</v>
      </c>
      <c r="H94" s="30">
        <f>H90+G94</f>
        <v>-7219203.5253370665</v>
      </c>
      <c r="I94" s="30">
        <f>I90+H94</f>
        <v>-7219203.5253370665</v>
      </c>
      <c r="J94" s="30">
        <f>J90+I94</f>
        <v>-7219203.5253370665</v>
      </c>
      <c r="K94" s="30">
        <f>K90+J94</f>
        <v>-7219203.5253370665</v>
      </c>
      <c r="L94" s="30">
        <f>L90+K94</f>
        <v>-7219203.5253370665</v>
      </c>
      <c r="M94" s="30">
        <f>M90+L94</f>
        <v>-7219203.5253370665</v>
      </c>
      <c r="N94" s="30">
        <f>N90+M94</f>
        <v>-7219203.5253370665</v>
      </c>
      <c r="O94" s="30">
        <f>O90+N94</f>
        <v>-7219203.5253370665</v>
      </c>
      <c r="P94" s="30">
        <f>P90+O94</f>
        <v>-7219203.5253370665</v>
      </c>
      <c r="Q94" s="30">
        <f>Q90+P94</f>
        <v>-7219203.5253370665</v>
      </c>
      <c r="R94" s="30">
        <f>R90+Q94</f>
        <v>-7219203.5253370665</v>
      </c>
      <c r="S94" s="30">
        <f>S90+R94</f>
        <v>-7219203.5253370665</v>
      </c>
      <c r="T94" s="30">
        <f>T90+S94</f>
        <v>-7219203.5253370665</v>
      </c>
      <c r="U94" s="30">
        <f>U90+T94</f>
        <v>-7219203.5253370665</v>
      </c>
      <c r="V94" s="28"/>
      <c r="AA94" s="28"/>
      <c r="AB94" s="28"/>
      <c r="AC94" s="28"/>
      <c r="AD94" s="28"/>
      <c r="AE94" s="27"/>
    </row>
    <row r="95" spans="1:31" s="26" customFormat="1" ht="15" hidden="1">
      <c r="A95" s="29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AA95" s="28"/>
      <c r="AB95" s="28"/>
      <c r="AC95" s="28"/>
      <c r="AD95" s="28"/>
      <c r="AE95" s="27"/>
    </row>
    <row r="96" spans="1:31" ht="15" hidden="1">
      <c r="A96" s="25">
        <v>0.050000000000000003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AE96" s="20"/>
    </row>
    <row r="97" spans="1:31" ht="14.25" hidden="1">
      <c r="A97" s="21"/>
      <c r="AE97" s="20"/>
    </row>
    <row r="98" spans="1:31" ht="14.25" hidden="1">
      <c r="A98" s="19" t="s">
        <v>16</v>
      </c>
      <c r="C98" s="22">
        <f>C51</f>
        <v>0</v>
      </c>
      <c r="D98" s="22">
        <f>D51</f>
        <v>120000000</v>
      </c>
      <c r="E98" s="22">
        <f>E51</f>
        <v>186682583.031252</v>
      </c>
      <c r="F98" s="22">
        <f>F51</f>
        <v>210102035.97967714</v>
      </c>
      <c r="G98" s="22">
        <f>G51</f>
        <v>182208256.49799809</v>
      </c>
      <c r="H98" s="22">
        <f>H51</f>
        <v>22978933.444032617</v>
      </c>
      <c r="AE98" s="20"/>
    </row>
    <row r="99" spans="1:31" ht="14.25" hidden="1">
      <c r="A99" s="19" t="s">
        <v>15</v>
      </c>
      <c r="C99" s="22">
        <f>'[1]תקציב אגודה (2)'!C47</f>
        <v>0</v>
      </c>
      <c r="D99" s="23">
        <f>'[1]תקציב אגודה (2)'!D47</f>
        <v>175828975.2905446</v>
      </c>
      <c r="E99" s="23">
        <f>'[1]תקציב אגודה (2)'!E47</f>
        <v>227683819.78094888</v>
      </c>
      <c r="F99" s="23">
        <f>'[1]תקציב אגודה (2)'!F47</f>
        <v>162524050.93698785</v>
      </c>
      <c r="G99" s="23">
        <f>'[1]תקציב אגודה (2)'!G47</f>
        <v>90613214.728328362</v>
      </c>
      <c r="H99" s="22">
        <f>'[1]תקציב אגודה (2)'!H47</f>
        <v>0</v>
      </c>
      <c r="AE99" s="20"/>
    </row>
    <row r="100" spans="1:31" ht="14.25" hidden="1">
      <c r="A100" s="19" t="s">
        <v>14</v>
      </c>
      <c r="D100" s="22">
        <f>D98-D99</f>
        <v>-55828975.290544599</v>
      </c>
      <c r="E100" s="22">
        <f>E98-E99</f>
        <v>-41001236.749696881</v>
      </c>
      <c r="F100" s="22">
        <f>F98-F99</f>
        <v>47577985.042689294</v>
      </c>
      <c r="G100" s="22">
        <f>G98-G99</f>
        <v>91595041.769669726</v>
      </c>
      <c r="AD100" s="14">
        <f>SUM(D100:AB100)</f>
        <v>42342814.77211754</v>
      </c>
      <c r="AE100" s="20"/>
    </row>
    <row r="101" spans="1:31" ht="14.25" hidden="1">
      <c r="A101" s="21"/>
      <c r="AE101" s="20"/>
    </row>
    <row r="102" spans="1:31" ht="14.25" hidden="1">
      <c r="A102" s="19" t="s">
        <v>13</v>
      </c>
      <c r="AE102" s="20"/>
    </row>
    <row r="103" spans="1:31" ht="14.25" hidden="1">
      <c r="A103" s="19" t="s">
        <v>12</v>
      </c>
      <c r="C103" s="17">
        <f>SUM(C53:C59)</f>
        <v>0</v>
      </c>
      <c r="D103" s="17">
        <f>SUM(D53:D59)</f>
        <v>-2580000</v>
      </c>
      <c r="E103" s="17">
        <f>SUM(E53:E59)</f>
        <v>-9173675.5351719186</v>
      </c>
      <c r="F103" s="17">
        <f>SUM(F53:F59)</f>
        <v>-17704544.843906894</v>
      </c>
      <c r="G103" s="17">
        <f>SUM(G53:G59)</f>
        <v>-26139216.13217691</v>
      </c>
      <c r="H103" s="17">
        <f>SUM(H53:H58)</f>
        <v>-30631166.982984684</v>
      </c>
      <c r="I103" s="17">
        <f>'[1]לוח שפיצר אגודה'!D252</f>
        <v>-31044787.784977272</v>
      </c>
      <c r="J103" s="17">
        <f>'[1]לוח שפיצר אגודה'!E252</f>
        <v>-29867212.310539484</v>
      </c>
      <c r="K103" s="17">
        <f>'[1]לוח שפיצר אגודה'!F252</f>
        <v>-28639001.090700872</v>
      </c>
      <c r="L103" s="17">
        <f>'[1]לוח שפיצר אגודה'!G252</f>
        <v>-27357976.788409207</v>
      </c>
      <c r="M103" s="17">
        <f>'[1]לוח שפיצר אגודה'!H252</f>
        <v>-26021868.441118997</v>
      </c>
      <c r="N103" s="17">
        <f>'[1]לוח שפיצר אגודה'!I252</f>
        <v>-24628307.434895307</v>
      </c>
      <c r="O103" s="17">
        <f>'[1]לוח שפיצר אגודה'!J252</f>
        <v>-23174823.305403996</v>
      </c>
      <c r="P103" s="17">
        <f>'[1]לוח שפיצר אגודה'!K252</f>
        <v>-21658839.358344562</v>
      </c>
      <c r="Q103" s="17">
        <f>'[1]לוח שפיצר אגודה'!L252</f>
        <v>-20077668.101561572</v>
      </c>
      <c r="R103" s="17">
        <f>'[1]לוח שפיצר אגודה'!M252</f>
        <v>-18428506.480736911</v>
      </c>
      <c r="S103" s="17">
        <f>'[1]לוח שפיצר אגודה'!N252</f>
        <v>-16708430.910216793</v>
      </c>
      <c r="T103" s="17">
        <f>'[1]לוח שפיצר אגודה'!O252</f>
        <v>-14914392.090164309</v>
      </c>
      <c r="U103" s="17">
        <f>'[1]לוח שפיצר אגודה'!P252</f>
        <v>-13043209.600849565</v>
      </c>
      <c r="V103" s="17">
        <f>'[1]לוח שפיצר אגודה'!Q252</f>
        <v>-11091566.264494291</v>
      </c>
      <c r="AA103" s="17">
        <f>'[1]לוח שפיצר אגודה'!R252</f>
        <v>-9056002.2646757402</v>
      </c>
      <c r="AB103" s="17">
        <f>'[1]לוח שפיצר אגודה'!S252</f>
        <v>-6932909.0128649892</v>
      </c>
      <c r="AC103" s="17">
        <f>'[1]לוח שפיצר אגודה'!T252</f>
        <v>-4718522.7512263749</v>
      </c>
      <c r="AD103" s="17"/>
      <c r="AE103" s="16"/>
    </row>
    <row r="104" spans="1:31" ht="14.25" hidden="1">
      <c r="A104" s="19" t="s">
        <v>11</v>
      </c>
      <c r="C104" s="18">
        <f>SUM('[1]תקציב אגודה (2)'!C49:C54)</f>
        <v>0</v>
      </c>
      <c r="D104" s="18">
        <f>SUM('[1]תקציב אגודה (2)'!D49:D54)</f>
        <v>-4395724.3822636148</v>
      </c>
      <c r="E104" s="18">
        <f>SUM('[1]תקציב אגודה (2)'!E49:E54)</f>
        <v>-14483544.259050952</v>
      </c>
      <c r="F104" s="18">
        <f>SUM('[1]תקציב אגודה (2)'!F49:F54)</f>
        <v>-24238741.026999373</v>
      </c>
      <c r="G104" s="18">
        <f>SUM('[1]תקציב אגודה (2)'!G49:G54)</f>
        <v>-30567172.668632276</v>
      </c>
      <c r="H104" s="18">
        <f>SUM('[1]תקציב אגודה (2)'!H49:H54)</f>
        <v>-32832503.036840487</v>
      </c>
      <c r="I104" s="18">
        <f>'[1]לוח שפיצר אגודה'!D286</f>
        <v>-28235952.611682817</v>
      </c>
      <c r="J104" s="18">
        <f>'[1]לוח שפיצר אגודה'!E286</f>
        <v>-27164920.47826314</v>
      </c>
      <c r="K104" s="18">
        <f>'[1]לוח שפיצר אגודה'!F286</f>
        <v>-26047833.963106424</v>
      </c>
      <c r="L104" s="18">
        <f>'[1]לוח שפיצר אגודה'!G286</f>
        <v>-24882712.72779797</v>
      </c>
      <c r="M104" s="18">
        <f>'[1]לוח שפיצר אגודה'!H286</f>
        <v>-23667491.279371247</v>
      </c>
      <c r="N104" s="18">
        <f>'[1]לוח שפיצר אגודה'!I286</f>
        <v>-22400015.30866218</v>
      </c>
      <c r="O104" s="18">
        <f>'[1]לוח שפיצר אגודה'!J286</f>
        <v>-21078037.871212617</v>
      </c>
      <c r="P104" s="18">
        <f>'[1]לוח שפיצר אגודה'!K286</f>
        <v>-19699215.403952725</v>
      </c>
      <c r="Q104" s="18">
        <f>'[1]לוח שפיצר אגודה'!L286</f>
        <v>-18261103.570600659</v>
      </c>
      <c r="R104" s="18">
        <f>'[1]לוח שפיצר אגודה'!M286</f>
        <v>-16761152.928414457</v>
      </c>
      <c r="S104" s="18">
        <f>'[1]לוח שפיצר אגודה'!N286</f>
        <v>-15196704.408614242</v>
      </c>
      <c r="T104" s="18">
        <f>'[1]לוח שפיצר אגודה'!O286</f>
        <v>-13564984.602462621</v>
      </c>
      <c r="U104" s="18">
        <f>'[1]לוח שפיצר אגודה'!P286</f>
        <v>-11863100.84464648</v>
      </c>
      <c r="V104" s="18">
        <f>'[1]לוח שפיצר אגודה'!Q286</f>
        <v>-10088036.08524425</v>
      </c>
      <c r="AA104" s="18">
        <f>'[1]לוח שפיצר אגודה'!R286</f>
        <v>-8236643.5411877185</v>
      </c>
      <c r="AB104" s="18">
        <f>'[1]לוח שפיצר אגודה'!S286</f>
        <v>-6305641.1177367568</v>
      </c>
      <c r="AC104" s="17">
        <f>'[1]לוח שפיצר אגודה'!T286</f>
        <v>-4291605.590077403</v>
      </c>
      <c r="AD104" s="17"/>
      <c r="AE104" s="16"/>
    </row>
    <row r="105" spans="1:31" s="12" customFormat="1" ht="12.75" hidden="1">
      <c r="A105" s="15" t="s">
        <v>10</v>
      </c>
      <c r="D105" s="14">
        <f>D103-D104</f>
        <v>1815724.3822636148</v>
      </c>
      <c r="E105" s="14">
        <f>E103-E104</f>
        <v>5309868.7238790337</v>
      </c>
      <c r="F105" s="14">
        <f>F103-F104</f>
        <v>6534196.1830924787</v>
      </c>
      <c r="G105" s="14">
        <f>G103-G104</f>
        <v>4427956.5364553668</v>
      </c>
      <c r="H105" s="14">
        <f>H103-H104</f>
        <v>2201336.0538558029</v>
      </c>
      <c r="I105" s="14">
        <f>I103-I104</f>
        <v>-2808835.1732944548</v>
      </c>
      <c r="J105" s="14">
        <f>J103-J104</f>
        <v>-2702291.8322763443</v>
      </c>
      <c r="K105" s="14">
        <f>K103-K104</f>
        <v>-2591167.1275944486</v>
      </c>
      <c r="L105" s="14">
        <f>L103-L104</f>
        <v>-2475264.0606112368</v>
      </c>
      <c r="M105" s="14">
        <f>M103-M104</f>
        <v>-2354377.1617477499</v>
      </c>
      <c r="N105" s="14">
        <f>N103-N104</f>
        <v>-2228292.126233127</v>
      </c>
      <c r="O105" s="14">
        <f>O103-O104</f>
        <v>-2096785.4341913797</v>
      </c>
      <c r="P105" s="14">
        <f>P103-P104</f>
        <v>-1959623.9543918371</v>
      </c>
      <c r="Q105" s="14">
        <f>Q103-Q104</f>
        <v>-1816564.5309609138</v>
      </c>
      <c r="R105" s="14">
        <f>R103-R104</f>
        <v>-1667353.5523224548</v>
      </c>
      <c r="S105" s="14">
        <f>S103-S104</f>
        <v>-1511726.501602551</v>
      </c>
      <c r="T105" s="14">
        <f>T103-T104</f>
        <v>-1349407.487701688</v>
      </c>
      <c r="U105" s="14">
        <f>U103-U104</f>
        <v>-1180108.7562030852</v>
      </c>
      <c r="V105" s="14">
        <f>V103-V104</f>
        <v>-1003530.179250041</v>
      </c>
      <c r="AA105" s="14">
        <f>AA103-AA104</f>
        <v>-819358.72348802164</v>
      </c>
      <c r="AB105" s="14">
        <f>AB103-AB104</f>
        <v>-627267.89512823243</v>
      </c>
      <c r="AD105" s="14">
        <f>SUM(D105:AB105)</f>
        <v>-8902872.6174512692</v>
      </c>
      <c r="AE105" s="13"/>
    </row>
    <row r="106" spans="1:31" ht="15" hidden="1" thickBot="1">
      <c r="A106" s="11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AA106" s="10"/>
      <c r="AB106" s="10"/>
      <c r="AC106" s="10"/>
      <c r="AD106" s="10"/>
      <c r="AE106" s="9"/>
    </row>
    <row r="107" ht="14.25" hidden="1"/>
    <row r="108" ht="14.25" hidden="1"/>
    <row r="109" ht="14.25" hidden="1"/>
    <row r="110" spans="6:10" ht="14.25" hidden="1">
      <c r="F110" s="6"/>
      <c r="G110" s="6"/>
      <c r="H110" s="6"/>
      <c r="I110" s="6"/>
      <c r="J110" s="6"/>
    </row>
    <row r="111" spans="1:1" ht="14.25">
      <c r="A111" s="8" t="s">
        <v>9</v>
      </c>
    </row>
    <row r="112" spans="1:13" ht="14.25">
      <c r="A112" t="s">
        <v>8</v>
      </c>
      <c r="I112">
        <f>-'[1]ניתוח שפדן השקעות קיימות'!B12</f>
        <v>-0.14000000000000001</v>
      </c>
      <c r="M112">
        <v>0.029999999999999999</v>
      </c>
    </row>
    <row r="113" spans="1:15" ht="14.25">
      <c r="A113" t="s">
        <v>7</v>
      </c>
      <c r="N113">
        <f>0.04*'ניתוח פעילות מאוחד לפני השקעות '!C192</f>
        <v>0.040000000000000001</v>
      </c>
      <c r="O113" s="7"/>
    </row>
    <row r="114" spans="1:14" ht="14.25">
      <c r="A114" t="s">
        <v>6</v>
      </c>
      <c r="N114">
        <f>0.04*'ניתוח פעילות מאוחד לפני השקעות '!C193</f>
        <v>0.040000000000000001</v>
      </c>
    </row>
    <row r="115" spans="1:17" ht="14.25">
      <c r="A115" s="4" t="s">
        <v>5</v>
      </c>
      <c r="N115">
        <f>-0.02*'ניתוח פעילות מאוחד לפני השקעות '!$C$194</f>
        <v>-0.01</v>
      </c>
      <c r="O115">
        <f>-0.07*'ניתוח פעילות מאוחד לפני השקעות '!$C$194</f>
        <v>-0.035000000000000003</v>
      </c>
      <c r="P115">
        <f>-0.04*'ניתוח פעילות מאוחד לפני השקעות '!$C$194</f>
        <v>-0.02</v>
      </c>
      <c r="Q115">
        <f>-0.01*'ניתוח פעילות מאוחד לפני השקעות '!$C$194</f>
        <v>-0.0050000000000000001</v>
      </c>
    </row>
    <row r="116" spans="1:17" ht="14.25">
      <c r="A116" s="4" t="s">
        <v>4</v>
      </c>
      <c r="H116" s="6"/>
      <c r="I116" s="6">
        <v>0.25</v>
      </c>
      <c r="J116">
        <v>0.31</v>
      </c>
      <c r="M116">
        <f>M112</f>
        <v>0.029999999999999999</v>
      </c>
      <c r="N116">
        <f>SUM(N112:N115)</f>
        <v>0.070000000000000007</v>
      </c>
      <c r="O116">
        <f>SUM(O112:O115)</f>
        <v>-0.035000000000000003</v>
      </c>
      <c r="P116">
        <f>SUM(P112:P115)</f>
        <v>-0.02</v>
      </c>
      <c r="Q116">
        <f>SUM(Q112:Q115)</f>
        <v>-0.0050000000000000001</v>
      </c>
    </row>
    <row r="126" spans="7:7" ht="14.25">
      <c r="G126">
        <f>105/6</f>
        <v>17.5</v>
      </c>
    </row>
  </sheetData>
  <mergeCells count="2">
    <mergeCell ref="A67:B67"/>
    <mergeCell ref="A68:B68"/>
  </mergeCells>
  <pageMargins left="0.7" right="0.7" top="0.75" bottom="0.75" header="0.3" footer="0.3"/>
  <pageSetup orientation="portrait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616E-5EDC-4B9F-A20A-E953419F6A38}">
  <dimension ref="A1:AF198"/>
  <sheetViews>
    <sheetView rightToLeft="1" tabSelected="1" workbookViewId="0" topLeftCell="A44">
      <selection pane="topLeft" activeCell="H77" sqref="H77"/>
    </sheetView>
  </sheetViews>
  <sheetFormatPr defaultRowHeight="15.75"/>
  <cols>
    <col min="1" max="1" width="39" style="231" customWidth="1"/>
    <col min="2" max="2" width="8.125" style="231" customWidth="1"/>
    <col min="3" max="3" width="5" style="231" customWidth="1"/>
    <col min="4" max="4" width="8.625" style="231" customWidth="1"/>
    <col min="5" max="5" width="9" style="231" bestFit="1"/>
    <col min="6" max="6" width="10" style="231" customWidth="1"/>
    <col min="7" max="8" width="9.875" style="231" bestFit="1" customWidth="1"/>
    <col min="9" max="9" width="11.25" style="231" bestFit="1" customWidth="1"/>
    <col min="10" max="10" width="11.875" style="231" customWidth="1"/>
    <col min="11" max="12" width="11.25" style="231" bestFit="1" customWidth="1"/>
    <col min="13" max="14" width="9.875" style="231" bestFit="1" customWidth="1"/>
    <col min="15" max="15" width="10.5" style="231" bestFit="1" customWidth="1"/>
    <col min="16" max="16" width="9.875" style="232" bestFit="1" customWidth="1"/>
    <col min="17" max="21" width="9.875" style="231" bestFit="1" customWidth="1"/>
    <col min="22" max="22" width="10.75" style="231" customWidth="1"/>
    <col min="23" max="27" width="10.25" style="231" bestFit="1" customWidth="1"/>
    <col min="28" max="29" width="11.625" style="231" customWidth="1"/>
    <col min="30" max="30" width="9.25" style="231" hidden="1" customWidth="1"/>
    <col min="31" max="16384" width="9" style="231"/>
  </cols>
  <sheetData>
    <row r="1" spans="1:32" ht="15.75">
      <c r="A1" s="353" t="s">
        <v>272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F1" s="231" t="s">
        <v>159</v>
      </c>
    </row>
    <row r="2" spans="1:32" ht="15.75">
      <c r="A2" s="352" t="s">
        <v>271</v>
      </c>
      <c r="B2" s="257" t="s">
        <v>159</v>
      </c>
      <c r="E2" s="350">
        <v>2012</v>
      </c>
      <c r="F2" s="350">
        <v>2013</v>
      </c>
      <c r="G2" s="350">
        <v>2014</v>
      </c>
      <c r="H2" s="350">
        <v>2015</v>
      </c>
      <c r="I2" s="350">
        <v>2016</v>
      </c>
      <c r="J2" s="350">
        <v>2017</v>
      </c>
      <c r="K2" s="350">
        <v>2018</v>
      </c>
      <c r="L2" s="350">
        <v>2019</v>
      </c>
      <c r="M2" s="350">
        <v>2020</v>
      </c>
      <c r="N2" s="350">
        <v>2021</v>
      </c>
      <c r="O2" s="350">
        <v>2022</v>
      </c>
      <c r="P2" s="351">
        <v>2023</v>
      </c>
      <c r="Q2" s="350">
        <v>2024</v>
      </c>
      <c r="R2" s="350">
        <v>2025</v>
      </c>
      <c r="S2" s="350">
        <v>2026</v>
      </c>
      <c r="T2" s="350">
        <v>2027</v>
      </c>
      <c r="U2" s="350">
        <v>2028</v>
      </c>
      <c r="V2" s="350">
        <v>2029</v>
      </c>
      <c r="W2" s="350">
        <v>2030</v>
      </c>
      <c r="X2" s="350">
        <v>2031</v>
      </c>
      <c r="Y2" s="350">
        <v>2032</v>
      </c>
      <c r="Z2" s="350">
        <v>2033</v>
      </c>
      <c r="AA2" s="350">
        <v>2034</v>
      </c>
      <c r="AF2" s="231" t="s">
        <v>158</v>
      </c>
    </row>
    <row r="5" spans="1:27" ht="15.75">
      <c r="A5" s="306" t="s">
        <v>270</v>
      </c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</row>
    <row r="6" spans="5:27" ht="15.75">
      <c r="E6" s="257">
        <v>2012</v>
      </c>
      <c r="F6" s="257">
        <v>2013</v>
      </c>
      <c r="G6" s="257">
        <v>2014</v>
      </c>
      <c r="H6" s="257">
        <v>2015</v>
      </c>
      <c r="I6" s="257">
        <v>2016</v>
      </c>
      <c r="J6" s="257">
        <v>2017</v>
      </c>
      <c r="K6" s="257">
        <v>2018</v>
      </c>
      <c r="L6" s="257">
        <v>2019</v>
      </c>
      <c r="M6" s="257">
        <v>2020</v>
      </c>
      <c r="N6" s="257">
        <v>2021</v>
      </c>
      <c r="O6" s="257">
        <v>2022</v>
      </c>
      <c r="P6" s="258">
        <v>2023</v>
      </c>
      <c r="Q6" s="257">
        <v>2024</v>
      </c>
      <c r="R6" s="257">
        <v>2025</v>
      </c>
      <c r="S6" s="257">
        <v>2026</v>
      </c>
      <c r="T6" s="257">
        <v>2027</v>
      </c>
      <c r="U6" s="257">
        <v>2028</v>
      </c>
      <c r="V6" s="257">
        <v>2029</v>
      </c>
      <c r="W6" s="257">
        <v>2030</v>
      </c>
      <c r="X6" s="257">
        <v>2031</v>
      </c>
      <c r="Y6" s="257">
        <v>2032</v>
      </c>
      <c r="Z6" s="257">
        <v>2033</v>
      </c>
      <c r="AA6" s="257">
        <v>2034</v>
      </c>
    </row>
    <row r="7" spans="1:30" ht="15.75">
      <c r="A7" s="231" t="s">
        <v>269</v>
      </c>
      <c r="E7" s="236">
        <f>0</f>
        <v>0</v>
      </c>
      <c r="F7" s="236">
        <v>0</v>
      </c>
      <c r="G7" s="236">
        <f>F82</f>
        <v>38727</v>
      </c>
      <c r="H7" s="236">
        <f>G82</f>
        <v>44195.529563191056</v>
      </c>
      <c r="I7" s="236">
        <f>H82</f>
        <v>50000.000000000029</v>
      </c>
      <c r="J7" s="236">
        <f>I82</f>
        <v>50000.000000000029</v>
      </c>
      <c r="K7" s="236">
        <f>J82</f>
        <v>50000.000000000029</v>
      </c>
      <c r="L7" s="236">
        <f>K82</f>
        <v>50000.000000000029</v>
      </c>
      <c r="M7" s="236">
        <f>L82</f>
        <v>50000.000000000029</v>
      </c>
      <c r="N7" s="236">
        <f>M82</f>
        <v>50000.000000000029</v>
      </c>
      <c r="O7" s="236">
        <f>N82</f>
        <v>50000.000000000029</v>
      </c>
      <c r="P7" s="237">
        <f>O82</f>
        <v>53535.522221597334</v>
      </c>
      <c r="Q7" s="236">
        <f>P82</f>
        <v>68584.862699413206</v>
      </c>
      <c r="R7" s="236">
        <f>Q82</f>
        <v>80813.394226476725</v>
      </c>
      <c r="S7" s="236">
        <f>R82</f>
        <v>93149.521917047474</v>
      </c>
      <c r="T7" s="236">
        <f>S82</f>
        <v>106418.68428601828</v>
      </c>
      <c r="U7" s="236">
        <f>T82</f>
        <v>120782.03100081286</v>
      </c>
      <c r="V7" s="236">
        <f>U82</f>
        <v>136003.50683911017</v>
      </c>
      <c r="W7" s="236">
        <f>V82</f>
        <v>151848.45886119528</v>
      </c>
      <c r="X7" s="236">
        <f>W82</f>
        <v>168374.91042700145</v>
      </c>
      <c r="Y7" s="236">
        <f>X82</f>
        <v>223039.27353722861</v>
      </c>
      <c r="Z7" s="236">
        <f>Y82</f>
        <v>280732.93420259614</v>
      </c>
      <c r="AA7" s="236">
        <f>Z82</f>
        <v>340946.71932254842</v>
      </c>
      <c r="AD7" s="236"/>
    </row>
    <row r="8" spans="1:30" ht="15.75">
      <c r="A8" s="231" t="s">
        <v>268</v>
      </c>
      <c r="E8" s="236">
        <v>0</v>
      </c>
      <c r="F8" s="236">
        <v>0</v>
      </c>
      <c r="G8" s="236">
        <f>G34+G35-G36-G37</f>
        <v>158861.22956319107</v>
      </c>
      <c r="H8" s="236">
        <f>H34+H35-H36-H37</f>
        <v>157890.06909463659</v>
      </c>
      <c r="I8" s="236">
        <f>I34+I35-I36-I37</f>
        <v>148261.54398558295</v>
      </c>
      <c r="J8" s="236">
        <f>J34+J35-J36-J37</f>
        <v>174188.88722274144</v>
      </c>
      <c r="K8" s="236">
        <f>K34+K35-K36-K37</f>
        <v>215006.91051928035</v>
      </c>
      <c r="L8" s="236">
        <f>L34+L35-L36-L37</f>
        <v>217608.55382447314</v>
      </c>
      <c r="M8" s="236">
        <f>M34+M35-M36-M37</f>
        <v>220236.21356271789</v>
      </c>
      <c r="N8" s="236">
        <f>N34+N35-N36-N37</f>
        <v>222890.14989834518</v>
      </c>
      <c r="O8" s="236">
        <f>O34+O35-O36-O37</f>
        <v>210159.90525958332</v>
      </c>
      <c r="P8" s="237">
        <f>P34+P35-P36-P37</f>
        <v>212059.73498913617</v>
      </c>
      <c r="Q8" s="236">
        <f>Q34+Q35-Q36-Q37</f>
        <v>208033.13695629221</v>
      </c>
      <c r="R8" s="236">
        <f>R34+R35-R36-R37</f>
        <v>209898.56679799879</v>
      </c>
      <c r="S8" s="236">
        <f>S34+S35-S36-S37</f>
        <v>212449.12666597878</v>
      </c>
      <c r="T8" s="236">
        <f>T34+T35-T36-T37</f>
        <v>215025.19213263859</v>
      </c>
      <c r="U8" s="236">
        <f>U34+U35-U36-U37</f>
        <v>217627.01825396501</v>
      </c>
      <c r="V8" s="236">
        <f>V34+V35-V36-V37</f>
        <v>220254.86263650464</v>
      </c>
      <c r="W8" s="236">
        <f>W34+W35-W36-W37</f>
        <v>222908.98546286966</v>
      </c>
      <c r="X8" s="236">
        <f>X34+X35-X36-X37</f>
        <v>225318.62099159524</v>
      </c>
      <c r="Y8" s="236">
        <f>Y34+Y35-Y36-Y37</f>
        <v>227754.25042252219</v>
      </c>
      <c r="Z8" s="236">
        <f>Z34+Z35-Z36-Z37</f>
        <v>230216.14990479455</v>
      </c>
      <c r="AA8" s="236">
        <f>AA34+AA35-AA36-AA37</f>
        <v>232704.59848752568</v>
      </c>
      <c r="AD8" s="236"/>
    </row>
    <row r="9" spans="1:30" ht="15.75">
      <c r="A9" s="231" t="s">
        <v>267</v>
      </c>
      <c r="E9" s="236">
        <v>0</v>
      </c>
      <c r="F9" s="236">
        <v>0</v>
      </c>
      <c r="G9" s="236">
        <f>SUM(G72:G75)</f>
        <v>-290000</v>
      </c>
      <c r="H9" s="236">
        <f>SUM(H72:H75)</f>
        <v>0</v>
      </c>
      <c r="I9" s="236">
        <f>SUM(I72:I75)</f>
        <v>0</v>
      </c>
      <c r="J9" s="236">
        <f>SUM(J72:J75)</f>
        <v>0</v>
      </c>
      <c r="K9" s="236">
        <f>SUM(K72:K75)</f>
        <v>0</v>
      </c>
      <c r="L9" s="236">
        <f>SUM(L72:L75)</f>
        <v>0</v>
      </c>
      <c r="M9" s="236">
        <f>SUM(M72:M75)</f>
        <v>0</v>
      </c>
      <c r="N9" s="236">
        <f>SUM(N72:N75)</f>
        <v>0</v>
      </c>
      <c r="O9" s="236">
        <f>SUM(O72:O75)</f>
        <v>0</v>
      </c>
      <c r="P9" s="237">
        <f>SUM(P72:P75)</f>
        <v>0</v>
      </c>
      <c r="Q9" s="236">
        <f>SUM(Q72:Q75)</f>
        <v>0</v>
      </c>
      <c r="R9" s="236">
        <f>SUM(R72:R75)</f>
        <v>0</v>
      </c>
      <c r="S9" s="236">
        <f>SUM(S72:S75)</f>
        <v>0</v>
      </c>
      <c r="T9" s="236">
        <f>SUM(T72:T75)</f>
        <v>0</v>
      </c>
      <c r="U9" s="236">
        <f>SUM(U72:U75)</f>
        <v>0</v>
      </c>
      <c r="V9" s="236">
        <f>SUM(V72:V75)</f>
        <v>0</v>
      </c>
      <c r="W9" s="236">
        <f>SUM(W72:W75)</f>
        <v>0</v>
      </c>
      <c r="X9" s="236">
        <f>SUM(X72:X75)</f>
        <v>0</v>
      </c>
      <c r="Y9" s="236">
        <f>SUM(Y72:Y75)</f>
        <v>0</v>
      </c>
      <c r="Z9" s="236">
        <f>SUM(Z72:Z75)</f>
        <v>0</v>
      </c>
      <c r="AA9" s="236">
        <f>SUM(AA72:AA75)</f>
        <v>0</v>
      </c>
      <c r="AD9" s="236"/>
    </row>
    <row r="10" spans="1:30" ht="15.75">
      <c r="A10" s="231" t="s">
        <v>266</v>
      </c>
      <c r="E10" s="236">
        <f>0</f>
        <v>0</v>
      </c>
      <c r="F10" s="236">
        <v>0</v>
      </c>
      <c r="G10" s="236">
        <v>-12000</v>
      </c>
      <c r="H10" s="236">
        <v>-14666.666666666666</v>
      </c>
      <c r="I10" s="236">
        <v>-14666.666666666666</v>
      </c>
      <c r="J10" s="236">
        <v>-43466.666666666664</v>
      </c>
      <c r="K10" s="236">
        <v>-57866.666666666664</v>
      </c>
      <c r="L10" s="236">
        <v>-59066.666666666672</v>
      </c>
      <c r="M10" s="236">
        <v>-62666.666666666664</v>
      </c>
      <c r="N10" s="236">
        <v>-66866.666666666657</v>
      </c>
      <c r="O10" s="236">
        <v>-114152.34961726867</v>
      </c>
      <c r="P10" s="237">
        <v>-119273.17715463853</v>
      </c>
      <c r="Q10" s="236">
        <v>-122044.19200074162</v>
      </c>
      <c r="R10" s="236">
        <v>-127867.05033676609</v>
      </c>
      <c r="S10" s="236">
        <v>-133743.46299787937</v>
      </c>
      <c r="T10" s="236">
        <v>-139675.19727680937</v>
      </c>
      <c r="U10" s="236">
        <v>-146064.0787869441</v>
      </c>
      <c r="V10" s="236">
        <v>-152911.99338691324</v>
      </c>
      <c r="W10" s="236">
        <v>-159954.22250201472</v>
      </c>
      <c r="X10" s="236">
        <v>-129526.1118445812</v>
      </c>
      <c r="Y10" s="236">
        <v>-133363.07353545236</v>
      </c>
      <c r="Z10" s="236">
        <v>-137867.2549621223</v>
      </c>
      <c r="AA10" s="236">
        <v>-141840.87437587234</v>
      </c>
      <c r="AB10" s="231">
        <v>-123086.22323027614</v>
      </c>
      <c r="AC10" s="231">
        <v>-72605.668596875243</v>
      </c>
      <c r="AD10" s="236"/>
    </row>
    <row r="11" spans="1:30" ht="15.75">
      <c r="A11" s="231" t="s">
        <v>265</v>
      </c>
      <c r="E11" s="236">
        <f>-E47</f>
        <v>0</v>
      </c>
      <c r="F11" s="236">
        <f>-F47</f>
        <v>0</v>
      </c>
      <c r="G11" s="236">
        <f>-G47</f>
        <v>-11790.700000000001</v>
      </c>
      <c r="H11" s="236">
        <f>-H47</f>
        <v>-22302.599999999999</v>
      </c>
      <c r="I11" s="236">
        <f>-I47</f>
        <v>-29352.245960205033</v>
      </c>
      <c r="J11" s="236">
        <f>-J47</f>
        <v>-33068.204531426512</v>
      </c>
      <c r="K11" s="236">
        <f>-K47</f>
        <v>-39125.335958658383</v>
      </c>
      <c r="L11" s="236">
        <f>-L47</f>
        <v>-47911.81283451568</v>
      </c>
      <c r="M11" s="236">
        <f>-M47</f>
        <v>-55568.35904760682</v>
      </c>
      <c r="N11" s="236">
        <f>-N47</f>
        <v>-60661.412771450065</v>
      </c>
      <c r="O11" s="236">
        <f>-O47</f>
        <v>-62627.375866780501</v>
      </c>
      <c r="P11" s="237">
        <f>-P47</f>
        <v>-59889.411811591795</v>
      </c>
      <c r="Q11" s="236">
        <f>-Q47</f>
        <v>-56033.130300409131</v>
      </c>
      <c r="R11" s="236">
        <f>-R47</f>
        <v>-52092.605299357434</v>
      </c>
      <c r="S11" s="236">
        <f>-S47</f>
        <v>-47962.325973271036</v>
      </c>
      <c r="T11" s="236">
        <f>-T47</f>
        <v>-43645.325029423781</v>
      </c>
      <c r="U11" s="236">
        <f>-U47</f>
        <v>-39137.376854429567</v>
      </c>
      <c r="V11" s="236">
        <f>-V47</f>
        <v>-34435.595589660545</v>
      </c>
      <c r="W11" s="236">
        <f>-W47</f>
        <v>-29512.43314315415</v>
      </c>
      <c r="X11" s="236">
        <f>-X47</f>
        <v>-24363.543802579708</v>
      </c>
      <c r="Y11" s="236">
        <f>-Y47</f>
        <v>-20089.182113766306</v>
      </c>
      <c r="Z11" s="236">
        <f>-Z47</f>
        <v>-15688.200689222067</v>
      </c>
      <c r="AA11" s="236">
        <f>-AA47</f>
        <v>-11138.581277667865</v>
      </c>
      <c r="AD11" s="236"/>
    </row>
    <row r="12" spans="1:30" ht="15.75">
      <c r="A12" s="231" t="s">
        <v>264</v>
      </c>
      <c r="E12" s="236">
        <f>'עלויות המטש'!D35/1000</f>
        <v>0.001</v>
      </c>
      <c r="F12" s="236">
        <v>0</v>
      </c>
      <c r="G12" s="236">
        <f>-'עלויות המטש'!F35/1000</f>
        <v>-87602</v>
      </c>
      <c r="H12" s="236">
        <f>-'עלויות המטש'!G35/1000</f>
        <v>-84981</v>
      </c>
      <c r="I12" s="236">
        <f>-'עלויות המטש'!H35/1000</f>
        <v>-93513</v>
      </c>
      <c r="J12" s="236">
        <f>-'עלויות המטש'!I35/1000</f>
        <v>-117392</v>
      </c>
      <c r="K12" s="236">
        <f>-'עלויות המטש'!J35/1000</f>
        <v>-170312.5</v>
      </c>
      <c r="L12" s="236">
        <f>-'עלויות המטש'!K35/1000</f>
        <v>-125497.5</v>
      </c>
      <c r="M12" s="236">
        <f>-'עלויות המטש'!L35/1000</f>
        <v>-27000</v>
      </c>
      <c r="N12" s="236">
        <f>-'עלויות המטש'!M35/1000</f>
        <v>-27000</v>
      </c>
      <c r="O12" s="236">
        <f>-'עלויות המטש'!N35/1000</f>
        <v>-12000</v>
      </c>
      <c r="P12" s="237">
        <f>-'עלויות המטש'!O35/1000</f>
        <v>-12000</v>
      </c>
      <c r="Q12" s="236">
        <f>-'עלויות המטש'!P35/1000</f>
        <v>-12000</v>
      </c>
      <c r="R12" s="236">
        <f>-'עלויות המטש'!Q35/1000</f>
        <v>-12000</v>
      </c>
      <c r="S12" s="236">
        <f>-'עלויות המטש'!R35/1000</f>
        <v>-12000</v>
      </c>
      <c r="T12" s="236">
        <f>-'עלויות המטש'!S35/1000</f>
        <v>-12000</v>
      </c>
      <c r="U12" s="236">
        <f>-'עלויות המטש'!T35/1000</f>
        <v>-12000</v>
      </c>
      <c r="V12" s="236">
        <f>-'עלויות המטש'!U35/1000</f>
        <v>-12000</v>
      </c>
      <c r="W12" s="236">
        <f>-'עלויות המטש'!V35/1000</f>
        <v>-12000</v>
      </c>
      <c r="X12" s="236">
        <f>-'עלויות המטש'!W35/1000</f>
        <v>-12000</v>
      </c>
      <c r="Y12" s="236">
        <f>-'עלויות המטש'!X35/1000</f>
        <v>-12000</v>
      </c>
      <c r="Z12" s="236">
        <f>-'עלויות המטש'!Y35/1000</f>
        <v>-12000</v>
      </c>
      <c r="AA12" s="236">
        <f>-'עלויות המטש'!Z35/1000</f>
        <v>-12000</v>
      </c>
      <c r="AD12" s="236">
        <f>SUM(F12:W12)</f>
        <v>-841298</v>
      </c>
    </row>
    <row r="13" spans="1:30" ht="15.75">
      <c r="A13" s="231" t="s">
        <v>263</v>
      </c>
      <c r="E13" s="236">
        <v>0</v>
      </c>
      <c r="F13" s="236">
        <v>0</v>
      </c>
      <c r="G13" s="236">
        <f>-'עלויות ההולכה'!F47/1000</f>
        <v>-242000</v>
      </c>
      <c r="H13" s="236">
        <f>-'עלויות ההולכה'!G47/1000</f>
        <v>-270000</v>
      </c>
      <c r="I13" s="236">
        <f>-'עלויות ההולכה'!H47/1000</f>
        <v>-120195</v>
      </c>
      <c r="J13" s="236">
        <f>-'עלויות ההולכה'!I47/1000</f>
        <v>-111730</v>
      </c>
      <c r="K13" s="236">
        <f>-'עלויות ההולכה'!J47/1000</f>
        <v>-239600</v>
      </c>
      <c r="L13" s="236">
        <f>-'עלויות ההולכה'!K47/1000</f>
        <v>-310400</v>
      </c>
      <c r="M13" s="236">
        <f>-'עלויות ההולכה'!L47/1000</f>
        <v>-300400</v>
      </c>
      <c r="N13" s="236">
        <f>-'עלויות ההולכה'!M47/1000</f>
        <v>-244900</v>
      </c>
      <c r="O13" s="236">
        <f>-'עלויות ההולכה'!N47/1000</f>
        <v>-80500</v>
      </c>
      <c r="P13" s="237">
        <f>-'עלויות ההולכה'!O47/1000</f>
        <v>-9500</v>
      </c>
      <c r="Q13" s="236">
        <f>-'עלויות ההולכה'!P47/1000</f>
        <v>-9500</v>
      </c>
      <c r="R13" s="236">
        <f>-'עלויות ההולכה'!Q47/1000</f>
        <v>-9500</v>
      </c>
      <c r="S13" s="236">
        <f>-'עלויות ההולכה'!R47/1000</f>
        <v>-9500</v>
      </c>
      <c r="T13" s="236">
        <f>-'עלויות ההולכה'!S47/1000</f>
        <v>-9500</v>
      </c>
      <c r="U13" s="236">
        <f>-'עלויות ההולכה'!T47/1000</f>
        <v>-9500</v>
      </c>
      <c r="V13" s="236">
        <f>-'עלויות ההולכה'!U47/1000</f>
        <v>-9500</v>
      </c>
      <c r="W13" s="236">
        <f>-'עלויות ההולכה'!V47/1000</f>
        <v>-9500</v>
      </c>
      <c r="X13" s="236">
        <f>W13</f>
        <v>-9500</v>
      </c>
      <c r="Y13" s="236">
        <f>X13</f>
        <v>-9500</v>
      </c>
      <c r="Z13" s="236">
        <f>Y13</f>
        <v>-9500</v>
      </c>
      <c r="AA13" s="236">
        <f>Z13</f>
        <v>-9500</v>
      </c>
      <c r="AD13" s="236">
        <f>SUM(F13:W13)</f>
        <v>-1995725</v>
      </c>
    </row>
    <row r="14" spans="1:30" ht="16.5" thickBot="1">
      <c r="A14" s="231" t="s">
        <v>262</v>
      </c>
      <c r="E14" s="236"/>
      <c r="F14" s="236"/>
      <c r="G14" s="236">
        <f>-Min_Cash</f>
        <v>-50000</v>
      </c>
      <c r="H14" s="236">
        <f>-Min_Cash</f>
        <v>-50000</v>
      </c>
      <c r="I14" s="236">
        <f>-Min_Cash</f>
        <v>-50000</v>
      </c>
      <c r="J14" s="236">
        <f>-Min_Cash</f>
        <v>-50000</v>
      </c>
      <c r="K14" s="236">
        <f>-Min_Cash</f>
        <v>-50000</v>
      </c>
      <c r="L14" s="236">
        <f>-Min_Cash</f>
        <v>-50000</v>
      </c>
      <c r="M14" s="236">
        <f>-Min_Cash</f>
        <v>-50000</v>
      </c>
      <c r="N14" s="236">
        <f>-Min_Cash</f>
        <v>-50000</v>
      </c>
      <c r="O14" s="236">
        <f>-Min_Cash</f>
        <v>-50000</v>
      </c>
      <c r="P14" s="237">
        <f>-Min_Cash</f>
        <v>-50000</v>
      </c>
      <c r="Q14" s="236">
        <f>-Min_Cash</f>
        <v>-50000</v>
      </c>
      <c r="R14" s="236">
        <f>-Min_Cash</f>
        <v>-50000</v>
      </c>
      <c r="S14" s="236">
        <f>-Min_Cash</f>
        <v>-50000</v>
      </c>
      <c r="T14" s="236">
        <f>-Min_Cash</f>
        <v>-50000</v>
      </c>
      <c r="U14" s="236">
        <f>-Min_Cash</f>
        <v>-50000</v>
      </c>
      <c r="V14" s="236">
        <f>-Min_Cash</f>
        <v>-50000</v>
      </c>
      <c r="W14" s="236">
        <f>-Min_Cash</f>
        <v>-50000</v>
      </c>
      <c r="X14" s="236">
        <f>-Min_Cash</f>
        <v>-50000</v>
      </c>
      <c r="Y14" s="236">
        <f>-Min_Cash</f>
        <v>-50000</v>
      </c>
      <c r="Z14" s="236">
        <f>-Min_Cash</f>
        <v>-50000</v>
      </c>
      <c r="AA14" s="236">
        <f>-Min_Cash</f>
        <v>-50000</v>
      </c>
      <c r="AD14" s="236"/>
    </row>
    <row r="15" spans="1:27" s="249" customFormat="1" ht="15.75">
      <c r="A15" s="249" t="s">
        <v>261</v>
      </c>
      <c r="E15" s="348">
        <f>MAX(SUM(E12:E13),0)</f>
        <v>0.001</v>
      </c>
      <c r="F15" s="348">
        <f>MAX(-SUM(F7:F14),0)</f>
        <v>0</v>
      </c>
      <c r="G15" s="348">
        <f>MAX(-SUM(G7:G14),0)</f>
        <v>495804.47043680894</v>
      </c>
      <c r="H15" s="348">
        <f>MAX(-SUM(H7:H14),0)</f>
        <v>239864.66800883901</v>
      </c>
      <c r="I15" s="348">
        <f>MAX(-SUM(I7:I14),0)</f>
        <v>109465.36864128872</v>
      </c>
      <c r="J15" s="348">
        <f>MAX(-SUM(J7:J14),0)</f>
        <v>131467.9839753517</v>
      </c>
      <c r="K15" s="348">
        <f>MAX(-SUM(K7:K14),0)</f>
        <v>291897.5921060447</v>
      </c>
      <c r="L15" s="348">
        <f>MAX(-SUM(L7:L14),0)</f>
        <v>325267.42567670916</v>
      </c>
      <c r="M15" s="348">
        <f>MAX(-SUM(M7:M14),0)</f>
        <v>225398.81215155558</v>
      </c>
      <c r="N15" s="348">
        <f>MAX(-SUM(N7:N14),0)</f>
        <v>176537.92953977149</v>
      </c>
      <c r="O15" s="348">
        <f>MAX(-SUM(O7:O14),0)</f>
        <v>59119.820224465831</v>
      </c>
      <c r="P15" s="349">
        <f>MAX(-SUM(P7:P14),0)</f>
        <v>0</v>
      </c>
      <c r="Q15" s="348">
        <f>MAX(-SUM(Q7:Q14),0)</f>
        <v>0</v>
      </c>
      <c r="R15" s="348">
        <f>MAX(-SUM(R7:R14),0)</f>
        <v>0</v>
      </c>
      <c r="S15" s="348">
        <f>MAX(-SUM(S7:S14),0)</f>
        <v>0</v>
      </c>
      <c r="T15" s="348">
        <f>MAX(-SUM(T7:T14),0)</f>
        <v>0</v>
      </c>
      <c r="U15" s="348">
        <f>MAX(-SUM(U7:U14),0)</f>
        <v>0</v>
      </c>
      <c r="V15" s="348">
        <f>MAX(-SUM(V7:V14),0)</f>
        <v>0</v>
      </c>
      <c r="W15" s="348">
        <f>MAX(-SUM(W7:W14),0)</f>
        <v>0</v>
      </c>
      <c r="X15" s="348">
        <f>MAX(-SUM(X7:X14),0)</f>
        <v>0</v>
      </c>
      <c r="Y15" s="348">
        <f>MAX(-SUM(Y7:Y14),0)</f>
        <v>0</v>
      </c>
      <c r="Z15" s="348">
        <f>MAX(-SUM(Z7:Z14),0)</f>
        <v>0</v>
      </c>
      <c r="AA15" s="348">
        <f>MAX(-SUM(AA7:AA14),0)</f>
        <v>0</v>
      </c>
    </row>
    <row r="16" spans="1:27" ht="15.75">
      <c r="A16" s="231" t="s">
        <v>260</v>
      </c>
      <c r="E16" s="236"/>
      <c r="G16" s="236"/>
      <c r="H16" s="346">
        <f>-(G113*$B$108+G122*$B$116+G141*$B$136)</f>
        <v>-20339.599999999999</v>
      </c>
      <c r="I16" s="346">
        <f>-(H113*$B$108+H122*$B$116+H141*$B$136)</f>
        <v>-24580.533333333333</v>
      </c>
      <c r="J16" s="346">
        <f>-(I113*$B$108+I122*$B$116+I141*$B$136)</f>
        <v>-24099.466666666667</v>
      </c>
      <c r="K16" s="346">
        <f>-(J113*$B$108+J122*$B$116+J141*$B$136)</f>
        <v>-22725.600000000002</v>
      </c>
      <c r="L16" s="346">
        <f>-(K113*$B$108+K122*$B$116+K141*$B$136)</f>
        <v>-22063.488553473631</v>
      </c>
      <c r="M16" s="346">
        <f>-(L113*$B$108+L122*$B$116+L141*$B$136)</f>
        <v>-31349.046934138365</v>
      </c>
      <c r="N16" s="346">
        <f>-(M113*$B$108+M122*$B$116+M141*$B$136)</f>
        <v>-37264.541068473038</v>
      </c>
      <c r="O16" s="346">
        <f>-(N113*$B$108+N122*$B$116+N141*$B$136)</f>
        <v>-41493.226076618826</v>
      </c>
      <c r="P16" s="347">
        <f>-(O113*$B$108+O122*$B$116+O141*$B$136)</f>
        <v>-40442.958173302381</v>
      </c>
      <c r="Q16" s="346">
        <f>-(P113*$B$108+P122*$B$116+P141*$B$136)</f>
        <v>-37320.999077544671</v>
      </c>
      <c r="R16" s="346">
        <f>-(Q113*$B$108+Q122*$B$116+Q141*$B$136)</f>
        <v>-34039.573731626966</v>
      </c>
      <c r="S16" s="346">
        <f>-(R113*$B$108+R122*$B$116+R141*$B$136)</f>
        <v>-30671.502549293968</v>
      </c>
      <c r="T16" s="346">
        <f>-(S113*$B$108+S122*$B$116+S141*$B$136)</f>
        <v>-27140.753817943987</v>
      </c>
      <c r="U16" s="346">
        <f>-(T113*$B$108+T122*$B$116+T141*$B$136)</f>
        <v>-23482.841978459444</v>
      </c>
      <c r="V16" s="346">
        <f>-(U113*$B$108+U122*$B$116+U141*$B$136)</f>
        <v>-19833.62584827192</v>
      </c>
      <c r="W16" s="346">
        <f>-(V113*$B$108+V122*$B$116+V141*$B$136)</f>
        <v>-16086.506785788208</v>
      </c>
      <c r="X16" s="346">
        <f>-(W113*$B$108+W122*$B$116+W141*$B$136)</f>
        <v>-12257.0934609092</v>
      </c>
      <c r="Y16" s="346">
        <f>-(X113*$B$108+X122*$B$116+X141*$B$136)</f>
        <v>-10376.399896309185</v>
      </c>
      <c r="Z16" s="346">
        <f>-(Y113*$B$108+Y122*$B$116+Y141*$B$136)</f>
        <v>-8433.6434440773683</v>
      </c>
      <c r="AA16" s="346">
        <f>-(Z113*$B$108+Z122*$B$116+Z141*$B$136)</f>
        <v>-6426.7760289219004</v>
      </c>
    </row>
    <row r="17" spans="8:27" ht="15.75">
      <c r="H17" s="236">
        <f>MAX(-SUM(H7:H14),0)</f>
        <v>239864.66800883901</v>
      </c>
      <c r="I17" s="236">
        <f>MAX(-SUM(I7:I14),0)</f>
        <v>109465.36864128872</v>
      </c>
      <c r="J17" s="236">
        <f>MAX(-SUM(J7:J14),0)</f>
        <v>131467.9839753517</v>
      </c>
      <c r="K17" s="236">
        <f>MAX(-SUM(K7:K14),0)</f>
        <v>291897.5921060447</v>
      </c>
      <c r="L17" s="236">
        <f>MAX(-SUM(L7:L14),0)</f>
        <v>325267.42567670916</v>
      </c>
      <c r="M17" s="236">
        <f>MAX(-SUM(M7:M14),0)</f>
        <v>225398.81215155558</v>
      </c>
      <c r="N17" s="236">
        <f>MAX(-SUM(N7:N14),0)</f>
        <v>176537.92953977149</v>
      </c>
      <c r="O17" s="236">
        <f>MAX(-SUM(O7:O14),0)</f>
        <v>59119.820224465831</v>
      </c>
      <c r="P17" s="237">
        <f>MAX(-SUM(P7:P14),0)</f>
        <v>0</v>
      </c>
      <c r="Q17" s="236">
        <f>MAX(-SUM(Q7:Q14),0)</f>
        <v>0</v>
      </c>
      <c r="R17" s="236">
        <f>MAX(-SUM(R7:R14),0)</f>
        <v>0</v>
      </c>
      <c r="S17" s="236">
        <f>MAX(-SUM(S7:S14),0)</f>
        <v>0</v>
      </c>
      <c r="T17" s="236">
        <f>MAX(-SUM(T7:T14),0)</f>
        <v>0</v>
      </c>
      <c r="U17" s="236">
        <f>MAX(-SUM(U7:U14),0)</f>
        <v>0</v>
      </c>
      <c r="V17" s="236">
        <f>MAX(-SUM(V7:V14),0)</f>
        <v>0</v>
      </c>
      <c r="W17" s="236">
        <f>MAX(-SUM(W7:W14),0)</f>
        <v>0</v>
      </c>
      <c r="X17" s="236">
        <f>MAX(-SUM(X7:X14),0)</f>
        <v>0</v>
      </c>
      <c r="Y17" s="236">
        <f>MAX(-SUM(Y7:Y14),0)</f>
        <v>0</v>
      </c>
      <c r="Z17" s="236">
        <f>MAX(-SUM(Z7:Z14),0)</f>
        <v>0</v>
      </c>
      <c r="AA17" s="236">
        <f>MAX(-SUM(AA7:AA14),0)</f>
        <v>0</v>
      </c>
    </row>
    <row r="18" spans="5:18" ht="15.75">
      <c r="E18" s="340" t="s">
        <v>259</v>
      </c>
      <c r="F18" s="340" t="s">
        <v>258</v>
      </c>
      <c r="G18" s="340" t="s">
        <v>257</v>
      </c>
      <c r="H18" s="345" t="s">
        <v>256</v>
      </c>
      <c r="I18" s="345"/>
      <c r="J18" s="340" t="s">
        <v>255</v>
      </c>
      <c r="K18" s="340" t="s">
        <v>254</v>
      </c>
      <c r="L18" s="340" t="s">
        <v>253</v>
      </c>
      <c r="R18" s="344">
        <f>'[1]ניתוח שפדן השקעות קיימות'!B9</f>
        <v>1.2207878149064344</v>
      </c>
    </row>
    <row r="19" spans="5:18" ht="15.75" customHeight="1">
      <c r="E19" s="340"/>
      <c r="F19" s="340"/>
      <c r="G19" s="340"/>
      <c r="H19" s="343" t="s">
        <v>130</v>
      </c>
      <c r="I19" s="343" t="s">
        <v>252</v>
      </c>
      <c r="J19" s="340"/>
      <c r="K19" s="340"/>
      <c r="L19" s="340"/>
      <c r="R19" s="233"/>
    </row>
    <row r="20" spans="1:12" ht="15.75">
      <c r="A20" s="342" t="s">
        <v>251</v>
      </c>
      <c r="B20" s="341"/>
      <c r="C20" s="341"/>
      <c r="D20" s="341"/>
      <c r="E20" s="340"/>
      <c r="F20" s="340"/>
      <c r="G20" s="340"/>
      <c r="H20" s="338">
        <v>0</v>
      </c>
      <c r="I20" s="338">
        <v>3</v>
      </c>
      <c r="J20" s="340"/>
      <c r="K20" s="340"/>
      <c r="L20" s="340"/>
    </row>
    <row r="21" spans="1:12" ht="15.75">
      <c r="A21" s="231" t="s">
        <v>250</v>
      </c>
      <c r="E21" s="338">
        <v>2012</v>
      </c>
      <c r="F21" s="339">
        <f>B117-I21+1</f>
        <v>18</v>
      </c>
      <c r="G21" s="240">
        <f>'[1]ניתוח שפדן השקעות קיימות'!B3</f>
        <v>0.031</v>
      </c>
      <c r="H21" s="338">
        <f>E21+1+H20</f>
        <v>2013</v>
      </c>
      <c r="I21" s="338">
        <v>2017</v>
      </c>
      <c r="J21" s="337">
        <f>H91</f>
        <v>1.1071590091903951</v>
      </c>
      <c r="K21" s="336">
        <f>W29</f>
        <v>707427.07457300636</v>
      </c>
      <c r="L21" s="336">
        <f>AC29</f>
        <v>5.2386894822120667E-10</v>
      </c>
    </row>
    <row r="22" spans="1:27" ht="15.75">
      <c r="A22" s="335"/>
      <c r="B22" s="334"/>
      <c r="C22" s="334"/>
      <c r="D22" s="334"/>
      <c r="F22" s="332"/>
      <c r="J22" s="332"/>
      <c r="K22" s="332"/>
      <c r="L22" s="332"/>
      <c r="M22" s="332"/>
      <c r="N22" s="332"/>
      <c r="O22" s="332"/>
      <c r="P22" s="333"/>
      <c r="Q22" s="332"/>
      <c r="R22" s="332"/>
      <c r="S22" s="332"/>
      <c r="T22" s="332"/>
      <c r="U22" s="332"/>
      <c r="V22" s="332"/>
      <c r="W22" s="332"/>
      <c r="X22" s="332"/>
      <c r="Y22" s="332"/>
      <c r="Z22" s="332"/>
      <c r="AA22" s="332"/>
    </row>
    <row r="23" spans="1:29" ht="15.75">
      <c r="A23" s="249" t="s">
        <v>249</v>
      </c>
      <c r="E23" s="257">
        <v>2012</v>
      </c>
      <c r="F23" s="257">
        <v>2013</v>
      </c>
      <c r="G23" s="257">
        <v>2014</v>
      </c>
      <c r="H23" s="257">
        <v>2015</v>
      </c>
      <c r="I23" s="257">
        <v>2016</v>
      </c>
      <c r="J23" s="257">
        <v>2017</v>
      </c>
      <c r="K23" s="257">
        <v>2018</v>
      </c>
      <c r="L23" s="257">
        <v>2019</v>
      </c>
      <c r="M23" s="257">
        <v>2020</v>
      </c>
      <c r="N23" s="257">
        <v>2021</v>
      </c>
      <c r="O23" s="257">
        <v>2022</v>
      </c>
      <c r="P23" s="258">
        <v>2023</v>
      </c>
      <c r="Q23" s="257">
        <v>2024</v>
      </c>
      <c r="R23" s="257">
        <v>2025</v>
      </c>
      <c r="S23" s="257">
        <v>2026</v>
      </c>
      <c r="T23" s="257">
        <v>2027</v>
      </c>
      <c r="U23" s="257">
        <v>2028</v>
      </c>
      <c r="V23" s="257">
        <v>2029</v>
      </c>
      <c r="W23" s="257">
        <v>2030</v>
      </c>
      <c r="X23" s="257">
        <v>2031</v>
      </c>
      <c r="Y23" s="257">
        <v>2032</v>
      </c>
      <c r="Z23" s="257">
        <v>2033</v>
      </c>
      <c r="AA23" s="257">
        <v>2034</v>
      </c>
      <c r="AB23" s="257">
        <v>2035</v>
      </c>
      <c r="AC23" s="257">
        <v>2036</v>
      </c>
    </row>
    <row r="24" spans="1:29" ht="15.75">
      <c r="A24" s="231" t="s">
        <v>189</v>
      </c>
      <c r="E24" s="236">
        <v>0</v>
      </c>
      <c r="F24" s="236">
        <v>0</v>
      </c>
      <c r="G24" s="236">
        <f>F29</f>
        <v>169000</v>
      </c>
      <c r="H24" s="236">
        <f>G29</f>
        <v>647000</v>
      </c>
      <c r="I24" s="236">
        <f>H29</f>
        <v>872198.00134217239</v>
      </c>
      <c r="J24" s="236">
        <f>I29</f>
        <v>966996.70331679448</v>
      </c>
      <c r="K24" s="236">
        <f>J29</f>
        <v>1054998.0206254795</v>
      </c>
      <c r="L24" s="236">
        <f>K29</f>
        <v>1289028.9460648575</v>
      </c>
      <c r="M24" s="236">
        <f>L29</f>
        <v>1555229.7050749001</v>
      </c>
      <c r="N24" s="236">
        <f>M29</f>
        <v>1717961.850559789</v>
      </c>
      <c r="O24" s="236">
        <f>N29</f>
        <v>1827633.1134328938</v>
      </c>
      <c r="P24" s="237">
        <f>O29</f>
        <v>1776136.1062616883</v>
      </c>
      <c r="Q24" s="236">
        <f>P29</f>
        <v>1660515.1235619597</v>
      </c>
      <c r="R24" s="236">
        <f>Q29</f>
        <v>1542243.6484331403</v>
      </c>
      <c r="S24" s="236">
        <f>R29</f>
        <v>1418273.8146250697</v>
      </c>
      <c r="T24" s="236">
        <f>S29</f>
        <v>1288556.1763013329</v>
      </c>
      <c r="U24" s="236">
        <f>T29</f>
        <v>1153039.6559129127</v>
      </c>
      <c r="V24" s="236">
        <f>U29</f>
        <v>1011271.4903516746</v>
      </c>
      <c r="W24" s="236">
        <f>V29</f>
        <v>862797.17532691569</v>
      </c>
      <c r="X24" s="236">
        <f>W29</f>
        <v>707427.07457300636</v>
      </c>
      <c r="Y24" s="236">
        <f>X29</f>
        <v>582636.36049421807</v>
      </c>
      <c r="Z24" s="236">
        <f>Y29</f>
        <v>454164.95285082969</v>
      </c>
      <c r="AA24" s="236">
        <f>Z29</f>
        <v>321350.78875520953</v>
      </c>
      <c r="AB24" s="236">
        <f>AA29</f>
        <v>184729.75724443386</v>
      </c>
      <c r="AC24" s="236">
        <f>AB29</f>
        <v>67035.631693802599</v>
      </c>
    </row>
    <row r="25" spans="1:29" ht="15.75">
      <c r="A25" s="231" t="s">
        <v>188</v>
      </c>
      <c r="E25" s="236">
        <f>E15</f>
        <v>0.001</v>
      </c>
      <c r="F25" s="236">
        <f>F15</f>
        <v>0</v>
      </c>
      <c r="G25" s="236">
        <f>G109+G118+G137+G127</f>
        <v>490000</v>
      </c>
      <c r="H25" s="236">
        <f>H109+H118+H137+H127</f>
        <v>239864.66800883901</v>
      </c>
      <c r="I25" s="236">
        <f>I109+I118+I137+I127</f>
        <v>109465.36864128872</v>
      </c>
      <c r="J25" s="236">
        <f>J109+J118+J137+J127</f>
        <v>131467.9839753517</v>
      </c>
      <c r="K25" s="236">
        <f>K109+K118+K137+K127</f>
        <v>291897.5921060447</v>
      </c>
      <c r="L25" s="236">
        <f>L109+L118+L137+L127</f>
        <v>325267.42567670916</v>
      </c>
      <c r="M25" s="236">
        <f>M109+M118+M137+M127</f>
        <v>225398.81215155558</v>
      </c>
      <c r="N25" s="236">
        <f>N109+N118+N137+N127</f>
        <v>176537.92953977149</v>
      </c>
      <c r="O25" s="236">
        <f>O109+O118+O137+O127</f>
        <v>59119.820224465831</v>
      </c>
      <c r="P25" s="237">
        <f>P109+P118+P137+P127</f>
        <v>0</v>
      </c>
      <c r="Q25" s="236">
        <f>Q109+Q118+Q137+Q127</f>
        <v>0</v>
      </c>
      <c r="R25" s="236">
        <f>R109+R118+R137+R127</f>
        <v>0</v>
      </c>
      <c r="S25" s="236">
        <f>S109+S118+S137+S127</f>
        <v>0</v>
      </c>
      <c r="T25" s="236">
        <f>T109+T118+T137+T127</f>
        <v>0</v>
      </c>
      <c r="U25" s="236">
        <f>U109+U118+U137+U127</f>
        <v>0</v>
      </c>
      <c r="V25" s="236">
        <f>V109+V118+V137+V127</f>
        <v>0</v>
      </c>
      <c r="W25" s="236">
        <f>W109+W118+W137+W127</f>
        <v>0</v>
      </c>
      <c r="X25" s="236">
        <f>X109+X118+X137+X127</f>
        <v>0</v>
      </c>
      <c r="Y25" s="236">
        <f>Y109+Y118+Y137+Y127</f>
        <v>0</v>
      </c>
      <c r="Z25" s="236">
        <f>Z109+Z118+Z137+Z127</f>
        <v>0</v>
      </c>
      <c r="AA25" s="236">
        <f>AA109+AA118+AA137+AA127</f>
        <v>0</v>
      </c>
      <c r="AB25" s="236">
        <f>AB109+AB118+AB137+AB127</f>
        <v>0</v>
      </c>
      <c r="AC25" s="236">
        <f>AC109+AC118+AC137+AC127</f>
        <v>0</v>
      </c>
    </row>
    <row r="26" spans="1:29" ht="15.75">
      <c r="A26" s="231" t="s">
        <v>187</v>
      </c>
      <c r="D26" s="256"/>
      <c r="E26" s="236">
        <v>0</v>
      </c>
      <c r="F26" s="236">
        <v>0</v>
      </c>
      <c r="G26" s="236">
        <f>G110+G119+G138+G128</f>
        <v>11790.700000000001</v>
      </c>
      <c r="H26" s="236">
        <f>H110+H119+H138+H128</f>
        <v>22302.599999999999</v>
      </c>
      <c r="I26" s="236">
        <f>I110+I119+I138+I128</f>
        <v>29352.245960206285</v>
      </c>
      <c r="J26" s="236">
        <f>J110+J119+J138+J128</f>
        <v>32846.579611714187</v>
      </c>
      <c r="K26" s="236">
        <f>K110+K119+K138+K128</f>
        <v>38458.244950390566</v>
      </c>
      <c r="L26" s="236">
        <f>L110+L119+L138+L128</f>
        <v>46794.801077139331</v>
      </c>
      <c r="M26" s="236">
        <f>M110+M119+M138+M128</f>
        <v>53996.92733463904</v>
      </c>
      <c r="N26" s="236">
        <f>N110+N119+N138+N128</f>
        <v>58631.016905879267</v>
      </c>
      <c r="O26" s="236">
        <f>O110+O119+O138+O128</f>
        <v>60387.703110322509</v>
      </c>
      <c r="P26" s="237">
        <f>P110+P119+P138+P128</f>
        <v>57787.758173302384</v>
      </c>
      <c r="Q26" s="236">
        <f>Q110+Q119+Q138+Q128</f>
        <v>54051.999077544671</v>
      </c>
      <c r="R26" s="236">
        <f>R110+R119+R138+R128</f>
        <v>50235.973731626967</v>
      </c>
      <c r="S26" s="236">
        <f>S110+S119+S138+S128</f>
        <v>46234.302549293971</v>
      </c>
      <c r="T26" s="236">
        <f>T110+T119+T138+T128</f>
        <v>42050.153817943989</v>
      </c>
      <c r="U26" s="236">
        <f>U110+U119+U138+U128</f>
        <v>37679.441978459443</v>
      </c>
      <c r="V26" s="236">
        <f>V110+V119+V138+V128</f>
        <v>33119.425848271923</v>
      </c>
      <c r="W26" s="236">
        <f>W110+W119+W138+W128</f>
        <v>28342.706785788207</v>
      </c>
      <c r="X26" s="236">
        <f>X110+X119+X138+X128</f>
        <v>23345.0934609092</v>
      </c>
      <c r="Y26" s="236">
        <f>Y110+Y119+Y138+Y128</f>
        <v>19226.999896309186</v>
      </c>
      <c r="Z26" s="236">
        <f>Z110+Z119+Z138+Z128</f>
        <v>14987.443444077369</v>
      </c>
      <c r="AA26" s="236">
        <f>AA110+AA119+AA138+AA128</f>
        <v>10604.5760289219</v>
      </c>
      <c r="AB26" s="236">
        <f>AB110+AB119+AB138+AB128</f>
        <v>6096.0819890663024</v>
      </c>
      <c r="AC26" s="236">
        <f>AC110+AC119+AC138+AC128</f>
        <v>2212.1758458954705</v>
      </c>
    </row>
    <row r="27" spans="1:29" ht="15.75">
      <c r="A27" s="231" t="s">
        <v>186</v>
      </c>
      <c r="D27" s="256"/>
      <c r="E27" s="247">
        <f>-IF(E$23&gt;=$H$21,E26,0)</f>
        <v>0</v>
      </c>
      <c r="F27" s="247">
        <v>0</v>
      </c>
      <c r="G27" s="247">
        <f>G111+G120+G139+G129</f>
        <v>-11790.700000000001</v>
      </c>
      <c r="H27" s="247">
        <f>H111+H120+H139+H129</f>
        <v>-22302.599999999999</v>
      </c>
      <c r="I27" s="247">
        <f>I111+I120+I139+I129</f>
        <v>-29352.245960206285</v>
      </c>
      <c r="J27" s="247">
        <f>J111+J120+J139+J129</f>
        <v>-32846.579611714187</v>
      </c>
      <c r="K27" s="247">
        <f>K111+K120+K139+K129</f>
        <v>-38458.244950390566</v>
      </c>
      <c r="L27" s="247">
        <f>L111+L120+L139+L129</f>
        <v>-46794.801077139331</v>
      </c>
      <c r="M27" s="247">
        <f>M111+M120+M139+M129</f>
        <v>-53996.92733463904</v>
      </c>
      <c r="N27" s="247">
        <f>N111+N120+N139+N129</f>
        <v>-58631.016905879267</v>
      </c>
      <c r="O27" s="247">
        <f>O111+O120+O139+O129</f>
        <v>-60387.703110322509</v>
      </c>
      <c r="P27" s="248">
        <f>P111+P120+P139+P129</f>
        <v>-57787.758173302384</v>
      </c>
      <c r="Q27" s="247">
        <f>Q111+Q120+Q139+Q129</f>
        <v>-54051.999077544671</v>
      </c>
      <c r="R27" s="247">
        <f>R111+R120+R139+R129</f>
        <v>-50235.973731626967</v>
      </c>
      <c r="S27" s="247">
        <f>S111+S120+S139+S129</f>
        <v>-46234.302549293971</v>
      </c>
      <c r="T27" s="247">
        <f>T111+T120+T139+T129</f>
        <v>-42050.153817943989</v>
      </c>
      <c r="U27" s="247">
        <f>U111+U120+U139+U129</f>
        <v>-37679.441978459443</v>
      </c>
      <c r="V27" s="247">
        <f>V111+V120+V139+V129</f>
        <v>-33119.425848271923</v>
      </c>
      <c r="W27" s="247">
        <f>W111+W120+W139+W129</f>
        <v>-28342.706785788207</v>
      </c>
      <c r="X27" s="247">
        <f>X111+X120+X139+X129</f>
        <v>-23345.0934609092</v>
      </c>
      <c r="Y27" s="247">
        <f>Y111+Y120+Y139+Y129</f>
        <v>-19226.999896309186</v>
      </c>
      <c r="Z27" s="247">
        <f>Z111+Z120+Z139+Z129</f>
        <v>-14987.443444077369</v>
      </c>
      <c r="AA27" s="247">
        <f>AA111+AA120+AA139+AA129</f>
        <v>-10604.5760289219</v>
      </c>
      <c r="AB27" s="247">
        <f>AB111+AB120+AB139+AB129</f>
        <v>-6096.0819890663024</v>
      </c>
      <c r="AC27" s="247">
        <f>AC111+AC120+AC139+AC129</f>
        <v>-2212.1758458954705</v>
      </c>
    </row>
    <row r="28" spans="1:29" ht="16.5" thickBot="1">
      <c r="A28" s="255" t="s">
        <v>185</v>
      </c>
      <c r="B28" s="254"/>
      <c r="C28" s="254"/>
      <c r="D28" s="252"/>
      <c r="E28" s="252">
        <f>IF(AND(E23&gt;=$I$21,E23&lt;=$I$21+$F$21-1),-(#REF!/Min_ADSCR-SUM(E42:E47)+SUM(E72:E76)),0)</f>
        <v>0</v>
      </c>
      <c r="F28" s="252">
        <f>IF(AND(F23&gt;=$I$21,F23&lt;=$I$21+$F$21-1),-(#REF!/Min_ADSCR-SUM(F42:F47)+SUM(F72:F76)),0)</f>
        <v>0</v>
      </c>
      <c r="G28" s="252">
        <f>G112+G121+G140+G130</f>
        <v>-12000</v>
      </c>
      <c r="H28" s="252">
        <f>H112+H121+H140+H130</f>
        <v>-14666.666666666666</v>
      </c>
      <c r="I28" s="252">
        <f>I112+I121+I140+I130</f>
        <v>-14666.666666666666</v>
      </c>
      <c r="J28" s="252">
        <f>J112+J121+J140+J130</f>
        <v>-43466.666666666664</v>
      </c>
      <c r="K28" s="252">
        <f>K112+K121+K140+K130</f>
        <v>-57866.666666666664</v>
      </c>
      <c r="L28" s="252">
        <f>L112+L121+L140+L130</f>
        <v>-59066.666666666672</v>
      </c>
      <c r="M28" s="252">
        <f>M112+M121+M140+M130</f>
        <v>-62666.666666666664</v>
      </c>
      <c r="N28" s="252">
        <f>N112+N121+N140+N130</f>
        <v>-66866.666666666657</v>
      </c>
      <c r="O28" s="252">
        <f>O112+O121+O140+O130</f>
        <v>-110616.82739567135</v>
      </c>
      <c r="P28" s="253">
        <f>P112+P121+P140+P130</f>
        <v>-115620.9826997285</v>
      </c>
      <c r="Q28" s="252">
        <f>Q112+Q121+Q140+Q130</f>
        <v>-118271.47512881956</v>
      </c>
      <c r="R28" s="252">
        <f>R112+R121+R140+R130</f>
        <v>-123969.8338080706</v>
      </c>
      <c r="S28" s="252">
        <f>S112+S121+S140+S130</f>
        <v>-129717.63832373693</v>
      </c>
      <c r="T28" s="252">
        <f>T112+T121+T140+T130</f>
        <v>-135516.52038842024</v>
      </c>
      <c r="U28" s="252">
        <f>U112+U121+U140+U130</f>
        <v>-141768.16556123813</v>
      </c>
      <c r="V28" s="252">
        <f>V112+V121+V140+V130</f>
        <v>-148474.31502475898</v>
      </c>
      <c r="W28" s="252">
        <f>W112+W121+W140+W130</f>
        <v>-155370.10075390936</v>
      </c>
      <c r="X28" s="252">
        <f>X112+X121+X140+X130</f>
        <v>-124790.71407878836</v>
      </c>
      <c r="Y28" s="252">
        <f>Y112+Y121+Y140+Y130</f>
        <v>-128471.40764338838</v>
      </c>
      <c r="Z28" s="252">
        <f>Z112+Z121+Z140+Z130</f>
        <v>-132814.16409562019</v>
      </c>
      <c r="AA28" s="252">
        <f>AA112+AA121+AA140+AA130</f>
        <v>-136621.03151077568</v>
      </c>
      <c r="AB28" s="252">
        <f>AB112+AB121+AB140+AB130</f>
        <v>-117694.12555063126</v>
      </c>
      <c r="AC28" s="252">
        <f>AC112+AC121+AC140+AC130</f>
        <v>-67035.631693802075</v>
      </c>
    </row>
    <row r="29" spans="1:29" s="249" customFormat="1" ht="16.5" thickTop="1">
      <c r="A29" s="331" t="s">
        <v>248</v>
      </c>
      <c r="B29" s="329"/>
      <c r="C29" s="329"/>
      <c r="D29" s="331"/>
      <c r="E29" s="329"/>
      <c r="F29" s="329">
        <f>F141</f>
        <v>169000</v>
      </c>
      <c r="G29" s="329">
        <f>SUM(G24:G28)</f>
        <v>647000</v>
      </c>
      <c r="H29" s="329">
        <f>SUM(H24:H28)</f>
        <v>872198.00134217239</v>
      </c>
      <c r="I29" s="329">
        <f>SUM(I24:I28)</f>
        <v>966996.70331679448</v>
      </c>
      <c r="J29" s="329">
        <f>SUM(J24:J28)</f>
        <v>1054998.0206254795</v>
      </c>
      <c r="K29" s="329">
        <f>SUM(K24:K28)</f>
        <v>1289028.9460648575</v>
      </c>
      <c r="L29" s="329">
        <f>SUM(L24:L28)</f>
        <v>1555229.7050749001</v>
      </c>
      <c r="M29" s="329">
        <f>SUM(M24:M28)</f>
        <v>1717961.850559789</v>
      </c>
      <c r="N29" s="329">
        <f>SUM(N24:N28)</f>
        <v>1827633.1134328938</v>
      </c>
      <c r="O29" s="329">
        <f>SUM(O24:O28)</f>
        <v>1776136.1062616883</v>
      </c>
      <c r="P29" s="330">
        <f>SUM(P24:P28)</f>
        <v>1660515.1235619597</v>
      </c>
      <c r="Q29" s="329">
        <f>SUM(Q24:Q28)</f>
        <v>1542243.6484331403</v>
      </c>
      <c r="R29" s="329">
        <f>SUM(R24:R28)</f>
        <v>1418273.8146250697</v>
      </c>
      <c r="S29" s="329">
        <f>SUM(S24:S28)</f>
        <v>1288556.1763013329</v>
      </c>
      <c r="T29" s="329">
        <f>SUM(T24:T28)</f>
        <v>1153039.6559129127</v>
      </c>
      <c r="U29" s="329">
        <f>SUM(U24:U28)</f>
        <v>1011271.4903516746</v>
      </c>
      <c r="V29" s="329">
        <f>SUM(V24:V28)</f>
        <v>862797.17532691569</v>
      </c>
      <c r="W29" s="329">
        <f>SUM(W24:W28)</f>
        <v>707427.07457300636</v>
      </c>
      <c r="X29" s="329">
        <f>SUM(X24:X28)</f>
        <v>582636.36049421807</v>
      </c>
      <c r="Y29" s="329">
        <f>SUM(Y24:Y28)</f>
        <v>454164.95285082969</v>
      </c>
      <c r="Z29" s="329">
        <f>SUM(Z24:Z28)</f>
        <v>321350.78875520953</v>
      </c>
      <c r="AA29" s="329">
        <f>SUM(AA24:AA28)</f>
        <v>184729.75724443386</v>
      </c>
      <c r="AB29" s="329">
        <f>SUM(AB24:AB28)</f>
        <v>67035.631693802599</v>
      </c>
      <c r="AC29" s="329">
        <f>SUM(AC24:AC28)</f>
        <v>5.2386894822120667E-10</v>
      </c>
    </row>
    <row r="30" spans="1:29" ht="15.75">
      <c r="A30" s="328" t="s">
        <v>247</v>
      </c>
      <c r="B30" s="328"/>
      <c r="C30" s="328"/>
      <c r="D30" s="328"/>
      <c r="E30" s="327">
        <v>50000</v>
      </c>
      <c r="J30" s="324"/>
      <c r="K30" s="326"/>
      <c r="L30" s="324"/>
      <c r="M30" s="324"/>
      <c r="N30" s="324"/>
      <c r="O30" s="324"/>
      <c r="P30" s="325"/>
      <c r="Q30" s="324"/>
      <c r="R30" s="324"/>
      <c r="S30" s="324"/>
      <c r="T30" s="324"/>
      <c r="U30" s="324"/>
      <c r="V30" s="324"/>
      <c r="W30" s="324"/>
      <c r="X30" s="324"/>
      <c r="Y30" s="324"/>
      <c r="Z30" s="324"/>
      <c r="AA30" s="324"/>
      <c r="AB30" s="240"/>
      <c r="AC30" s="240"/>
    </row>
    <row r="31" spans="1:29" ht="15.75">
      <c r="A31" s="249"/>
      <c r="B31" s="249"/>
      <c r="C31" s="249"/>
      <c r="D31" s="249"/>
      <c r="E31" s="251"/>
      <c r="F31" s="251"/>
      <c r="G31" s="251"/>
      <c r="H31" s="251"/>
      <c r="I31" s="251"/>
      <c r="J31" s="322"/>
      <c r="K31" s="322"/>
      <c r="L31" s="322"/>
      <c r="M31" s="322"/>
      <c r="N31" s="322"/>
      <c r="O31" s="322"/>
      <c r="P31" s="323"/>
      <c r="Q31" s="322"/>
      <c r="R31" s="322"/>
      <c r="S31" s="322"/>
      <c r="T31" s="322"/>
      <c r="U31" s="322"/>
      <c r="V31" s="322"/>
      <c r="W31" s="322"/>
      <c r="X31" s="322"/>
      <c r="Y31" s="322"/>
      <c r="Z31" s="322"/>
      <c r="AA31" s="322"/>
      <c r="AB31" s="321"/>
      <c r="AC31" s="321"/>
    </row>
    <row r="32" spans="1:27" ht="15.75">
      <c r="A32" s="306" t="s">
        <v>246</v>
      </c>
      <c r="B32" s="306"/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  <c r="S32" s="306"/>
      <c r="T32" s="306"/>
      <c r="U32" s="306"/>
      <c r="V32" s="306"/>
      <c r="W32" s="306"/>
      <c r="X32" s="306"/>
      <c r="Y32" s="306"/>
      <c r="Z32" s="306"/>
      <c r="AA32" s="306"/>
    </row>
    <row r="33" spans="4:27" ht="15.75">
      <c r="D33" s="236"/>
      <c r="E33" s="257">
        <v>2012</v>
      </c>
      <c r="F33" s="257">
        <v>2013</v>
      </c>
      <c r="G33" s="257">
        <v>2014</v>
      </c>
      <c r="H33" s="257">
        <v>2015</v>
      </c>
      <c r="I33" s="257">
        <v>2016</v>
      </c>
      <c r="J33" s="257">
        <v>2017</v>
      </c>
      <c r="K33" s="257">
        <v>2018</v>
      </c>
      <c r="L33" s="257">
        <v>2019</v>
      </c>
      <c r="M33" s="257">
        <v>2020</v>
      </c>
      <c r="N33" s="257">
        <v>2021</v>
      </c>
      <c r="O33" s="257">
        <v>2022</v>
      </c>
      <c r="P33" s="258">
        <v>2023</v>
      </c>
      <c r="Q33" s="257">
        <v>2024</v>
      </c>
      <c r="R33" s="257">
        <v>2025</v>
      </c>
      <c r="S33" s="257">
        <v>2026</v>
      </c>
      <c r="T33" s="257">
        <v>2027</v>
      </c>
      <c r="U33" s="257">
        <v>2028</v>
      </c>
      <c r="V33" s="257">
        <v>2029</v>
      </c>
      <c r="W33" s="257">
        <v>2030</v>
      </c>
      <c r="X33" s="257">
        <v>2031</v>
      </c>
      <c r="Y33" s="257">
        <v>2032</v>
      </c>
      <c r="Z33" s="257">
        <v>2033</v>
      </c>
      <c r="AA33" s="257">
        <v>2034</v>
      </c>
    </row>
    <row r="34" spans="1:30" ht="15.75">
      <c r="A34" s="249" t="s">
        <v>245</v>
      </c>
      <c r="E34" s="236">
        <v>0</v>
      </c>
      <c r="F34" s="236">
        <v>0</v>
      </c>
      <c r="G34" s="236">
        <f>'עלויות המטש'!F8/1000</f>
        <v>143935.25298831012</v>
      </c>
      <c r="H34" s="236">
        <f>'עלויות המטש'!G8/1000</f>
        <v>153571.87159838187</v>
      </c>
      <c r="I34" s="236">
        <f>'עלויות המטש'!H8/1000</f>
        <v>151157.21100402088</v>
      </c>
      <c r="J34" s="236">
        <f>'עלויות המטש'!I8/1000</f>
        <v>152668.78311406108</v>
      </c>
      <c r="K34" s="236">
        <f>'עלויות המטש'!J8/1000</f>
        <v>154195.4709452017</v>
      </c>
      <c r="L34" s="236">
        <f>'עלויות המטש'!K8/1000</f>
        <v>155737.42565465369</v>
      </c>
      <c r="M34" s="236">
        <f>'עלויות המטש'!L8/1000</f>
        <v>157294.79991120024</v>
      </c>
      <c r="N34" s="236">
        <f>'עלויות המטש'!M8/1000</f>
        <v>158867.74791031226</v>
      </c>
      <c r="O34" s="236">
        <f>'עלויות המטש'!N8/1000</f>
        <v>160456.42538941535</v>
      </c>
      <c r="P34" s="237">
        <f>'עלויות המטש'!O8/1000</f>
        <v>162060.98964330956</v>
      </c>
      <c r="Q34" s="236">
        <f>'עלויות המטש'!P8/1000</f>
        <v>163681.59953974263</v>
      </c>
      <c r="R34" s="236">
        <f>'עלויות המטש'!Q8/1000</f>
        <v>165318.41553514003</v>
      </c>
      <c r="S34" s="236">
        <f>'עלויות המטש'!R8/1000</f>
        <v>166971.59969049145</v>
      </c>
      <c r="T34" s="236">
        <f>'עלויות המטש'!S8/1000</f>
        <v>168641.31568739636</v>
      </c>
      <c r="U34" s="236">
        <f>'עלויות המטש'!T8/1000</f>
        <v>170327.72884427031</v>
      </c>
      <c r="V34" s="236">
        <f>'עלויות המטש'!U8/1000</f>
        <v>172031.00613271302</v>
      </c>
      <c r="W34" s="236">
        <f>'עלויות המטש'!V8/1000</f>
        <v>173751.31619404015</v>
      </c>
      <c r="X34" s="236">
        <f>'עלויות המטש'!W8/1000</f>
        <v>175488.82935598056</v>
      </c>
      <c r="Y34" s="236">
        <f>'עלויות המטש'!X8/1000</f>
        <v>177243.71764954037</v>
      </c>
      <c r="Z34" s="236">
        <f>'עלויות המטש'!Y8/1000</f>
        <v>179016.15482603578</v>
      </c>
      <c r="AA34" s="236">
        <f>'עלויות המטש'!Z8/1000</f>
        <v>180806.31637429612</v>
      </c>
      <c r="AD34" s="236">
        <f>SUM(F34:W34)</f>
        <v>2730668.9597826605</v>
      </c>
    </row>
    <row r="35" spans="1:30" ht="15.75">
      <c r="A35" s="249" t="s">
        <v>244</v>
      </c>
      <c r="D35" s="236"/>
      <c r="E35" s="236">
        <v>0</v>
      </c>
      <c r="F35" s="236">
        <v>0</v>
      </c>
      <c r="G35" s="236">
        <f>'עלויות ההולכה'!F14/1000</f>
        <v>178014.05716688099</v>
      </c>
      <c r="H35" s="236">
        <f>'עלויות ההולכה'!G14/1000</f>
        <v>165203.00469417471</v>
      </c>
      <c r="I35" s="236">
        <f>'עלויות ההולכה'!H14/1000</f>
        <v>164013.83405146125</v>
      </c>
      <c r="J35" s="236">
        <f>'עלויות ההולכה'!I14/1000</f>
        <v>196366.32935068131</v>
      </c>
      <c r="K35" s="236">
        <f>'עלויות ההולכה'!J14/1000</f>
        <v>236974.58206561895</v>
      </c>
      <c r="L35" s="236">
        <f>'עלויות ההולכה'!K14/1000</f>
        <v>239302.74788627512</v>
      </c>
      <c r="M35" s="236">
        <f>'עלויות ההולכה'!L14/1000</f>
        <v>241654.19536513789</v>
      </c>
      <c r="N35" s="236">
        <f>'עלויות ההולכה'!M14/1000</f>
        <v>247871.9777660578</v>
      </c>
      <c r="O35" s="236">
        <f>'עלויות ההולכה'!N14/1000</f>
        <v>245248.39361061648</v>
      </c>
      <c r="P35" s="237">
        <f>'עלויות ההולכה'!O14/1000</f>
        <v>243085.89288542094</v>
      </c>
      <c r="Q35" s="236">
        <f>'עלויות ההולכה'!P14/1000</f>
        <v>242835.66398118102</v>
      </c>
      <c r="R35" s="236">
        <f>'עלויות ההולכה'!Q14/1000</f>
        <v>244555.96489313655</v>
      </c>
      <c r="S35" s="236">
        <f>'עלויות ההולכה'!R14/1000</f>
        <v>246959.94454206791</v>
      </c>
      <c r="T35" s="236">
        <f>'עלויות ההולכה'!S14/1000</f>
        <v>249387.96398748859</v>
      </c>
      <c r="U35" s="236">
        <f>'עלויות ההולכה'!T14/1000</f>
        <v>251840.26362736357</v>
      </c>
      <c r="V35" s="236">
        <f>'עלויות ההולכה'!U14/1000</f>
        <v>254317.08626363712</v>
      </c>
      <c r="W35" s="236">
        <f>'עלויות ההולכה'!V14/1000</f>
        <v>256818.67712627348</v>
      </c>
      <c r="X35" s="236">
        <f>'עלויות ההולכה'!W14/1000</f>
        <v>259345.28389753625</v>
      </c>
      <c r="Y35" s="236">
        <f>'עלויות ההולכה'!X14/1000</f>
        <v>261897.15673651162</v>
      </c>
      <c r="Z35" s="236">
        <f>'עלויות ההולכה'!Y14/1000</f>
        <v>264474.54830387671</v>
      </c>
      <c r="AA35" s="236">
        <f>'עלויות ההולכה'!Z14/1000</f>
        <v>267077.71378691553</v>
      </c>
      <c r="AD35" s="236">
        <f>SUM(F35:W35)</f>
        <v>3904450.5792634739</v>
      </c>
    </row>
    <row r="36" spans="1:30" ht="15.75">
      <c r="A36" s="249" t="s">
        <v>243</v>
      </c>
      <c r="E36" s="236">
        <v>0</v>
      </c>
      <c r="F36" s="236">
        <v>0</v>
      </c>
      <c r="G36" s="236">
        <f>'עלויות המטש'!F11/1000+'עלויות המטש'!F12/1000</f>
        <v>51127.457700000006</v>
      </c>
      <c r="H36" s="236">
        <f>'עלויות המטש'!G11/1000+'עלויות המטש'!G12/1000</f>
        <v>51365.822276999992</v>
      </c>
      <c r="I36" s="236">
        <f>'עלויות המטש'!H11/1000+'עלויות המטש'!H12/1000</f>
        <v>51606.570499770001</v>
      </c>
      <c r="J36" s="236">
        <f>'עלויות המטש'!I11/1000+'עלויות המטש'!I12/1000</f>
        <v>51849.726204767707</v>
      </c>
      <c r="K36" s="236">
        <f>'עלויות המטש'!J11/1000+'עלויות המטש'!J12/1000</f>
        <v>52095.31346681538</v>
      </c>
      <c r="L36" s="236">
        <f>'עלויות המטש'!K11/1000+'עלויות המטש'!K12/1000</f>
        <v>52343.356601483538</v>
      </c>
      <c r="M36" s="236">
        <f>'עלויות המטש'!L11/1000+'עלויות המטש'!L12/1000</f>
        <v>52593.880167498362</v>
      </c>
      <c r="N36" s="236">
        <f>'עלויות המטש'!M11/1000+'עלויות המטש'!M12/1000</f>
        <v>52846.908969173346</v>
      </c>
      <c r="O36" s="236">
        <f>'עלויות המטש'!N11/1000+'עלויות המטש'!N12/1000</f>
        <v>53102.468058865088</v>
      </c>
      <c r="P36" s="237">
        <f>'עלויות המטש'!O11/1000+'עלויות המטש'!O12/1000</f>
        <v>53360.582739453734</v>
      </c>
      <c r="Q36" s="236">
        <f>'עלויות המטש'!P11/1000+'עלויות המטש'!P12/1000</f>
        <v>53621.278566848276</v>
      </c>
      <c r="R36" s="236">
        <f>'עלויות המטש'!Q11/1000+'עלויות המטש'!Q12/1000</f>
        <v>53884.581352516754</v>
      </c>
      <c r="S36" s="236">
        <f>'עלויות המטש'!R11/1000+'עלויות המטש'!R12/1000</f>
        <v>54150.517166041929</v>
      </c>
      <c r="T36" s="236">
        <f>'עלויות המטש'!S11/1000+'עלויות המטש'!S12/1000</f>
        <v>54419.11233770234</v>
      </c>
      <c r="U36" s="236">
        <f>'עלויות המטש'!T11/1000+'עלויות המטש'!T12/1000</f>
        <v>54690.393461079373</v>
      </c>
      <c r="V36" s="236">
        <f>'עלויות המטש'!U11/1000+'עלויות המטש'!U12/1000</f>
        <v>54964.387395690159</v>
      </c>
      <c r="W36" s="236">
        <f>'עלויות המטש'!V11/1000+'עלויות המטש'!V12/1000</f>
        <v>55241.121269647061</v>
      </c>
      <c r="X36" s="236">
        <f>'עלויות המטש'!W11/1000+'עלויות המטש'!W12/1000</f>
        <v>55793.532482343529</v>
      </c>
      <c r="Y36" s="236">
        <f>'עלויות המטש'!X11/1000+'עלויות המטש'!X12/1000</f>
        <v>56351.46780716697</v>
      </c>
      <c r="Z36" s="236">
        <f>'עלויות המטש'!Y11/1000+'עלויות המטש'!Y12/1000</f>
        <v>56914.982485238645</v>
      </c>
      <c r="AA36" s="236">
        <f>'עלויות המטש'!Z11/1000+'עלויות המטש'!Z12/1000</f>
        <v>57484.132310091023</v>
      </c>
      <c r="AD36" s="236">
        <f>SUM(F36:W36)</f>
        <v>903263.47823435289</v>
      </c>
    </row>
    <row r="37" spans="1:30" ht="15.75">
      <c r="A37" s="249" t="s">
        <v>242</v>
      </c>
      <c r="E37" s="236">
        <v>0</v>
      </c>
      <c r="F37" s="236">
        <v>0</v>
      </c>
      <c r="G37" s="236">
        <f>'עלויות ההולכה'!F22/1000</f>
        <v>111960.622892</v>
      </c>
      <c r="H37" s="236">
        <f>'עלויות ההולכה'!G22/1000</f>
        <v>109518.98492092</v>
      </c>
      <c r="I37" s="236">
        <f>'עלויות ההולכה'!H22/1000</f>
        <v>115302.9305701292</v>
      </c>
      <c r="J37" s="236">
        <f>'עלויות ההולכה'!I22/1000</f>
        <v>122996.49903723325</v>
      </c>
      <c r="K37" s="236">
        <f>'עלויות ההולכה'!J22/1000</f>
        <v>124067.8290247249</v>
      </c>
      <c r="L37" s="236">
        <f>'עלויות ההולכה'!K22/1000</f>
        <v>125088.26311497213</v>
      </c>
      <c r="M37" s="236">
        <f>'עלויות ההולכה'!L22/1000</f>
        <v>126118.90154612185</v>
      </c>
      <c r="N37" s="236">
        <f>'עלויות ההולכה'!M22/1000</f>
        <v>131002.66680885159</v>
      </c>
      <c r="O37" s="236">
        <f>'עלויות ההולכה'!N22/1000</f>
        <v>142442.44568158337</v>
      </c>
      <c r="P37" s="237">
        <f>'עלויות ההולכה'!O22/1000</f>
        <v>139726.56480014062</v>
      </c>
      <c r="Q37" s="236">
        <f>'עלויות ההולכה'!P22/1000</f>
        <v>144862.84799778322</v>
      </c>
      <c r="R37" s="236">
        <f>'עלויות ההולכה'!Q22/1000</f>
        <v>146091.23227776104</v>
      </c>
      <c r="S37" s="236">
        <f>'עלויות ההולכה'!R22/1000</f>
        <v>147331.90040053867</v>
      </c>
      <c r="T37" s="236">
        <f>'עלויות ההולכה'!S22/1000</f>
        <v>148584.97520454403</v>
      </c>
      <c r="U37" s="236">
        <f>'עלויות ההולכה'!T22/1000</f>
        <v>149850.58075658948</v>
      </c>
      <c r="V37" s="236">
        <f>'עלויות ההולכה'!U22/1000</f>
        <v>151128.84236415534</v>
      </c>
      <c r="W37" s="236">
        <f>'עלויות ההולכה'!V22/1000</f>
        <v>152419.88658779694</v>
      </c>
      <c r="X37" s="236">
        <f>W37*(W37/V37)</f>
        <v>153721.95977957806</v>
      </c>
      <c r="Y37" s="236">
        <f>X37*(X37/W37)</f>
        <v>155035.15615636285</v>
      </c>
      <c r="Z37" s="236">
        <f>Y37*(Y37/X37)</f>
        <v>156359.5707398793</v>
      </c>
      <c r="AA37" s="236">
        <f>Z37*(Z37/Y37)</f>
        <v>157695.29936359488</v>
      </c>
      <c r="AD37" s="236">
        <f>SUM(F37:W37)</f>
        <v>2288495.9739858457</v>
      </c>
    </row>
    <row r="38" spans="1:27" ht="15.75">
      <c r="A38" s="249" t="s">
        <v>241</v>
      </c>
      <c r="D38" s="316"/>
      <c r="E38" s="316">
        <v>0</v>
      </c>
      <c r="F38" s="316">
        <v>0</v>
      </c>
      <c r="G38" s="316">
        <f>'עלויות ההולכה'!F25/1000</f>
        <v>21000</v>
      </c>
      <c r="H38" s="316">
        <f>'עלויות ההולכה'!G25/1000</f>
        <v>32293.333333333332</v>
      </c>
      <c r="I38" s="316">
        <f>'עלויות ההולכה'!H25/1000</f>
        <v>56466.666666666664</v>
      </c>
      <c r="J38" s="316">
        <f>'עלויות ההולכה'!I25/1000</f>
        <v>56466.666666666664</v>
      </c>
      <c r="K38" s="316">
        <f>'עלויות ההולכה'!J25/1000</f>
        <v>56466.666666666664</v>
      </c>
      <c r="L38" s="316">
        <f>'עלויות ההולכה'!K25/1000</f>
        <v>56466.666666666664</v>
      </c>
      <c r="M38" s="316">
        <f>'עלויות ההולכה'!L25/1000</f>
        <v>56466.666666666664</v>
      </c>
      <c r="N38" s="316">
        <f>'עלויות ההולכה'!M25/1000</f>
        <v>56466.666666666664</v>
      </c>
      <c r="O38" s="316">
        <f>'עלויות ההולכה'!N25/1000</f>
        <v>56466.666666666664</v>
      </c>
      <c r="P38" s="318">
        <f>'עלויות ההולכה'!O25/1000</f>
        <v>56466.666666666664</v>
      </c>
      <c r="Q38" s="316">
        <f>'עלויות ההולכה'!P25/1000</f>
        <v>56466.666666666664</v>
      </c>
      <c r="R38" s="316">
        <f>'עלויות ההולכה'!Q25/1000</f>
        <v>56466.666666666664</v>
      </c>
      <c r="S38" s="316">
        <f>'עלויות ההולכה'!R25/1000</f>
        <v>56466.666666666664</v>
      </c>
      <c r="T38" s="316">
        <f>'עלויות ההולכה'!S25/1000</f>
        <v>56466.666666666664</v>
      </c>
      <c r="U38" s="316">
        <f>'עלויות ההולכה'!T25/1000</f>
        <v>56466.666666666664</v>
      </c>
      <c r="V38" s="316">
        <f>'עלויות ההולכה'!U25/1000</f>
        <v>56466.666666666664</v>
      </c>
      <c r="W38" s="316">
        <f>'עלויות ההולכה'!V25/1000</f>
        <v>56466.666666666664</v>
      </c>
      <c r="X38" s="316">
        <f>W38</f>
        <v>56466.666666666664</v>
      </c>
      <c r="Y38" s="316">
        <f>X38</f>
        <v>56466.666666666664</v>
      </c>
      <c r="Z38" s="316">
        <f>Y38</f>
        <v>56466.666666666664</v>
      </c>
      <c r="AA38" s="316">
        <f>Z38</f>
        <v>56466.666666666664</v>
      </c>
    </row>
    <row r="39" spans="1:4" ht="15.75">
      <c r="A39" s="320"/>
      <c r="B39" s="319"/>
      <c r="C39" s="319"/>
      <c r="D39" s="319"/>
    </row>
    <row r="40" spans="1:27" ht="15.75">
      <c r="A40" s="249" t="s">
        <v>240</v>
      </c>
      <c r="D40" s="236"/>
      <c r="E40" s="236">
        <f>E34+E35-E36-E37-E38</f>
        <v>0</v>
      </c>
      <c r="F40" s="236">
        <f>F34+F35-F36-F37-F38</f>
        <v>0</v>
      </c>
      <c r="G40" s="236">
        <f>G34+G35-G36-G37-G38</f>
        <v>137861.22956319107</v>
      </c>
      <c r="H40" s="236">
        <f>H34+H35-H36-H37-H38</f>
        <v>125596.73576130327</v>
      </c>
      <c r="I40" s="236">
        <f>I34+I35-I36-I37-I38</f>
        <v>91794.877318916289</v>
      </c>
      <c r="J40" s="236">
        <f>J34+J35-J36-J37-J38</f>
        <v>117722.22055607478</v>
      </c>
      <c r="K40" s="236">
        <f>K34+K35-K36-K37-K38</f>
        <v>158540.2438526137</v>
      </c>
      <c r="L40" s="236">
        <f>L34+L35-L36-L37-L38</f>
        <v>161141.88715780649</v>
      </c>
      <c r="M40" s="236">
        <f>M34+M35-M36-M37-M38</f>
        <v>163769.54689605124</v>
      </c>
      <c r="N40" s="236">
        <f>N34+N35-N36-N37-N38</f>
        <v>166423.48323167852</v>
      </c>
      <c r="O40" s="236">
        <f>O34+O35-O36-O37-O38</f>
        <v>153693.23859291666</v>
      </c>
      <c r="P40" s="237">
        <f>P34+P35-P36-P37-P38</f>
        <v>155593.06832246951</v>
      </c>
      <c r="Q40" s="236">
        <f>Q34+Q35-Q36-Q37-Q38</f>
        <v>151566.47028962555</v>
      </c>
      <c r="R40" s="236">
        <f>R34+R35-R36-R37-R38</f>
        <v>153431.90013133214</v>
      </c>
      <c r="S40" s="236">
        <f>S34+S35-S36-S37-S38</f>
        <v>155982.45999931212</v>
      </c>
      <c r="T40" s="236">
        <f>T34+T35-T36-T37-T38</f>
        <v>158558.52546597194</v>
      </c>
      <c r="U40" s="236">
        <f>U34+U35-U36-U37-U38</f>
        <v>161160.35158729836</v>
      </c>
      <c r="V40" s="236">
        <f>V34+V35-V36-V37-V38</f>
        <v>163788.19596983798</v>
      </c>
      <c r="W40" s="236">
        <f>W34+W35-W36-W37-W38</f>
        <v>166442.31879620301</v>
      </c>
      <c r="X40" s="236">
        <f>X34+X35-X36-X37-X38</f>
        <v>168851.95432492858</v>
      </c>
      <c r="Y40" s="236">
        <f>Y34+Y35-Y36-Y37-Y38</f>
        <v>171287.58375585554</v>
      </c>
      <c r="Z40" s="236">
        <f>Z34+Z35-Z36-Z37-Z38</f>
        <v>173749.4832381279</v>
      </c>
      <c r="AA40" s="236">
        <f>AA34+AA35-AA36-AA37-AA38</f>
        <v>176237.93182085903</v>
      </c>
    </row>
    <row r="41" spans="1:27" ht="15.75">
      <c r="A41" s="317"/>
      <c r="B41" s="262"/>
      <c r="C41" s="262"/>
      <c r="D41" s="262"/>
      <c r="E41" s="316"/>
      <c r="F41" s="316"/>
      <c r="G41" s="316"/>
      <c r="H41" s="316"/>
      <c r="I41" s="316"/>
      <c r="J41" s="316"/>
      <c r="K41" s="316"/>
      <c r="L41" s="316"/>
      <c r="M41" s="316"/>
      <c r="N41" s="316"/>
      <c r="O41" s="316"/>
      <c r="P41" s="318"/>
      <c r="Q41" s="316"/>
      <c r="R41" s="316"/>
      <c r="S41" s="316"/>
      <c r="T41" s="316"/>
      <c r="U41" s="316"/>
      <c r="V41" s="316"/>
      <c r="W41" s="316"/>
      <c r="X41" s="316"/>
      <c r="Y41" s="316"/>
      <c r="Z41" s="316"/>
      <c r="AA41" s="316"/>
    </row>
    <row r="42" spans="1:27" ht="15.75">
      <c r="A42" s="249" t="s">
        <v>239</v>
      </c>
      <c r="B42" s="302">
        <f>2008+5</f>
        <v>2013</v>
      </c>
      <c r="C42" s="302"/>
      <c r="D42" s="299"/>
      <c r="E42" s="299">
        <f>IF(E33&lt;$E$21,0,IF($B$2="כן",0,IF(E$33&lt;=$B$42,'[1]הלוואת פועלים'!$C$4/1000,-VLOOKUP(E$33-$B$42,'[1]הלוואת פועלים'!$D$7:$G$22,3)/1000)))</f>
        <v>0</v>
      </c>
      <c r="F42" s="299">
        <f>IF(F33&lt;$E$21,0,IF($B$2="כן",0,IF(F$33&lt;=$B$42,'[1]הלוואת פועלים'!$C$4/1000,-VLOOKUP(F$33-$B$42,'[1]הלוואת פועלים'!$D$7:$G$22,3)/1000)))</f>
        <v>0</v>
      </c>
      <c r="G42" s="299">
        <f>IF(G33&lt;$E$21,0,IF($B$2="כן",0,IF(G$33&lt;=$B$42,'[1]הלוואת פועלים'!$C$4/1000,-VLOOKUP(G$33-$B$42,'[1]הלוואת פועלים'!$D$7:$G$22,3)/1000)))</f>
        <v>0</v>
      </c>
      <c r="H42" s="299">
        <f>IF(H33&lt;$E$21,0,IF($B$2="כן",0,IF(H$33&lt;=$B$42,'[1]הלוואת פועלים'!$C$4/1000,-VLOOKUP(H$33-$B$42,'[1]הלוואת פועלים'!$D$7:$G$22,3)/1000)))</f>
        <v>0</v>
      </c>
      <c r="I42" s="299">
        <f>IF(I33&lt;$E$21,0,IF($B$2="כן",0,IF(I$33&lt;=$B$42,'[1]הלוואת פועלים'!$C$4/1000,-VLOOKUP(I$33-$B$42,'[1]הלוואת פועלים'!$D$7:$G$22,3)/1000)))</f>
        <v>0</v>
      </c>
      <c r="J42" s="299">
        <f>IF(J33&lt;$E$21,0,IF($B$2="כן",0,IF(J$33&lt;=$B$42,'[1]הלוואת פועלים'!$C$4/1000,-VLOOKUP(J$33-$B$42,'[1]הלוואת פועלים'!$D$7:$G$22,3)/1000)))</f>
        <v>0</v>
      </c>
      <c r="K42" s="299">
        <f>IF(K33&lt;$E$21,0,IF($B$2="כן",0,IF(K$33&lt;=$B$42,'[1]הלוואת פועלים'!$C$4/1000,-VLOOKUP(K$33-$B$42,'[1]הלוואת פועלים'!$D$7:$G$22,3)/1000)))</f>
        <v>0</v>
      </c>
      <c r="L42" s="299">
        <f>IF(L33&lt;$E$21,0,IF($B$2="כן",0,IF(L$33&lt;=$B$42,'[1]הלוואת פועלים'!$C$4/1000,-VLOOKUP(L$33-$B$42,'[1]הלוואת פועלים'!$D$7:$G$22,3)/1000)))</f>
        <v>0</v>
      </c>
      <c r="M42" s="299">
        <f>IF(M33&lt;$E$21,0,IF($B$2="כן",0,IF(M$33&lt;=$B$42,'[1]הלוואת פועלים'!$C$4/1000,-VLOOKUP(M$33-$B$42,'[1]הלוואת פועלים'!$D$7:$G$22,3)/1000)))</f>
        <v>0</v>
      </c>
      <c r="N42" s="299">
        <f>IF(N33&lt;$E$21,0,IF($B$2="כן",0,IF(N$33&lt;=$B$42,'[1]הלוואת פועלים'!$C$4/1000,-VLOOKUP(N$33-$B$42,'[1]הלוואת פועלים'!$D$7:$G$22,3)/1000)))</f>
        <v>0</v>
      </c>
      <c r="O42" s="299">
        <f>IF(O33&lt;$E$21,0,IF($B$2="כן",0,IF(O$33&lt;=$B$42,'[1]הלוואת פועלים'!$C$4/1000,-VLOOKUP(O$33-$B$42,'[1]הלוואת פועלים'!$D$7:$G$22,3)/1000)))</f>
        <v>0</v>
      </c>
      <c r="P42" s="300">
        <f>IF(P33&lt;$E$21,0,IF($B$2="כן",0,IF(P$33&lt;=$B$42,'[1]הלוואת פועלים'!$C$4/1000,-VLOOKUP(P$33-$B$42,'[1]הלוואת פועלים'!$D$7:$G$22,3)/1000)))</f>
        <v>0</v>
      </c>
      <c r="Q42" s="299">
        <f>IF(Q33&lt;$E$21,0,IF($B$2="כן",0,IF(Q$33&lt;=$B$42,'[1]הלוואת פועלים'!$C$4/1000,-VLOOKUP(Q$33-$B$42,'[1]הלוואת פועלים'!$D$7:$G$22,3)/1000)))</f>
        <v>0</v>
      </c>
      <c r="R42" s="299">
        <f>IF(R33&lt;$E$21,0,IF($B$2="כן",0,IF(R$33&lt;=$B$42,'[1]הלוואת פועלים'!$C$4/1000,-VLOOKUP(R$33-$B$42,'[1]הלוואת פועלים'!$D$7:$G$22,3)/1000)))</f>
        <v>0</v>
      </c>
      <c r="S42" s="299">
        <f>IF(S33&lt;$E$21,0,IF($B$2="כן",0,IF(S$33&lt;=$B$42,'[1]הלוואת פועלים'!$C$4/1000,-VLOOKUP(S$33-$B$42,'[1]הלוואת פועלים'!$D$7:$G$22,3)/1000)))</f>
        <v>0</v>
      </c>
      <c r="T42" s="299">
        <f>IF(T33&lt;$E$21,0,IF($B$2="כן",0,IF(T$33&lt;=$B$42,'[1]הלוואת פועלים'!$C$4/1000,-VLOOKUP(T$33-$B$42,'[1]הלוואת פועלים'!$D$7:$G$22,3)/1000)))</f>
        <v>0</v>
      </c>
      <c r="U42" s="299">
        <f>IF(U33&lt;$E$21,0,IF($B$2="כן",0,IF(U$33&lt;=$B$42,'[1]הלוואת פועלים'!$C$4/1000,-VLOOKUP(U$33-$B$42,'[1]הלוואת פועלים'!$D$7:$G$22,3)/1000)))</f>
        <v>0</v>
      </c>
      <c r="V42" s="299">
        <f>IF(V33&lt;$E$21,0,IF($B$2="כן",0,IF(V$33&lt;=$B$42,'[1]הלוואת פועלים'!$C$4/1000,-VLOOKUP(V$33-$B$42,'[1]הלוואת פועלים'!$D$7:$G$22,3)/1000)))</f>
        <v>0</v>
      </c>
      <c r="W42" s="299">
        <f>IF(W33&lt;$E$21,0,IF($B$2="כן",0,IF(W$33&lt;=$B$42,'[1]הלוואת פועלים'!$C$4/1000,-VLOOKUP(W$33-$B$42,'[1]הלוואת פועלים'!$D$7:$G$22,3)/1000)))</f>
        <v>0</v>
      </c>
      <c r="X42" s="299">
        <f>IF(X33&lt;$E$21,0,IF($B$2="כן",0,IF(X$33&lt;=$B$42,'[1]הלוואת פועלים'!$C$4/1000,-VLOOKUP(X$33-$B$42,'[1]הלוואת פועלים'!$D$7:$G$22,3)/1000)))</f>
        <v>0</v>
      </c>
      <c r="Y42" s="299">
        <f>IF(Y33&lt;$E$21,0,IF($B$2="כן",0,IF(Y$33&lt;=$B$42,'[1]הלוואת פועלים'!$C$4/1000,-VLOOKUP(Y$33-$B$42,'[1]הלוואת פועלים'!$D$7:$G$22,3)/1000)))</f>
        <v>0</v>
      </c>
      <c r="Z42" s="299">
        <f>IF(Z33&lt;$E$21,0,IF($B$2="כן",0,IF(Z$33&lt;=$B$42,'[1]הלוואת פועלים'!$C$4/1000,-VLOOKUP(Z$33-$B$42,'[1]הלוואת פועלים'!$D$7:$G$22,3)/1000)))</f>
        <v>0</v>
      </c>
      <c r="AA42" s="299">
        <f>IF(AA33&lt;$E$21,0,IF($B$2="כן",0,IF(AA$33&lt;=$B$42,'[1]הלוואת פועלים'!$C$4/1000,-VLOOKUP(AA$33-$B$42,'[1]הלוואת פועלים'!$D$7:$G$22,3)/1000)))</f>
        <v>0</v>
      </c>
    </row>
    <row r="43" spans="1:27" ht="15.75">
      <c r="A43" s="249" t="s">
        <v>238</v>
      </c>
      <c r="B43" s="302">
        <f>2010+5</f>
        <v>2015</v>
      </c>
      <c r="C43" s="302"/>
      <c r="D43" s="299"/>
      <c r="E43" s="299">
        <f>IF(E33&lt;$E$21,0,IF($B$2="כן",0,IF(E$33&lt;=$B$43,'[1]הלוואת פועלים'!$C$26/1000,-VLOOKUP(E$33-$B$43,'[1]הלוואת פועלים'!$D$29:$F$44,3)/1000)))</f>
        <v>0</v>
      </c>
      <c r="F43" s="299">
        <f>IF(F33&lt;$E$21,0,IF($B$2="כן",0,IF(F$33&lt;=$B$43,'[1]הלוואת פועלים'!$C$26/1000,-VLOOKUP(F$33-$B$43,'[1]הלוואת פועלים'!$D$29:$F$44,3)/1000)))</f>
        <v>0</v>
      </c>
      <c r="G43" s="299">
        <f>IF(G33&lt;$E$21,0,IF($B$2="כן",0,IF(G$33&lt;=$B$43,'[1]הלוואת פועלים'!$C$26/1000,-VLOOKUP(G$33-$B$43,'[1]הלוואת פועלים'!$D$29:$F$44,3)/1000)))</f>
        <v>0</v>
      </c>
      <c r="H43" s="299">
        <f>IF(H33&lt;$E$21,0,IF($B$2="כן",0,IF(H$33&lt;=$B$43,'[1]הלוואת פועלים'!$C$26/1000,-VLOOKUP(H$33-$B$43,'[1]הלוואת פועלים'!$D$29:$F$44,3)/1000)))</f>
        <v>0</v>
      </c>
      <c r="I43" s="299">
        <f>IF(I33&lt;$E$21,0,IF($B$2="כן",0,IF(I$33&lt;=$B$43,'[1]הלוואת פועלים'!$C$26/1000,-VLOOKUP(I$33-$B$43,'[1]הלוואת פועלים'!$D$29:$F$44,3)/1000)))</f>
        <v>0</v>
      </c>
      <c r="J43" s="299">
        <f>IF(J33&lt;$E$21,0,IF($B$2="כן",0,IF(J$33&lt;=$B$43,'[1]הלוואת פועלים'!$C$26/1000,-VLOOKUP(J$33-$B$43,'[1]הלוואת פועלים'!$D$29:$F$44,3)/1000)))</f>
        <v>0</v>
      </c>
      <c r="K43" s="299">
        <f>IF(K33&lt;$E$21,0,IF($B$2="כן",0,IF(K$33&lt;=$B$43,'[1]הלוואת פועלים'!$C$26/1000,-VLOOKUP(K$33-$B$43,'[1]הלוואת פועלים'!$D$29:$F$44,3)/1000)))</f>
        <v>0</v>
      </c>
      <c r="L43" s="299">
        <f>IF(L33&lt;$E$21,0,IF($B$2="כן",0,IF(L$33&lt;=$B$43,'[1]הלוואת פועלים'!$C$26/1000,-VLOOKUP(L$33-$B$43,'[1]הלוואת פועלים'!$D$29:$F$44,3)/1000)))</f>
        <v>0</v>
      </c>
      <c r="M43" s="299">
        <f>IF(M33&lt;$E$21,0,IF($B$2="כן",0,IF(M$33&lt;=$B$43,'[1]הלוואת פועלים'!$C$26/1000,-VLOOKUP(M$33-$B$43,'[1]הלוואת פועלים'!$D$29:$F$44,3)/1000)))</f>
        <v>0</v>
      </c>
      <c r="N43" s="299">
        <f>IF(N33&lt;$E$21,0,IF($B$2="כן",0,IF(N$33&lt;=$B$43,'[1]הלוואת פועלים'!$C$26/1000,-VLOOKUP(N$33-$B$43,'[1]הלוואת פועלים'!$D$29:$F$44,3)/1000)))</f>
        <v>0</v>
      </c>
      <c r="O43" s="299">
        <f>IF(O33&lt;$E$21,0,IF($B$2="כן",0,IF(O$33&lt;=$B$43,'[1]הלוואת פועלים'!$C$26/1000,-VLOOKUP(O$33-$B$43,'[1]הלוואת פועלים'!$D$29:$F$44,3)/1000)))</f>
        <v>0</v>
      </c>
      <c r="P43" s="300">
        <f>IF(P33&lt;$E$21,0,IF($B$2="כן",0,IF(P$33&lt;=$B$43,'[1]הלוואת פועלים'!$C$26/1000,-VLOOKUP(P$33-$B$43,'[1]הלוואת פועלים'!$D$29:$F$44,3)/1000)))</f>
        <v>0</v>
      </c>
      <c r="Q43" s="299">
        <f>IF(Q33&lt;$E$21,0,IF($B$2="כן",0,IF(Q$33&lt;=$B$43,'[1]הלוואת פועלים'!$C$26/1000,-VLOOKUP(Q$33-$B$43,'[1]הלוואת פועלים'!$D$29:$F$44,3)/1000)))</f>
        <v>0</v>
      </c>
      <c r="R43" s="299">
        <f>IF(R33&lt;$E$21,0,IF($B$2="כן",0,IF(R$33&lt;=$B$43,'[1]הלוואת פועלים'!$C$26/1000,-VLOOKUP(R$33-$B$43,'[1]הלוואת פועלים'!$D$29:$F$44,3)/1000)))</f>
        <v>0</v>
      </c>
      <c r="S43" s="299">
        <f>IF(S33&lt;$E$21,0,IF($B$2="כן",0,IF(S$33&lt;=$B$43,'[1]הלוואת פועלים'!$C$26/1000,-VLOOKUP(S$33-$B$43,'[1]הלוואת פועלים'!$D$29:$F$44,3)/1000)))</f>
        <v>0</v>
      </c>
      <c r="T43" s="299">
        <f>IF(T33&lt;$E$21,0,IF($B$2="כן",0,IF(T$33&lt;=$B$43,'[1]הלוואת פועלים'!$C$26/1000,-VLOOKUP(T$33-$B$43,'[1]הלוואת פועלים'!$D$29:$F$44,3)/1000)))</f>
        <v>0</v>
      </c>
      <c r="U43" s="299">
        <f>IF(U33&lt;$E$21,0,IF($B$2="כן",0,IF(U$33&lt;=$B$43,'[1]הלוואת פועלים'!$C$26/1000,-VLOOKUP(U$33-$B$43,'[1]הלוואת פועלים'!$D$29:$F$44,3)/1000)))</f>
        <v>0</v>
      </c>
      <c r="V43" s="299">
        <f>IF(V33&lt;$E$21,0,IF($B$2="כן",0,IF(V$33&lt;=$B$43,'[1]הלוואת פועלים'!$C$26/1000,-VLOOKUP(V$33-$B$43,'[1]הלוואת פועלים'!$D$29:$F$44,3)/1000)))</f>
        <v>0</v>
      </c>
      <c r="W43" s="299">
        <f>IF(W33&lt;$E$21,0,IF($B$2="כן",0,IF(W$33&lt;=$B$43,'[1]הלוואת פועלים'!$C$26/1000,-VLOOKUP(W$33-$B$43,'[1]הלוואת פועלים'!$D$29:$F$44,3)/1000)))</f>
        <v>0</v>
      </c>
      <c r="X43" s="299">
        <f>IF(X33&lt;$E$21,0,IF($B$2="כן",0,IF(X$33&lt;=$B$43,'[1]הלוואת פועלים'!$C$26/1000,-VLOOKUP(X$33-$B$43,'[1]הלוואת פועלים'!$D$29:$F$44,3)/1000)))</f>
        <v>0</v>
      </c>
      <c r="Y43" s="299">
        <f>IF(Y33&lt;$E$21,0,IF($B$2="כן",0,IF(Y$33&lt;=$B$43,'[1]הלוואת פועלים'!$C$26/1000,-VLOOKUP(Y$33-$B$43,'[1]הלוואת פועלים'!$D$29:$F$44,3)/1000)))</f>
        <v>0</v>
      </c>
      <c r="Z43" s="299">
        <f>IF(Z33&lt;$E$21,0,IF($B$2="כן",0,IF(Z$33&lt;=$B$43,'[1]הלוואת פועלים'!$C$26/1000,-VLOOKUP(Z$33-$B$43,'[1]הלוואת פועלים'!$D$29:$F$44,3)/1000)))</f>
        <v>0</v>
      </c>
      <c r="AA43" s="299">
        <f>IF(AA33&lt;$E$21,0,IF($B$2="כן",0,IF(AA$33&lt;=$B$43,'[1]הלוואת פועלים'!$C$26/1000,-VLOOKUP(AA$33-$B$43,'[1]הלוואת פועלים'!$D$29:$F$44,3)/1000)))</f>
        <v>0</v>
      </c>
    </row>
    <row r="44" spans="1:27" ht="15.75">
      <c r="A44" s="249" t="s">
        <v>237</v>
      </c>
      <c r="B44" s="302">
        <f>2011+5</f>
        <v>2016</v>
      </c>
      <c r="C44" s="302"/>
      <c r="D44" s="299"/>
      <c r="E44" s="299">
        <f>IF(E33&lt;$E$21,0,IF($B$2="כן",0,IF(E$33&lt;=$B$44,'[1]הלוואת פועלים'!$C$48/1000,-VLOOKUP(E$33-$B$44,'[1]הלוואת פועלים'!$D$51:$F$66,3)/1000)))</f>
        <v>0</v>
      </c>
      <c r="F44" s="299">
        <f>IF(F33&lt;$E$21,0,IF($B$2="כן",0,IF(F$33&lt;=$B$44,'[1]הלוואת פועלים'!$C$48/1000,-VLOOKUP(F$33-$B$44,'[1]הלוואת פועלים'!$D$51:$F$66,3)/1000)))</f>
        <v>0</v>
      </c>
      <c r="G44" s="299">
        <f>IF(G33&lt;$E$21,0,IF($B$2="כן",0,IF(G$33&lt;=$B$44,'[1]הלוואת פועלים'!$C$48/1000,-VLOOKUP(G$33-$B$44,'[1]הלוואת פועלים'!$D$51:$F$66,3)/1000)))</f>
        <v>0</v>
      </c>
      <c r="H44" s="299">
        <f>IF(H33&lt;$E$21,0,IF($B$2="כן",0,IF(H$33&lt;=$B$44,'[1]הלוואת פועלים'!$C$48/1000,-VLOOKUP(H$33-$B$44,'[1]הלוואת פועלים'!$D$51:$F$66,3)/1000)))</f>
        <v>0</v>
      </c>
      <c r="I44" s="299">
        <f>IF(I33&lt;$E$21,0,IF($B$2="כן",0,IF(I$33&lt;=$B$44,'[1]הלוואת פועלים'!$C$48/1000,-VLOOKUP(I$33-$B$44,'[1]הלוואת פועלים'!$D$51:$F$66,3)/1000)))</f>
        <v>0</v>
      </c>
      <c r="J44" s="299">
        <f>IF(J33&lt;$E$21,0,IF($B$2="כן",0,IF(J$33&lt;=$B$44,'[1]הלוואת פועלים'!$C$48/1000,-VLOOKUP(J$33-$B$44,'[1]הלוואת פועלים'!$D$51:$F$66,3)/1000)))</f>
        <v>0</v>
      </c>
      <c r="K44" s="299">
        <f>IF(K33&lt;$E$21,0,IF($B$2="כן",0,IF(K$33&lt;=$B$44,'[1]הלוואת פועלים'!$C$48/1000,-VLOOKUP(K$33-$B$44,'[1]הלוואת פועלים'!$D$51:$F$66,3)/1000)))</f>
        <v>0</v>
      </c>
      <c r="L44" s="299">
        <f>IF(L33&lt;$E$21,0,IF($B$2="כן",0,IF(L$33&lt;=$B$44,'[1]הלוואת פועלים'!$C$48/1000,-VLOOKUP(L$33-$B$44,'[1]הלוואת פועלים'!$D$51:$F$66,3)/1000)))</f>
        <v>0</v>
      </c>
      <c r="M44" s="299">
        <f>IF(M33&lt;$E$21,0,IF($B$2="כן",0,IF(M$33&lt;=$B$44,'[1]הלוואת פועלים'!$C$48/1000,-VLOOKUP(M$33-$B$44,'[1]הלוואת פועלים'!$D$51:$F$66,3)/1000)))</f>
        <v>0</v>
      </c>
      <c r="N44" s="299">
        <f>IF(N33&lt;$E$21,0,IF($B$2="כן",0,IF(N$33&lt;=$B$44,'[1]הלוואת פועלים'!$C$48/1000,-VLOOKUP(N$33-$B$44,'[1]הלוואת פועלים'!$D$51:$F$66,3)/1000)))</f>
        <v>0</v>
      </c>
      <c r="O44" s="299">
        <f>IF(O33&lt;$E$21,0,IF($B$2="כן",0,IF(O$33&lt;=$B$44,'[1]הלוואת פועלים'!$C$48/1000,-VLOOKUP(O$33-$B$44,'[1]הלוואת פועלים'!$D$51:$F$66,3)/1000)))</f>
        <v>0</v>
      </c>
      <c r="P44" s="300">
        <f>IF(P33&lt;$E$21,0,IF($B$2="כן",0,IF(P$33&lt;=$B$44,'[1]הלוואת פועלים'!$C$48/1000,-VLOOKUP(P$33-$B$44,'[1]הלוואת פועלים'!$D$51:$F$66,3)/1000)))</f>
        <v>0</v>
      </c>
      <c r="Q44" s="299">
        <f>IF(Q33&lt;$E$21,0,IF($B$2="כן",0,IF(Q$33&lt;=$B$44,'[1]הלוואת פועלים'!$C$48/1000,-VLOOKUP(Q$33-$B$44,'[1]הלוואת פועלים'!$D$51:$F$66,3)/1000)))</f>
        <v>0</v>
      </c>
      <c r="R44" s="299">
        <f>IF(R33&lt;$E$21,0,IF($B$2="כן",0,IF(R$33&lt;=$B$44,'[1]הלוואת פועלים'!$C$48/1000,-VLOOKUP(R$33-$B$44,'[1]הלוואת פועלים'!$D$51:$F$66,3)/1000)))</f>
        <v>0</v>
      </c>
      <c r="S44" s="299">
        <f>IF(S33&lt;$E$21,0,IF($B$2="כן",0,IF(S$33&lt;=$B$44,'[1]הלוואת פועלים'!$C$48/1000,-VLOOKUP(S$33-$B$44,'[1]הלוואת פועלים'!$D$51:$F$66,3)/1000)))</f>
        <v>0</v>
      </c>
      <c r="T44" s="299">
        <f>IF(T33&lt;$E$21,0,IF($B$2="כן",0,IF(T$33&lt;=$B$44,'[1]הלוואת פועלים'!$C$48/1000,-VLOOKUP(T$33-$B$44,'[1]הלוואת פועלים'!$D$51:$F$66,3)/1000)))</f>
        <v>0</v>
      </c>
      <c r="U44" s="299">
        <f>IF(U33&lt;$E$21,0,IF($B$2="כן",0,IF(U$33&lt;=$B$44,'[1]הלוואת פועלים'!$C$48/1000,-VLOOKUP(U$33-$B$44,'[1]הלוואת פועלים'!$D$51:$F$66,3)/1000)))</f>
        <v>0</v>
      </c>
      <c r="V44" s="299">
        <f>IF(V33&lt;$E$21,0,IF($B$2="כן",0,IF(V$33&lt;=$B$44,'[1]הלוואת פועלים'!$C$48/1000,-VLOOKUP(V$33-$B$44,'[1]הלוואת פועלים'!$D$51:$F$66,3)/1000)))</f>
        <v>0</v>
      </c>
      <c r="W44" s="299">
        <f>IF(W33&lt;$E$21,0,IF($B$2="כן",0,IF(W$33&lt;=$B$44,'[1]הלוואת פועלים'!$C$48/1000,-VLOOKUP(W$33-$B$44,'[1]הלוואת פועלים'!$D$51:$F$66,3)/1000)))</f>
        <v>0</v>
      </c>
      <c r="X44" s="299">
        <f>IF(X33&lt;$E$21,0,IF($B$2="כן",0,IF(X$33&lt;=$B$44,'[1]הלוואת פועלים'!$C$48/1000,-VLOOKUP(X$33-$B$44,'[1]הלוואת פועלים'!$D$51:$F$66,3)/1000)))</f>
        <v>0</v>
      </c>
      <c r="Y44" s="299">
        <f>IF(Y33&lt;$E$21,0,IF($B$2="כן",0,IF(Y$33&lt;=$B$44,'[1]הלוואת פועלים'!$C$48/1000,-VLOOKUP(Y$33-$B$44,'[1]הלוואת פועלים'!$D$51:$F$66,3)/1000)))</f>
        <v>0</v>
      </c>
      <c r="Z44" s="299">
        <f>IF(Z33&lt;$E$21,0,IF($B$2="כן",0,IF(Z$33&lt;=$B$44,'[1]הלוואת פועלים'!$C$48/1000,-VLOOKUP(Z$33-$B$44,'[1]הלוואת פועלים'!$D$51:$F$66,3)/1000)))</f>
        <v>0</v>
      </c>
      <c r="AA44" s="299">
        <f>IF(AA33&lt;$E$21,0,IF($B$2="כן",0,IF(AA$33&lt;=$B$44,'[1]הלוואת פועלים'!$C$48/1000,-VLOOKUP(AA$33-$B$44,'[1]הלוואת פועלים'!$D$51:$F$66,3)/1000)))</f>
        <v>0</v>
      </c>
    </row>
    <row r="45" spans="1:27" ht="15.75">
      <c r="A45" s="249" t="s">
        <v>236</v>
      </c>
      <c r="B45" s="302">
        <f>2012+5</f>
        <v>2017</v>
      </c>
      <c r="C45" s="302"/>
      <c r="D45" s="299"/>
      <c r="E45" s="299">
        <f>IF(E33&lt;$E$21,0,IF($B$2="כן",0,IF(E$33&lt;=$B$45,'[1]הלוואת פועלים'!$C$70/1000,-VLOOKUP(E$33-$B$45,'[1]הלוואת פועלים'!$D$73:$F$88,3)/1000)))</f>
        <v>0</v>
      </c>
      <c r="F45" s="299">
        <v>0</v>
      </c>
      <c r="G45" s="299">
        <f>IF(G33&lt;$E$21,0,IF($B$2="כן",0,IF(G$33&lt;=$B$45,'[1]הלוואת פועלים'!$C$70/1000,-VLOOKUP(G$33-$B$45,'[1]הלוואת פועלים'!$D$73:$F$88,3)/1000)))</f>
        <v>0</v>
      </c>
      <c r="H45" s="299">
        <f>IF(H33&lt;$E$21,0,IF($B$2="כן",0,IF(H$33&lt;=$B$45,'[1]הלוואת פועלים'!$C$70/1000,-VLOOKUP(H$33-$B$45,'[1]הלוואת פועלים'!$D$73:$F$88,3)/1000)))</f>
        <v>0</v>
      </c>
      <c r="I45" s="299">
        <f>IF(I33&lt;$E$21,0,IF($B$2="כן",0,IF(I$33&lt;=$B$45,'[1]הלוואת פועלים'!$C$70/1000,-VLOOKUP(I$33-$B$45,'[1]הלוואת פועלים'!$D$73:$F$88,3)/1000)))</f>
        <v>0</v>
      </c>
      <c r="J45" s="299">
        <f>IF(J33&lt;$E$21,0,IF($B$2="כן",0,IF(J$33&lt;=$B$45,'[1]הלוואת פועלים'!$C$70/1000,-VLOOKUP(J$33-$B$45,'[1]הלוואת פועלים'!$D$73:$F$88,3)/1000)))</f>
        <v>0</v>
      </c>
      <c r="K45" s="299">
        <f>IF(K33&lt;$E$21,0,IF($B$2="כן",0,IF(K$33&lt;=$B$45,'[1]הלוואת פועלים'!$C$70/1000,-VLOOKUP(K$33-$B$45,'[1]הלוואת פועלים'!$D$73:$F$88,3)/1000)))</f>
        <v>0</v>
      </c>
      <c r="L45" s="299">
        <f>IF(L33&lt;$E$21,0,IF($B$2="כן",0,IF(L$33&lt;=$B$45,'[1]הלוואת פועלים'!$C$70/1000,-VLOOKUP(L$33-$B$45,'[1]הלוואת פועלים'!$D$73:$F$88,3)/1000)))</f>
        <v>0</v>
      </c>
      <c r="M45" s="299">
        <f>IF(M33&lt;$E$21,0,IF($B$2="כן",0,IF(M$33&lt;=$B$45,'[1]הלוואת פועלים'!$C$70/1000,-VLOOKUP(M$33-$B$45,'[1]הלוואת פועלים'!$D$73:$F$88,3)/1000)))</f>
        <v>0</v>
      </c>
      <c r="N45" s="299">
        <f>IF(N33&lt;$E$21,0,IF($B$2="כן",0,IF(N$33&lt;=$B$45,'[1]הלוואת פועלים'!$C$70/1000,-VLOOKUP(N$33-$B$45,'[1]הלוואת פועלים'!$D$73:$F$88,3)/1000)))</f>
        <v>0</v>
      </c>
      <c r="O45" s="299">
        <f>IF(O33&lt;$E$21,0,IF($B$2="כן",0,IF(O$33&lt;=$B$45,'[1]הלוואת פועלים'!$C$70/1000,-VLOOKUP(O$33-$B$45,'[1]הלוואת פועלים'!$D$73:$F$88,3)/1000)))</f>
        <v>0</v>
      </c>
      <c r="P45" s="300">
        <f>IF(P33&lt;$E$21,0,IF($B$2="כן",0,IF(P$33&lt;=$B$45,'[1]הלוואת פועלים'!$C$70/1000,-VLOOKUP(P$33-$B$45,'[1]הלוואת פועלים'!$D$73:$F$88,3)/1000)))</f>
        <v>0</v>
      </c>
      <c r="Q45" s="299">
        <f>IF(Q33&lt;$E$21,0,IF($B$2="כן",0,IF(Q$33&lt;=$B$45,'[1]הלוואת פועלים'!$C$70/1000,-VLOOKUP(Q$33-$B$45,'[1]הלוואת פועלים'!$D$73:$F$88,3)/1000)))</f>
        <v>0</v>
      </c>
      <c r="R45" s="299">
        <f>IF(R33&lt;$E$21,0,IF($B$2="כן",0,IF(R$33&lt;=$B$45,'[1]הלוואת פועלים'!$C$70/1000,-VLOOKUP(R$33-$B$45,'[1]הלוואת פועלים'!$D$73:$F$88,3)/1000)))</f>
        <v>0</v>
      </c>
      <c r="S45" s="299">
        <f>IF(S33&lt;$E$21,0,IF($B$2="כן",0,IF(S$33&lt;=$B$45,'[1]הלוואת פועלים'!$C$70/1000,-VLOOKUP(S$33-$B$45,'[1]הלוואת פועלים'!$D$73:$F$88,3)/1000)))</f>
        <v>0</v>
      </c>
      <c r="T45" s="299">
        <f>IF(T33&lt;$E$21,0,IF($B$2="כן",0,IF(T$33&lt;=$B$45,'[1]הלוואת פועלים'!$C$70/1000,-VLOOKUP(T$33-$B$45,'[1]הלוואת פועלים'!$D$73:$F$88,3)/1000)))</f>
        <v>0</v>
      </c>
      <c r="U45" s="299">
        <f>IF(U33&lt;$E$21,0,IF($B$2="כן",0,IF(U$33&lt;=$B$45,'[1]הלוואת פועלים'!$C$70/1000,-VLOOKUP(U$33-$B$45,'[1]הלוואת פועלים'!$D$73:$F$88,3)/1000)))</f>
        <v>0</v>
      </c>
      <c r="V45" s="299">
        <f>IF(V33&lt;$E$21,0,IF($B$2="כן",0,IF(V$33&lt;=$B$45,'[1]הלוואת פועלים'!$C$70/1000,-VLOOKUP(V$33-$B$45,'[1]הלוואת פועלים'!$D$73:$F$88,3)/1000)))</f>
        <v>0</v>
      </c>
      <c r="W45" s="299">
        <f>IF(W33&lt;$E$21,0,IF($B$2="כן",0,IF(W$33&lt;=$B$45,'[1]הלוואת פועלים'!$C$70/1000,-VLOOKUP(W$33-$B$45,'[1]הלוואת פועלים'!$D$73:$F$88,3)/1000)))</f>
        <v>0</v>
      </c>
      <c r="X45" s="299">
        <f>IF(X33&lt;$E$21,0,IF($B$2="כן",0,IF(X$33&lt;=$B$45,'[1]הלוואת פועלים'!$C$70/1000,-VLOOKUP(X$33-$B$45,'[1]הלוואת פועלים'!$D$73:$F$88,3)/1000)))</f>
        <v>0</v>
      </c>
      <c r="Y45" s="299">
        <f>IF(Y33&lt;$E$21,0,IF($B$2="כן",0,IF(Y$33&lt;=$B$45,'[1]הלוואת פועלים'!$C$70/1000,-VLOOKUP(Y$33-$B$45,'[1]הלוואת פועלים'!$D$73:$F$88,3)/1000)))</f>
        <v>0</v>
      </c>
      <c r="Z45" s="299">
        <f>IF(Z33&lt;$E$21,0,IF($B$2="כן",0,IF(Z$33&lt;=$B$45,'[1]הלוואת פועלים'!$C$70/1000,-VLOOKUP(Z$33-$B$45,'[1]הלוואת פועלים'!$D$73:$F$88,3)/1000)))</f>
        <v>0</v>
      </c>
      <c r="AA45" s="299">
        <f>IF(AA33&lt;$E$21,0,IF($B$2="כן",0,IF(AA$33&lt;=$B$45,'[1]הלוואת פועלים'!$C$70/1000,-VLOOKUP(AA$33-$B$45,'[1]הלוואת פועלים'!$D$73:$F$88,3)/1000)))</f>
        <v>0</v>
      </c>
    </row>
    <row r="46" spans="1:27" ht="15.75">
      <c r="A46" s="249" t="s">
        <v>235</v>
      </c>
      <c r="B46" s="302"/>
      <c r="C46" s="302"/>
      <c r="D46" s="299"/>
      <c r="E46" s="299">
        <v>0</v>
      </c>
      <c r="F46" s="299">
        <v>0</v>
      </c>
      <c r="G46" s="299">
        <v>0</v>
      </c>
      <c r="H46" s="299">
        <v>0</v>
      </c>
      <c r="I46" s="299">
        <v>0</v>
      </c>
      <c r="J46" s="299">
        <v>0</v>
      </c>
      <c r="K46" s="299">
        <v>0</v>
      </c>
      <c r="L46" s="299">
        <v>0</v>
      </c>
      <c r="M46" s="299">
        <v>0</v>
      </c>
      <c r="N46" s="299">
        <v>0</v>
      </c>
      <c r="O46" s="299">
        <v>0</v>
      </c>
      <c r="P46" s="300">
        <v>0</v>
      </c>
      <c r="Q46" s="299">
        <v>0</v>
      </c>
      <c r="R46" s="299">
        <v>0</v>
      </c>
      <c r="S46" s="299">
        <v>0</v>
      </c>
      <c r="T46" s="299">
        <v>0</v>
      </c>
      <c r="U46" s="299">
        <v>0</v>
      </c>
      <c r="V46" s="299">
        <v>0</v>
      </c>
      <c r="W46" s="299">
        <v>0</v>
      </c>
      <c r="X46" s="299">
        <v>0</v>
      </c>
      <c r="Y46" s="299">
        <v>0</v>
      </c>
      <c r="Z46" s="299">
        <v>0</v>
      </c>
      <c r="AA46" s="299">
        <v>0</v>
      </c>
    </row>
    <row r="47" spans="1:29" ht="15.75">
      <c r="A47" s="249" t="s">
        <v>234</v>
      </c>
      <c r="D47" s="299"/>
      <c r="E47" s="299">
        <v>0</v>
      </c>
      <c r="F47" s="299">
        <v>0</v>
      </c>
      <c r="G47" s="299">
        <v>11790.700000000001</v>
      </c>
      <c r="H47" s="299">
        <v>22302.599999999999</v>
      </c>
      <c r="I47" s="299">
        <v>29352.245960205033</v>
      </c>
      <c r="J47" s="299">
        <v>33068.204531426512</v>
      </c>
      <c r="K47" s="299">
        <v>39125.335958658383</v>
      </c>
      <c r="L47" s="299">
        <v>47911.81283451568</v>
      </c>
      <c r="M47" s="299">
        <v>55568.35904760682</v>
      </c>
      <c r="N47" s="299">
        <v>60661.412771450065</v>
      </c>
      <c r="O47" s="299">
        <v>62627.375866780501</v>
      </c>
      <c r="P47" s="300">
        <v>59889.411811591795</v>
      </c>
      <c r="Q47" s="299">
        <v>56033.130300409131</v>
      </c>
      <c r="R47" s="299">
        <v>52092.605299357434</v>
      </c>
      <c r="S47" s="299">
        <v>47962.325973271036</v>
      </c>
      <c r="T47" s="299">
        <v>43645.325029423781</v>
      </c>
      <c r="U47" s="299">
        <v>39137.376854429567</v>
      </c>
      <c r="V47" s="299">
        <v>34435.595589660545</v>
      </c>
      <c r="W47" s="299">
        <v>29512.43314315415</v>
      </c>
      <c r="X47" s="299">
        <v>24363.543802579708</v>
      </c>
      <c r="Y47" s="299">
        <v>20089.182113766306</v>
      </c>
      <c r="Z47" s="299">
        <v>15688.200689222067</v>
      </c>
      <c r="AA47" s="299">
        <v>11138.581277667865</v>
      </c>
      <c r="AB47" s="231">
        <v>6457.8324255323732</v>
      </c>
      <c r="AC47" s="231">
        <v>2395.9870612764121</v>
      </c>
    </row>
    <row r="48" spans="1:27" ht="15.75">
      <c r="A48" s="317"/>
      <c r="B48" s="262"/>
      <c r="C48" s="262"/>
      <c r="D48" s="311"/>
      <c r="E48" s="316"/>
      <c r="F48" s="316"/>
      <c r="G48" s="316"/>
      <c r="H48" s="316"/>
      <c r="I48" s="316"/>
      <c r="J48" s="316"/>
      <c r="K48" s="316"/>
      <c r="L48" s="316"/>
      <c r="M48" s="316"/>
      <c r="N48" s="316"/>
      <c r="O48" s="316"/>
      <c r="P48" s="318"/>
      <c r="Q48" s="316"/>
      <c r="R48" s="316"/>
      <c r="S48" s="316"/>
      <c r="T48" s="316"/>
      <c r="U48" s="316"/>
      <c r="V48" s="316"/>
      <c r="W48" s="316"/>
      <c r="X48" s="316"/>
      <c r="Y48" s="316"/>
      <c r="Z48" s="316"/>
      <c r="AA48" s="316"/>
    </row>
    <row r="49" spans="1:27" ht="15.75">
      <c r="A49" s="249" t="s">
        <v>233</v>
      </c>
      <c r="D49" s="245"/>
      <c r="E49" s="245">
        <f>E40-SUM(E42:E47)</f>
        <v>0</v>
      </c>
      <c r="F49" s="245">
        <f>F40-SUM(F42:F47)</f>
        <v>0</v>
      </c>
      <c r="G49" s="245">
        <f>G40-SUM(G42:G47)</f>
        <v>126070.52956319107</v>
      </c>
      <c r="H49" s="245">
        <f>H40-SUM(H42:H47)</f>
        <v>103294.13576130327</v>
      </c>
      <c r="I49" s="245">
        <f>I40-SUM(I42:I47)</f>
        <v>62442.631358711253</v>
      </c>
      <c r="J49" s="245">
        <f>J40-SUM(J42:J47)</f>
        <v>84654.01602464827</v>
      </c>
      <c r="K49" s="245">
        <f>K40-SUM(K42:K47)</f>
        <v>119414.90789395532</v>
      </c>
      <c r="L49" s="245">
        <f>L40-SUM(L42:L47)</f>
        <v>113230.07432329081</v>
      </c>
      <c r="M49" s="245">
        <f>M40-SUM(M42:M47)</f>
        <v>108201.18784844442</v>
      </c>
      <c r="N49" s="245">
        <f>N40-SUM(N42:N47)</f>
        <v>105762.07046022845</v>
      </c>
      <c r="O49" s="245">
        <f>O40-SUM(O42:O47)</f>
        <v>91065.862726136169</v>
      </c>
      <c r="P49" s="246">
        <f>P40-SUM(P42:P47)</f>
        <v>95703.656510877714</v>
      </c>
      <c r="Q49" s="245">
        <f>Q40-SUM(Q42:Q47)</f>
        <v>95533.339989216416</v>
      </c>
      <c r="R49" s="245">
        <f>R40-SUM(R42:R47)</f>
        <v>101339.29483197469</v>
      </c>
      <c r="S49" s="245">
        <f>S40-SUM(S42:S47)</f>
        <v>108020.13402604108</v>
      </c>
      <c r="T49" s="245">
        <f>T40-SUM(T42:T47)</f>
        <v>114913.20043654816</v>
      </c>
      <c r="U49" s="245">
        <f>U40-SUM(U42:U47)</f>
        <v>122022.97473286878</v>
      </c>
      <c r="V49" s="245">
        <f>V40-SUM(V42:V47)</f>
        <v>129352.60038017744</v>
      </c>
      <c r="W49" s="245">
        <f>W40-SUM(W42:W47)</f>
        <v>136929.88565304887</v>
      </c>
      <c r="X49" s="245">
        <f>X40-SUM(X42:X47)</f>
        <v>144488.41052234886</v>
      </c>
      <c r="Y49" s="245">
        <f>Y40-SUM(Y42:Y47)</f>
        <v>151198.40164208924</v>
      </c>
      <c r="Z49" s="245">
        <f>Z40-SUM(Z42:Z47)</f>
        <v>158061.28254890582</v>
      </c>
      <c r="AA49" s="245">
        <f>AA40-SUM(AA42:AA47)</f>
        <v>165099.35054319116</v>
      </c>
    </row>
    <row r="50" spans="1:27" ht="15.75">
      <c r="A50" s="317"/>
      <c r="B50" s="262"/>
      <c r="C50" s="262"/>
      <c r="D50" s="311"/>
      <c r="E50" s="316"/>
      <c r="F50" s="314"/>
      <c r="G50" s="314"/>
      <c r="H50" s="314"/>
      <c r="I50" s="314"/>
      <c r="J50" s="314"/>
      <c r="K50" s="314"/>
      <c r="L50" s="314"/>
      <c r="M50" s="314"/>
      <c r="N50" s="314"/>
      <c r="O50" s="314"/>
      <c r="P50" s="315"/>
      <c r="Q50" s="314"/>
      <c r="R50" s="314"/>
      <c r="S50" s="314"/>
      <c r="T50" s="314"/>
      <c r="U50" s="314"/>
      <c r="V50" s="314"/>
      <c r="W50" s="314"/>
      <c r="X50" s="314"/>
      <c r="Y50" s="314"/>
      <c r="Z50" s="314"/>
      <c r="AA50" s="314"/>
    </row>
    <row r="51" spans="1:27" ht="16.5" thickBot="1">
      <c r="A51" s="313" t="s">
        <v>232</v>
      </c>
      <c r="B51" s="312">
        <v>0</v>
      </c>
      <c r="C51" s="262"/>
      <c r="D51" s="311"/>
      <c r="E51" s="245"/>
      <c r="F51" s="245">
        <f>('עלויות המטש'!E27/1000)*'ניתוח פעילות מאוחד לפני השקעות '!$B$51+('עלויות ההולכה'!E39/1000)*'ניתוח פעילות מאוחד לפני השקעות '!$B$51</f>
        <v>0</v>
      </c>
      <c r="G51" s="245">
        <f>('עלויות המטש'!F27/1000)*'ניתוח פעילות מאוחד לפני השקעות '!$B$51+('עלויות ההולכה'!F39/1000)*'ניתוח פעילות מאוחד לפני השקעות '!$B$51</f>
        <v>0</v>
      </c>
      <c r="H51" s="245">
        <f>('עלויות המטש'!G27/1000)*'ניתוח פעילות מאוחד לפני השקעות '!$B$51+('עלויות ההולכה'!G39/1000)*'ניתוח פעילות מאוחד לפני השקעות '!$B$51</f>
        <v>0</v>
      </c>
      <c r="I51" s="245">
        <f>('עלויות המטש'!H27/1000)*'ניתוח פעילות מאוחד לפני השקעות '!$B$51+('עלויות ההולכה'!H39/1000)*'ניתוח פעילות מאוחד לפני השקעות '!$B$51</f>
        <v>0</v>
      </c>
      <c r="J51" s="245">
        <f>('עלויות המטש'!I27/1000)*'ניתוח פעילות מאוחד לפני השקעות '!$B$51+('עלויות ההולכה'!I39/1000)*'ניתוח פעילות מאוחד לפני השקעות '!$B$51</f>
        <v>0</v>
      </c>
      <c r="K51" s="245">
        <f>('עלויות המטש'!J27/1000)*'ניתוח פעילות מאוחד לפני השקעות '!$B$51+('עלויות ההולכה'!J39/1000)*'ניתוח פעילות מאוחד לפני השקעות '!$B$51</f>
        <v>0</v>
      </c>
      <c r="L51" s="245">
        <f>('עלויות המטש'!K27/1000)*'ניתוח פעילות מאוחד לפני השקעות '!$B$51+('עלויות ההולכה'!K39/1000)*'ניתוח פעילות מאוחד לפני השקעות '!$B$51</f>
        <v>0</v>
      </c>
      <c r="M51" s="245">
        <f>('עלויות המטש'!L27/1000)*'ניתוח פעילות מאוחד לפני השקעות '!$B$51+('עלויות ההולכה'!L39/1000)*'ניתוח פעילות מאוחד לפני השקעות '!$B$51</f>
        <v>0</v>
      </c>
      <c r="N51" s="245">
        <f>('עלויות המטש'!M27/1000)*'ניתוח פעילות מאוחד לפני השקעות '!$B$51+('עלויות ההולכה'!M39/1000)*'ניתוח פעילות מאוחד לפני השקעות '!$B$51</f>
        <v>0</v>
      </c>
      <c r="O51" s="245">
        <f>('עלויות המטש'!N27/1000)*'ניתוח פעילות מאוחד לפני השקעות '!$B$51+('עלויות ההולכה'!N39/1000)*'ניתוח פעילות מאוחד לפני השקעות '!$B$51</f>
        <v>0</v>
      </c>
      <c r="P51" s="246">
        <f>('עלויות המטש'!O27/1000)*'ניתוח פעילות מאוחד לפני השקעות '!$B$51+('עלויות ההולכה'!O39/1000)*'ניתוח פעילות מאוחד לפני השקעות '!$B$51</f>
        <v>0</v>
      </c>
      <c r="Q51" s="245">
        <f>('עלויות המטש'!P27/1000)*'ניתוח פעילות מאוחד לפני השקעות '!$B$51+('עלויות ההולכה'!P39/1000)*'ניתוח פעילות מאוחד לפני השקעות '!$B$51</f>
        <v>0</v>
      </c>
      <c r="R51" s="245">
        <f>('עלויות המטש'!Q27/1000)*'ניתוח פעילות מאוחד לפני השקעות '!$B$51+('עלויות ההולכה'!Q39/1000)*'ניתוח פעילות מאוחד לפני השקעות '!$B$51</f>
        <v>0</v>
      </c>
      <c r="S51" s="245">
        <f>('עלויות המטש'!R27/1000)*'ניתוח פעילות מאוחד לפני השקעות '!$B$51+('עלויות ההולכה'!R39/1000)*'ניתוח פעילות מאוחד לפני השקעות '!$B$51</f>
        <v>0</v>
      </c>
      <c r="T51" s="245">
        <f>('עלויות המטש'!S27/1000)*'ניתוח פעילות מאוחד לפני השקעות '!$B$51+('עלויות ההולכה'!S39/1000)*'ניתוח פעילות מאוחד לפני השקעות '!$B$51</f>
        <v>0</v>
      </c>
      <c r="U51" s="245">
        <f>('עלויות המטש'!T27/1000)*'ניתוח פעילות מאוחד לפני השקעות '!$B$51+('עלויות ההולכה'!T39/1000)*'ניתוח פעילות מאוחד לפני השקעות '!$B$51</f>
        <v>0</v>
      </c>
      <c r="V51" s="245">
        <f>('עלויות המטש'!U27/1000)*'ניתוח פעילות מאוחד לפני השקעות '!$B$51+('עלויות ההולכה'!U39/1000)*'ניתוח פעילות מאוחד לפני השקעות '!$B$51</f>
        <v>0</v>
      </c>
      <c r="W51" s="245">
        <f>('עלויות המטש'!V27/1000)*'ניתוח פעילות מאוחד לפני השקעות '!$B$51+('עלויות ההולכה'!V39/1000)*'ניתוח פעילות מאוחד לפני השקעות '!$B$51</f>
        <v>0</v>
      </c>
      <c r="X51" s="245">
        <f>('עלויות המטש'!W27/1000)*'ניתוח פעילות מאוחד לפני השקעות '!$B$51+('עלויות ההולכה'!W39/1000)*'ניתוח פעילות מאוחד לפני השקעות '!$B$51</f>
        <v>0</v>
      </c>
      <c r="Y51" s="245">
        <f>('עלויות המטש'!X27/1000)*'ניתוח פעילות מאוחד לפני השקעות '!$B$51+('עלויות ההולכה'!X39/1000)*'ניתוח פעילות מאוחד לפני השקעות '!$B$51</f>
        <v>0</v>
      </c>
      <c r="Z51" s="245">
        <f>('עלויות המטש'!Y27/1000)*'ניתוח פעילות מאוחד לפני השקעות '!$B$51+('עלויות ההולכה'!Y39/1000)*'ניתוח פעילות מאוחד לפני השקעות '!$B$51</f>
        <v>0</v>
      </c>
      <c r="AA51" s="245">
        <f>('עלויות המטש'!Z27/1000)*'ניתוח פעילות מאוחד לפני השקעות '!$B$51+('עלויות ההולכה'!Z39/1000)*'ניתוח פעילות מאוחד לפני השקעות '!$B$51</f>
        <v>0</v>
      </c>
    </row>
    <row r="52" spans="1:27" ht="16.5" thickTop="1">
      <c r="A52" s="310" t="s">
        <v>230</v>
      </c>
      <c r="B52" s="310"/>
      <c r="C52" s="310"/>
      <c r="D52" s="308"/>
      <c r="E52" s="308">
        <f>E49-E51</f>
        <v>0</v>
      </c>
      <c r="F52" s="308">
        <f>F49-F51</f>
        <v>0</v>
      </c>
      <c r="G52" s="308">
        <f>G49-G51</f>
        <v>126070.52956319107</v>
      </c>
      <c r="H52" s="308">
        <f>H49-H51</f>
        <v>103294.13576130327</v>
      </c>
      <c r="I52" s="308">
        <f>I49-I51</f>
        <v>62442.631358711253</v>
      </c>
      <c r="J52" s="308">
        <f>J49-J51</f>
        <v>84654.01602464827</v>
      </c>
      <c r="K52" s="308">
        <f>K49-K51</f>
        <v>119414.90789395532</v>
      </c>
      <c r="L52" s="308">
        <f>L49-L51</f>
        <v>113230.07432329081</v>
      </c>
      <c r="M52" s="308">
        <f>M49-M51</f>
        <v>108201.18784844442</v>
      </c>
      <c r="N52" s="308">
        <f>N49-N51</f>
        <v>105762.07046022845</v>
      </c>
      <c r="O52" s="308">
        <f>O49-O51</f>
        <v>91065.862726136169</v>
      </c>
      <c r="P52" s="309">
        <f>P49-P51</f>
        <v>95703.656510877714</v>
      </c>
      <c r="Q52" s="308">
        <f>Q49-Q51</f>
        <v>95533.339989216416</v>
      </c>
      <c r="R52" s="308">
        <f>R49-R51</f>
        <v>101339.29483197469</v>
      </c>
      <c r="S52" s="308">
        <f>S49-S51</f>
        <v>108020.13402604108</v>
      </c>
      <c r="T52" s="308">
        <f>T49-T51</f>
        <v>114913.20043654816</v>
      </c>
      <c r="U52" s="308">
        <f>U49-U51</f>
        <v>122022.97473286878</v>
      </c>
      <c r="V52" s="308">
        <f>V49-V51</f>
        <v>129352.60038017744</v>
      </c>
      <c r="W52" s="308">
        <f>W49-W51</f>
        <v>136929.88565304887</v>
      </c>
      <c r="X52" s="308">
        <f>X49-X51</f>
        <v>144488.41052234886</v>
      </c>
      <c r="Y52" s="308">
        <f>Y49-Y51</f>
        <v>151198.40164208924</v>
      </c>
      <c r="Z52" s="308">
        <f>Z49-Z51</f>
        <v>158061.28254890582</v>
      </c>
      <c r="AA52" s="308">
        <f>AA49-AA51</f>
        <v>165099.35054319116</v>
      </c>
    </row>
    <row r="53" spans="11:12" ht="15.75">
      <c r="K53" s="307"/>
      <c r="L53" s="307"/>
    </row>
    <row r="54" spans="6:11" ht="15.75">
      <c r="F54" s="307"/>
      <c r="G54" s="247"/>
      <c r="H54" s="307"/>
      <c r="I54" s="245"/>
      <c r="K54" s="307"/>
    </row>
    <row r="55" spans="1:27" ht="15.75">
      <c r="A55" s="306" t="s">
        <v>231</v>
      </c>
      <c r="B55" s="306"/>
      <c r="C55" s="306"/>
      <c r="D55" s="306"/>
      <c r="E55" s="306"/>
      <c r="F55" s="306"/>
      <c r="G55" s="306"/>
      <c r="H55" s="306"/>
      <c r="I55" s="306"/>
      <c r="J55" s="306"/>
      <c r="K55" s="306"/>
      <c r="L55" s="306"/>
      <c r="M55" s="306"/>
      <c r="N55" s="306"/>
      <c r="O55" s="306"/>
      <c r="P55" s="306"/>
      <c r="Q55" s="306"/>
      <c r="R55" s="306"/>
      <c r="S55" s="306"/>
      <c r="T55" s="306"/>
      <c r="U55" s="306"/>
      <c r="V55" s="306"/>
      <c r="W55" s="306"/>
      <c r="X55" s="306"/>
      <c r="Y55" s="306"/>
      <c r="Z55" s="306"/>
      <c r="AA55" s="306"/>
    </row>
    <row r="56" spans="4:27" ht="15.75">
      <c r="D56" s="257">
        <v>2011</v>
      </c>
      <c r="E56" s="257">
        <v>2012</v>
      </c>
      <c r="F56" s="257">
        <v>2013</v>
      </c>
      <c r="G56" s="257">
        <v>2014</v>
      </c>
      <c r="H56" s="257">
        <v>2015</v>
      </c>
      <c r="I56" s="257">
        <v>2016</v>
      </c>
      <c r="J56" s="257">
        <v>2017</v>
      </c>
      <c r="K56" s="257">
        <v>2018</v>
      </c>
      <c r="L56" s="257">
        <v>2019</v>
      </c>
      <c r="M56" s="257">
        <v>2020</v>
      </c>
      <c r="N56" s="257">
        <v>2021</v>
      </c>
      <c r="O56" s="257">
        <v>2022</v>
      </c>
      <c r="P56" s="258">
        <v>2023</v>
      </c>
      <c r="Q56" s="257">
        <v>2024</v>
      </c>
      <c r="R56" s="257">
        <v>2025</v>
      </c>
      <c r="S56" s="257">
        <v>2026</v>
      </c>
      <c r="T56" s="257">
        <v>2027</v>
      </c>
      <c r="U56" s="257">
        <v>2028</v>
      </c>
      <c r="V56" s="257">
        <v>2029</v>
      </c>
      <c r="W56" s="257">
        <v>2030</v>
      </c>
      <c r="X56" s="257">
        <v>2031</v>
      </c>
      <c r="Y56" s="257">
        <v>2032</v>
      </c>
      <c r="Z56" s="257">
        <v>2033</v>
      </c>
      <c r="AA56" s="257">
        <v>2034</v>
      </c>
    </row>
    <row r="57" spans="1:9" ht="15.75">
      <c r="A57" s="303" t="s">
        <v>228</v>
      </c>
      <c r="I57" s="245"/>
    </row>
    <row r="58" spans="1:30" ht="15.75">
      <c r="A58" s="301" t="s">
        <v>230</v>
      </c>
      <c r="D58" s="299"/>
      <c r="E58" s="299">
        <f>E52</f>
        <v>0</v>
      </c>
      <c r="F58" s="299">
        <f>F52</f>
        <v>0</v>
      </c>
      <c r="G58" s="299">
        <f>G52</f>
        <v>126070.52956319107</v>
      </c>
      <c r="H58" s="299">
        <f>H52</f>
        <v>103294.13576130327</v>
      </c>
      <c r="I58" s="299">
        <f>I52</f>
        <v>62442.631358711253</v>
      </c>
      <c r="J58" s="299">
        <f>J52</f>
        <v>84654.01602464827</v>
      </c>
      <c r="K58" s="299">
        <f>K52</f>
        <v>119414.90789395532</v>
      </c>
      <c r="L58" s="299">
        <f>L52</f>
        <v>113230.07432329081</v>
      </c>
      <c r="M58" s="299">
        <f>M52</f>
        <v>108201.18784844442</v>
      </c>
      <c r="N58" s="299">
        <f>N52</f>
        <v>105762.07046022845</v>
      </c>
      <c r="O58" s="299">
        <f>O52</f>
        <v>91065.862726136169</v>
      </c>
      <c r="P58" s="300">
        <f>P52</f>
        <v>95703.656510877714</v>
      </c>
      <c r="Q58" s="299">
        <f>Q52</f>
        <v>95533.339989216416</v>
      </c>
      <c r="R58" s="299">
        <f>R52</f>
        <v>101339.29483197469</v>
      </c>
      <c r="S58" s="299">
        <f>S52</f>
        <v>108020.13402604108</v>
      </c>
      <c r="T58" s="299">
        <f>T52</f>
        <v>114913.20043654816</v>
      </c>
      <c r="U58" s="299">
        <f>U52</f>
        <v>122022.97473286878</v>
      </c>
      <c r="V58" s="299">
        <f>V52</f>
        <v>129352.60038017744</v>
      </c>
      <c r="W58" s="299">
        <f>W52</f>
        <v>136929.88565304887</v>
      </c>
      <c r="X58" s="299">
        <f>X52</f>
        <v>144488.41052234886</v>
      </c>
      <c r="Y58" s="299">
        <f>Y52</f>
        <v>151198.40164208924</v>
      </c>
      <c r="Z58" s="299">
        <f>Z52</f>
        <v>158061.28254890582</v>
      </c>
      <c r="AA58" s="299">
        <f>AA52</f>
        <v>165099.35054319116</v>
      </c>
      <c r="AD58" s="236">
        <f>SUM(F58:W58)</f>
        <v>1817950.5025206618</v>
      </c>
    </row>
    <row r="59" spans="1:30" ht="15.75">
      <c r="A59" s="301" t="s">
        <v>229</v>
      </c>
      <c r="E59" s="299">
        <v>0</v>
      </c>
      <c r="F59" s="299">
        <v>0</v>
      </c>
      <c r="G59" s="299">
        <v>0</v>
      </c>
      <c r="H59" s="299">
        <v>0</v>
      </c>
      <c r="I59" s="299">
        <v>0</v>
      </c>
      <c r="J59" s="299">
        <v>0</v>
      </c>
      <c r="K59" s="299">
        <v>0</v>
      </c>
      <c r="L59" s="299">
        <v>0</v>
      </c>
      <c r="M59" s="299">
        <v>0</v>
      </c>
      <c r="N59" s="299">
        <v>0</v>
      </c>
      <c r="O59" s="299">
        <v>0</v>
      </c>
      <c r="P59" s="300">
        <v>0</v>
      </c>
      <c r="Q59" s="299">
        <v>0</v>
      </c>
      <c r="R59" s="299">
        <v>0</v>
      </c>
      <c r="S59" s="299">
        <v>0</v>
      </c>
      <c r="T59" s="299">
        <v>0</v>
      </c>
      <c r="U59" s="299">
        <v>0</v>
      </c>
      <c r="V59" s="299">
        <v>0</v>
      </c>
      <c r="W59" s="299">
        <v>0</v>
      </c>
      <c r="X59" s="299">
        <v>0</v>
      </c>
      <c r="Y59" s="299">
        <v>0</v>
      </c>
      <c r="Z59" s="299">
        <v>0</v>
      </c>
      <c r="AA59" s="299">
        <v>0</v>
      </c>
      <c r="AD59" s="236">
        <f>SUM(F59:W59)</f>
        <v>0</v>
      </c>
    </row>
    <row r="60" spans="1:30" ht="15.75">
      <c r="A60" s="301" t="s">
        <v>48</v>
      </c>
      <c r="D60" s="299"/>
      <c r="E60" s="299">
        <f>E38</f>
        <v>0</v>
      </c>
      <c r="F60" s="236">
        <f>F38</f>
        <v>0</v>
      </c>
      <c r="G60" s="236">
        <f>G38</f>
        <v>21000</v>
      </c>
      <c r="H60" s="236">
        <f>H38</f>
        <v>32293.333333333332</v>
      </c>
      <c r="I60" s="236">
        <f>I38</f>
        <v>56466.666666666664</v>
      </c>
      <c r="J60" s="236">
        <f>J38</f>
        <v>56466.666666666664</v>
      </c>
      <c r="K60" s="236">
        <f>K38</f>
        <v>56466.666666666664</v>
      </c>
      <c r="L60" s="236">
        <f>L38</f>
        <v>56466.666666666664</v>
      </c>
      <c r="M60" s="236">
        <f>M38</f>
        <v>56466.666666666664</v>
      </c>
      <c r="N60" s="236">
        <f>N38</f>
        <v>56466.666666666664</v>
      </c>
      <c r="O60" s="236">
        <f>O38</f>
        <v>56466.666666666664</v>
      </c>
      <c r="P60" s="237">
        <f>P38</f>
        <v>56466.666666666664</v>
      </c>
      <c r="Q60" s="236">
        <f>Q38</f>
        <v>56466.666666666664</v>
      </c>
      <c r="R60" s="236">
        <f>R38</f>
        <v>56466.666666666664</v>
      </c>
      <c r="S60" s="236">
        <f>S38</f>
        <v>56466.666666666664</v>
      </c>
      <c r="T60" s="236">
        <f>T38</f>
        <v>56466.666666666664</v>
      </c>
      <c r="U60" s="236">
        <f>U38</f>
        <v>56466.666666666664</v>
      </c>
      <c r="V60" s="236">
        <f>V38</f>
        <v>56466.666666666664</v>
      </c>
      <c r="W60" s="236">
        <f>W38</f>
        <v>56466.666666666664</v>
      </c>
      <c r="X60" s="236">
        <f>X38</f>
        <v>56466.666666666664</v>
      </c>
      <c r="Y60" s="236">
        <f>Y38</f>
        <v>56466.666666666664</v>
      </c>
      <c r="Z60" s="236">
        <f>Z38</f>
        <v>56466.666666666664</v>
      </c>
      <c r="AA60" s="236">
        <f>AA38</f>
        <v>56466.666666666664</v>
      </c>
      <c r="AD60" s="236">
        <f>SUM(F60:W60)</f>
        <v>900293.33333333314</v>
      </c>
    </row>
    <row r="61" spans="1:30" ht="15.75">
      <c r="A61" s="298" t="s">
        <v>228</v>
      </c>
      <c r="B61" s="297"/>
      <c r="C61" s="297"/>
      <c r="D61" s="304"/>
      <c r="E61" s="304">
        <f>SUM(E58:E60)</f>
        <v>0</v>
      </c>
      <c r="F61" s="304">
        <f>SUM(F58:F60)</f>
        <v>0</v>
      </c>
      <c r="G61" s="304">
        <f>SUM(G58:G60)</f>
        <v>147070.52956319106</v>
      </c>
      <c r="H61" s="304">
        <f>SUM(H58:H60)</f>
        <v>135587.46909463662</v>
      </c>
      <c r="I61" s="304">
        <f>SUM(I58:I60)</f>
        <v>118909.29802537791</v>
      </c>
      <c r="J61" s="304">
        <f>SUM(J58:J60)</f>
        <v>141120.68269131493</v>
      </c>
      <c r="K61" s="304">
        <f>SUM(K58:K60)</f>
        <v>175881.57456062199</v>
      </c>
      <c r="L61" s="304">
        <f>SUM(L58:L60)</f>
        <v>169696.74098995747</v>
      </c>
      <c r="M61" s="304">
        <f>SUM(M58:M60)</f>
        <v>164667.85451511107</v>
      </c>
      <c r="N61" s="304">
        <f>SUM(N58:N60)</f>
        <v>162228.73712689511</v>
      </c>
      <c r="O61" s="304">
        <f>SUM(O58:O60)</f>
        <v>147532.52939280283</v>
      </c>
      <c r="P61" s="305">
        <f>SUM(P58:P60)</f>
        <v>152170.32317754437</v>
      </c>
      <c r="Q61" s="304">
        <f>SUM(Q58:Q60)</f>
        <v>152000.00665588307</v>
      </c>
      <c r="R61" s="304">
        <f>SUM(R58:R60)</f>
        <v>157805.96149864135</v>
      </c>
      <c r="S61" s="304">
        <f>SUM(S58:S60)</f>
        <v>164486.80069270774</v>
      </c>
      <c r="T61" s="304">
        <f>SUM(T58:T60)</f>
        <v>171379.86710321481</v>
      </c>
      <c r="U61" s="304">
        <f>SUM(U58:U60)</f>
        <v>178489.64139953544</v>
      </c>
      <c r="V61" s="304">
        <f>SUM(V58:V60)</f>
        <v>185819.26704684409</v>
      </c>
      <c r="W61" s="304">
        <f>SUM(W58:W60)</f>
        <v>193396.55231971553</v>
      </c>
      <c r="X61" s="304">
        <f>SUM(X58:X60)</f>
        <v>200955.07718901552</v>
      </c>
      <c r="Y61" s="304">
        <f>SUM(Y58:Y60)</f>
        <v>207665.0683087559</v>
      </c>
      <c r="Z61" s="304">
        <f>SUM(Z58:Z60)</f>
        <v>214527.94921557247</v>
      </c>
      <c r="AA61" s="304">
        <f>SUM(AA58:AA60)</f>
        <v>221566.01720985782</v>
      </c>
      <c r="AD61" s="304">
        <f>SUM(AD58:AD60)</f>
        <v>2718243.8358539948</v>
      </c>
    </row>
    <row r="62" spans="5:12" ht="15.75">
      <c r="E62" s="247"/>
      <c r="F62" s="247"/>
      <c r="G62" s="247"/>
      <c r="H62" s="247"/>
      <c r="I62" s="247"/>
      <c r="J62" s="247"/>
      <c r="K62" s="247"/>
      <c r="L62" s="247"/>
    </row>
    <row r="63" spans="1:1" ht="15.75">
      <c r="A63" s="303" t="s">
        <v>225</v>
      </c>
    </row>
    <row r="64" spans="1:30" ht="15.75">
      <c r="A64" s="301" t="s">
        <v>227</v>
      </c>
      <c r="D64" s="247"/>
      <c r="E64" s="247">
        <f>-'עלויות המטש'!D35/1000</f>
        <v>-0.001</v>
      </c>
      <c r="F64" s="247">
        <v>0</v>
      </c>
      <c r="G64" s="247">
        <f>-'עלויות המטש'!F35/1000</f>
        <v>-87602</v>
      </c>
      <c r="H64" s="247">
        <f>-'עלויות המטש'!G35/1000</f>
        <v>-84981</v>
      </c>
      <c r="I64" s="247">
        <f>-'עלויות המטש'!H35/1000</f>
        <v>-93513</v>
      </c>
      <c r="J64" s="247">
        <f>-'עלויות המטש'!I35/1000</f>
        <v>-117392</v>
      </c>
      <c r="K64" s="247">
        <f>-'עלויות המטש'!J35/1000</f>
        <v>-170312.5</v>
      </c>
      <c r="L64" s="247">
        <f>-'עלויות המטש'!K35/1000</f>
        <v>-125497.5</v>
      </c>
      <c r="M64" s="247">
        <f>-'עלויות המטש'!L35/1000</f>
        <v>-27000</v>
      </c>
      <c r="N64" s="247">
        <f>-'עלויות המטש'!M35/1000</f>
        <v>-27000</v>
      </c>
      <c r="O64" s="247">
        <f>-'עלויות המטש'!N35/1000</f>
        <v>-12000</v>
      </c>
      <c r="P64" s="248">
        <f>-'עלויות המטש'!O35/1000</f>
        <v>-12000</v>
      </c>
      <c r="Q64" s="247">
        <f>-'עלויות המטש'!P35/1000</f>
        <v>-12000</v>
      </c>
      <c r="R64" s="247">
        <f>-'עלויות המטש'!Q35/1000</f>
        <v>-12000</v>
      </c>
      <c r="S64" s="247">
        <f>-'עלויות המטש'!R35/1000</f>
        <v>-12000</v>
      </c>
      <c r="T64" s="247">
        <f>-'עלויות המטש'!S35/1000</f>
        <v>-12000</v>
      </c>
      <c r="U64" s="247">
        <f>-'עלויות המטש'!T35/1000</f>
        <v>-12000</v>
      </c>
      <c r="V64" s="247">
        <f>-'עלויות המטש'!U35/1000</f>
        <v>-12000</v>
      </c>
      <c r="W64" s="247">
        <f>-'עלויות המטש'!V35/1000</f>
        <v>-12000</v>
      </c>
      <c r="X64" s="247">
        <f>-'עלויות המטש'!W35/1000</f>
        <v>-12000</v>
      </c>
      <c r="Y64" s="247">
        <f>-'עלויות המטש'!X35/1000</f>
        <v>-12000</v>
      </c>
      <c r="Z64" s="247">
        <f>-'עלויות המטש'!Y35/1000</f>
        <v>-12000</v>
      </c>
      <c r="AA64" s="247">
        <f>-'עלויות המטש'!Z35/1000</f>
        <v>-12000</v>
      </c>
      <c r="AD64" s="236">
        <f>SUM(F64:W64)</f>
        <v>-841298</v>
      </c>
    </row>
    <row r="65" spans="1:30" ht="15.75">
      <c r="A65" s="301" t="s">
        <v>226</v>
      </c>
      <c r="D65" s="247"/>
      <c r="E65" s="247">
        <v>0</v>
      </c>
      <c r="F65" s="247">
        <v>0</v>
      </c>
      <c r="G65" s="247">
        <f>-'עלויות ההולכה'!F47/1000</f>
        <v>-242000</v>
      </c>
      <c r="H65" s="247">
        <f>-'עלויות ההולכה'!G47/1000</f>
        <v>-270000</v>
      </c>
      <c r="I65" s="247">
        <f>-'עלויות ההולכה'!H47/1000</f>
        <v>-120195</v>
      </c>
      <c r="J65" s="247">
        <f>-'עלויות ההולכה'!I47/1000</f>
        <v>-111730</v>
      </c>
      <c r="K65" s="247">
        <f>-'עלויות ההולכה'!J47/1000</f>
        <v>-239600</v>
      </c>
      <c r="L65" s="247">
        <f>-'עלויות ההולכה'!K47/1000</f>
        <v>-310400</v>
      </c>
      <c r="M65" s="247">
        <f>-'עלויות ההולכה'!L47/1000</f>
        <v>-300400</v>
      </c>
      <c r="N65" s="247">
        <f>-'עלויות ההולכה'!M47/1000</f>
        <v>-244900</v>
      </c>
      <c r="O65" s="247">
        <f>-'עלויות ההולכה'!N47/1000</f>
        <v>-80500</v>
      </c>
      <c r="P65" s="248">
        <f>-'עלויות ההולכה'!O47/1000</f>
        <v>-9500</v>
      </c>
      <c r="Q65" s="247">
        <f>-'עלויות ההולכה'!P47/1000</f>
        <v>-9500</v>
      </c>
      <c r="R65" s="247">
        <f>-'עלויות ההולכה'!Q47/1000</f>
        <v>-9500</v>
      </c>
      <c r="S65" s="247">
        <f>-'עלויות ההולכה'!R47/1000</f>
        <v>-9500</v>
      </c>
      <c r="T65" s="247">
        <f>-'עלויות ההולכה'!S47/1000</f>
        <v>-9500</v>
      </c>
      <c r="U65" s="247">
        <f>-'עלויות ההולכה'!T47/1000</f>
        <v>-9500</v>
      </c>
      <c r="V65" s="247">
        <f>-'עלויות ההולכה'!U47/1000</f>
        <v>-9500</v>
      </c>
      <c r="W65" s="247">
        <f>-'עלויות ההולכה'!V47/1000</f>
        <v>-9500</v>
      </c>
      <c r="X65" s="247">
        <f>W65</f>
        <v>-9500</v>
      </c>
      <c r="Y65" s="247">
        <f>X65</f>
        <v>-9500</v>
      </c>
      <c r="Z65" s="247">
        <f>Y65</f>
        <v>-9500</v>
      </c>
      <c r="AA65" s="247">
        <f>Z65</f>
        <v>-9500</v>
      </c>
      <c r="AD65" s="236">
        <f>SUM(F65:W65)</f>
        <v>-1995725</v>
      </c>
    </row>
    <row r="66" spans="1:27" ht="15.75">
      <c r="A66" s="298" t="s">
        <v>225</v>
      </c>
      <c r="B66" s="297"/>
      <c r="C66" s="297"/>
      <c r="D66" s="295"/>
      <c r="E66" s="295">
        <f>SUM(E64:E65)</f>
        <v>-0.001</v>
      </c>
      <c r="F66" s="295">
        <f>SUM(F64:F65)</f>
        <v>0</v>
      </c>
      <c r="G66" s="295">
        <f>SUM(G64:G65)</f>
        <v>-329602</v>
      </c>
      <c r="H66" s="295">
        <f>SUM(H64:H65)</f>
        <v>-354981</v>
      </c>
      <c r="I66" s="295">
        <f>SUM(I64:I65)</f>
        <v>-213708</v>
      </c>
      <c r="J66" s="295">
        <f>SUM(J64:J65)</f>
        <v>-229122</v>
      </c>
      <c r="K66" s="295">
        <f>SUM(K64:K65)</f>
        <v>-409912.5</v>
      </c>
      <c r="L66" s="295">
        <f>SUM(L64:L65)</f>
        <v>-435897.5</v>
      </c>
      <c r="M66" s="295">
        <f>SUM(M64:M65)</f>
        <v>-327400</v>
      </c>
      <c r="N66" s="295">
        <f>SUM(N64:N65)</f>
        <v>-271900</v>
      </c>
      <c r="O66" s="295">
        <f>SUM(O64:O65)</f>
        <v>-92500</v>
      </c>
      <c r="P66" s="296">
        <f>SUM(P64:P65)</f>
        <v>-21500</v>
      </c>
      <c r="Q66" s="295">
        <f>SUM(Q64:Q65)</f>
        <v>-21500</v>
      </c>
      <c r="R66" s="295">
        <f>SUM(R64:R65)</f>
        <v>-21500</v>
      </c>
      <c r="S66" s="295">
        <f>SUM(S64:S65)</f>
        <v>-21500</v>
      </c>
      <c r="T66" s="295">
        <f>SUM(T64:T65)</f>
        <v>-21500</v>
      </c>
      <c r="U66" s="295">
        <f>SUM(U64:U65)</f>
        <v>-21500</v>
      </c>
      <c r="V66" s="295">
        <f>SUM(V64:V65)</f>
        <v>-21500</v>
      </c>
      <c r="W66" s="295">
        <f>SUM(W64:W65)</f>
        <v>-21500</v>
      </c>
      <c r="X66" s="295">
        <f>SUM(X64:X65)</f>
        <v>-21500</v>
      </c>
      <c r="Y66" s="295">
        <f>SUM(Y64:Y65)</f>
        <v>-21500</v>
      </c>
      <c r="Z66" s="295">
        <f>SUM(Z64:Z65)</f>
        <v>-21500</v>
      </c>
      <c r="AA66" s="295">
        <f>SUM(AA64:AA65)</f>
        <v>-21500</v>
      </c>
    </row>
    <row r="68" spans="1:9" ht="15.75">
      <c r="A68" s="303" t="s">
        <v>216</v>
      </c>
      <c r="F68" s="247"/>
      <c r="I68" s="247"/>
    </row>
    <row r="69" spans="1:27" ht="15.75">
      <c r="A69" s="301" t="s">
        <v>224</v>
      </c>
      <c r="D69" s="299"/>
      <c r="E69" s="299">
        <f>E25</f>
        <v>0.001</v>
      </c>
      <c r="F69" s="299">
        <f>F25</f>
        <v>0</v>
      </c>
      <c r="G69" s="299">
        <f>G25</f>
        <v>490000</v>
      </c>
      <c r="H69" s="299">
        <f>H25</f>
        <v>239864.66800883901</v>
      </c>
      <c r="I69" s="299">
        <f>I25</f>
        <v>109465.36864128872</v>
      </c>
      <c r="J69" s="299">
        <f>J25</f>
        <v>131467.9839753517</v>
      </c>
      <c r="K69" s="299">
        <f>K25</f>
        <v>291897.5921060447</v>
      </c>
      <c r="L69" s="299">
        <f>L25</f>
        <v>325267.42567670916</v>
      </c>
      <c r="M69" s="299">
        <f>M25</f>
        <v>225398.81215155558</v>
      </c>
      <c r="N69" s="299">
        <f>N25</f>
        <v>176537.92953977149</v>
      </c>
      <c r="O69" s="299">
        <f>O25</f>
        <v>59119.820224465831</v>
      </c>
      <c r="P69" s="300">
        <f>P25</f>
        <v>0</v>
      </c>
      <c r="Q69" s="299">
        <f>Q25</f>
        <v>0</v>
      </c>
      <c r="R69" s="299">
        <f>R25</f>
        <v>0</v>
      </c>
      <c r="S69" s="299">
        <f>S25</f>
        <v>0</v>
      </c>
      <c r="T69" s="299">
        <f>T25</f>
        <v>0</v>
      </c>
      <c r="U69" s="299">
        <f>U25</f>
        <v>0</v>
      </c>
      <c r="V69" s="299">
        <f>V25</f>
        <v>0</v>
      </c>
      <c r="W69" s="299">
        <f>W25</f>
        <v>0</v>
      </c>
      <c r="X69" s="299">
        <f>X25</f>
        <v>0</v>
      </c>
      <c r="Y69" s="299">
        <f>Y25</f>
        <v>0</v>
      </c>
      <c r="Z69" s="299">
        <f>Z25</f>
        <v>0</v>
      </c>
      <c r="AA69" s="299">
        <f>AA25</f>
        <v>0</v>
      </c>
    </row>
    <row r="70" spans="1:27" ht="15.75" hidden="1">
      <c r="A70" s="301" t="s">
        <v>223</v>
      </c>
      <c r="D70" s="299"/>
      <c r="E70" s="299">
        <f>0</f>
        <v>0</v>
      </c>
      <c r="F70" s="299">
        <f>0</f>
        <v>0</v>
      </c>
      <c r="G70" s="299">
        <f>0</f>
        <v>0</v>
      </c>
      <c r="H70" s="299">
        <f>0</f>
        <v>0</v>
      </c>
      <c r="I70" s="299">
        <f>0</f>
        <v>0</v>
      </c>
      <c r="J70" s="299">
        <f>0</f>
        <v>0</v>
      </c>
      <c r="K70" s="299">
        <f>0</f>
        <v>0</v>
      </c>
      <c r="L70" s="299">
        <f>0</f>
        <v>0</v>
      </c>
      <c r="M70" s="299">
        <f>0</f>
        <v>0</v>
      </c>
      <c r="N70" s="299">
        <f>0</f>
        <v>0</v>
      </c>
      <c r="O70" s="299">
        <f>0</f>
        <v>0</v>
      </c>
      <c r="P70" s="300">
        <f>0</f>
        <v>0</v>
      </c>
      <c r="Q70" s="299">
        <f>0</f>
        <v>0</v>
      </c>
      <c r="R70" s="299">
        <f>0</f>
        <v>0</v>
      </c>
      <c r="S70" s="299">
        <f>0</f>
        <v>0</v>
      </c>
      <c r="T70" s="299">
        <f>0</f>
        <v>0</v>
      </c>
      <c r="U70" s="299">
        <f>0</f>
        <v>0</v>
      </c>
      <c r="V70" s="299">
        <f>0</f>
        <v>0</v>
      </c>
      <c r="W70" s="299">
        <f>0</f>
        <v>0</v>
      </c>
      <c r="X70" s="299">
        <f>0</f>
        <v>0</v>
      </c>
      <c r="Y70" s="299">
        <f>0</f>
        <v>0</v>
      </c>
      <c r="Z70" s="299">
        <f>0</f>
        <v>0</v>
      </c>
      <c r="AA70" s="299">
        <f>0</f>
        <v>0</v>
      </c>
    </row>
    <row r="71" spans="1:27" ht="15.75" hidden="1">
      <c r="A71" s="301" t="s">
        <v>222</v>
      </c>
      <c r="D71" s="299"/>
      <c r="E71" s="299">
        <f>0</f>
        <v>0</v>
      </c>
      <c r="F71" s="299">
        <f>0</f>
        <v>0</v>
      </c>
      <c r="G71" s="299">
        <f>0</f>
        <v>0</v>
      </c>
      <c r="H71" s="299">
        <f>0</f>
        <v>0</v>
      </c>
      <c r="I71" s="299">
        <f>0</f>
        <v>0</v>
      </c>
      <c r="J71" s="299">
        <f>0</f>
        <v>0</v>
      </c>
      <c r="K71" s="299">
        <f>0</f>
        <v>0</v>
      </c>
      <c r="L71" s="299">
        <f>0</f>
        <v>0</v>
      </c>
      <c r="M71" s="299">
        <f>0</f>
        <v>0</v>
      </c>
      <c r="N71" s="299">
        <f>0</f>
        <v>0</v>
      </c>
      <c r="O71" s="299">
        <f>0</f>
        <v>0</v>
      </c>
      <c r="P71" s="300">
        <f>0</f>
        <v>0</v>
      </c>
      <c r="Q71" s="299">
        <f>0</f>
        <v>0</v>
      </c>
      <c r="R71" s="299">
        <f>0</f>
        <v>0</v>
      </c>
      <c r="S71" s="299">
        <f>0</f>
        <v>0</v>
      </c>
      <c r="T71" s="299">
        <f>0</f>
        <v>0</v>
      </c>
      <c r="U71" s="299">
        <f>0</f>
        <v>0</v>
      </c>
      <c r="V71" s="299">
        <f>0</f>
        <v>0</v>
      </c>
      <c r="W71" s="299">
        <f>0</f>
        <v>0</v>
      </c>
      <c r="X71" s="299">
        <f>0</f>
        <v>0</v>
      </c>
      <c r="Y71" s="299">
        <f>0</f>
        <v>0</v>
      </c>
      <c r="Z71" s="299">
        <f>0</f>
        <v>0</v>
      </c>
      <c r="AA71" s="299">
        <f>0</f>
        <v>0</v>
      </c>
    </row>
    <row r="72" spans="1:27" ht="15.75">
      <c r="A72" s="231" t="s">
        <v>221</v>
      </c>
      <c r="B72" s="302">
        <v>2013</v>
      </c>
      <c r="C72" s="302"/>
      <c r="D72" s="299"/>
      <c r="E72" s="299">
        <v>0</v>
      </c>
      <c r="F72" s="299">
        <v>0</v>
      </c>
      <c r="G72" s="299">
        <v>-290000</v>
      </c>
      <c r="H72" s="299">
        <f>IF($B$2="כן",IF(H56=2012,-'[1]לוח שפיצר איגוד'!$D$4/1000,0),-IF(H$56&lt;=$B$72,0,-VLOOKUP(H$56-$B$72,'[1]הלוואת פועלים'!$D$7:$G$22,2)/1000))</f>
        <v>0</v>
      </c>
      <c r="I72" s="299">
        <f>IF($B$2="כן",IF(I56=2012,-'[1]לוח שפיצר איגוד'!$D$4/1000,0),-IF(I$56&lt;=$B$72,0,-VLOOKUP(I$56-$B$72,'[1]הלוואת פועלים'!$D$7:$G$22,2)/1000))</f>
        <v>0</v>
      </c>
      <c r="J72" s="299">
        <f>IF($B$2="כן",IF(J56=2012,-'[1]לוח שפיצר איגוד'!$D$4/1000,0),-IF(J$56&lt;=$B$72,0,-VLOOKUP(J$56-$B$72,'[1]הלוואת פועלים'!$D$7:$G$22,2)/1000))</f>
        <v>0</v>
      </c>
      <c r="K72" s="299">
        <f>IF($B$2="כן",IF(K56=2012,-'[1]לוח שפיצר איגוד'!$D$4/1000,0),-IF(K$56&lt;=$B$72,0,-VLOOKUP(K$56-$B$72,'[1]הלוואת פועלים'!$D$7:$G$22,2)/1000))</f>
        <v>0</v>
      </c>
      <c r="L72" s="299">
        <f>IF($B$2="כן",IF(L56=2012,-'[1]לוח שפיצר איגוד'!$D$4/1000,0),-IF(L$56&lt;=$B$72,0,-VLOOKUP(L$56-$B$72,'[1]הלוואת פועלים'!$D$7:$G$22,2)/1000))</f>
        <v>0</v>
      </c>
      <c r="M72" s="299">
        <f>IF($B$2="כן",IF(M56=2012,-'[1]לוח שפיצר איגוד'!$D$4/1000,0),-IF(M$56&lt;=$B$72,0,-VLOOKUP(M$56-$B$72,'[1]הלוואת פועלים'!$D$7:$G$22,2)/1000))</f>
        <v>0</v>
      </c>
      <c r="N72" s="299">
        <f>IF($B$2="כן",IF(N56=2012,-'[1]לוח שפיצר איגוד'!$D$4/1000,0),-IF(N$56&lt;=$B$72,0,-VLOOKUP(N$56-$B$72,'[1]הלוואת פועלים'!$D$7:$G$22,2)/1000))</f>
        <v>0</v>
      </c>
      <c r="O72" s="299">
        <f>IF($B$2="כן",IF(O56=2012,-'[1]לוח שפיצר איגוד'!$D$4/1000,0),-IF(O$56&lt;=$B$72,0,-VLOOKUP(O$56-$B$72,'[1]הלוואת פועלים'!$D$7:$G$22,2)/1000))</f>
        <v>0</v>
      </c>
      <c r="P72" s="300">
        <f>IF($B$2="כן",IF(P56=2012,-'[1]לוח שפיצר איגוד'!$D$4/1000,0),-IF(P$56&lt;=$B$72,0,-VLOOKUP(P$56-$B$72,'[1]הלוואת פועלים'!$D$7:$G$22,2)/1000))</f>
        <v>0</v>
      </c>
      <c r="Q72" s="299">
        <f>IF($B$2="כן",IF(Q56=2012,-'[1]לוח שפיצר איגוד'!$D$4/1000,0),-IF(Q$56&lt;=$B$72,0,-VLOOKUP(Q$56-$B$72,'[1]הלוואת פועלים'!$D$7:$G$22,2)/1000))</f>
        <v>0</v>
      </c>
      <c r="R72" s="299">
        <f>IF($B$2="כן",IF(R56=2012,-'[1]לוח שפיצר איגוד'!$D$4/1000,0),-IF(R$56&lt;=$B$72,0,-VLOOKUP(R$56-$B$72,'[1]הלוואת פועלים'!$D$7:$G$22,2)/1000))</f>
        <v>0</v>
      </c>
      <c r="S72" s="299">
        <f>IF($B$2="כן",IF(S56=2012,-'[1]לוח שפיצר איגוד'!$D$4/1000,0),-IF(S$56&lt;=$B$72,0,-VLOOKUP(S$56-$B$72,'[1]הלוואת פועלים'!$D$7:$G$22,2)/1000))</f>
        <v>0</v>
      </c>
      <c r="T72" s="299">
        <f>IF($B$2="כן",IF(T56=2012,-'[1]לוח שפיצר איגוד'!$D$4/1000,0),-IF(T$56&lt;=$B$72,0,-VLOOKUP(T$56-$B$72,'[1]הלוואת פועלים'!$D$7:$G$22,2)/1000))</f>
        <v>0</v>
      </c>
      <c r="U72" s="299">
        <f>IF($B$2="כן",IF(U56=2012,-'[1]לוח שפיצר איגוד'!$D$4/1000,0),-IF(U$56&lt;=$B$72,0,-VLOOKUP(U$56-$B$72,'[1]הלוואת פועלים'!$D$7:$G$22,2)/1000))</f>
        <v>0</v>
      </c>
      <c r="V72" s="299">
        <f>IF($B$2="כן",IF(V56=2012,-'[1]לוח שפיצר איגוד'!$D$4/1000,0),-IF(V$56&lt;=$B$72,0,-VLOOKUP(V$56-$B$72,'[1]הלוואת פועלים'!$D$7:$G$22,2)/1000))</f>
        <v>0</v>
      </c>
      <c r="W72" s="299">
        <f>IF($B$2="כן",IF(W56=2012,-'[1]לוח שפיצר איגוד'!$D$4/1000,0),-IF(W$56&lt;=$B$72,0,-VLOOKUP(W$56-$B$72,'[1]הלוואת פועלים'!$D$7:$G$22,2)/1000))</f>
        <v>0</v>
      </c>
      <c r="X72" s="299">
        <f>IF($B$2="כן",IF(X56=2012,-'[1]לוח שפיצר איגוד'!$D$4/1000,0),-IF(X$56&lt;=$B$72,0,-VLOOKUP(X$56-$B$72,'[1]הלוואת פועלים'!$D$7:$G$22,2)/1000))</f>
        <v>0</v>
      </c>
      <c r="Y72" s="299">
        <f>IF($B$2="כן",IF(Y56=2012,-'[1]לוח שפיצר איגוד'!$D$4/1000,0),-IF(Y$56&lt;=$B$72,0,-VLOOKUP(Y$56-$B$72,'[1]הלוואת פועלים'!$D$7:$G$22,2)/1000))</f>
        <v>0</v>
      </c>
      <c r="Z72" s="299">
        <f>IF($B$2="כן",IF(Z56=2012,-'[1]לוח שפיצר איגוד'!$D$4/1000,0),-IF(Z$56&lt;=$B$72,0,-VLOOKUP(Z$56-$B$72,'[1]הלוואת פועלים'!$D$7:$G$22,2)/1000))</f>
        <v>0</v>
      </c>
      <c r="AA72" s="299">
        <f>IF($B$2="כן",IF(AA56=2012,-'[1]לוח שפיצר איגוד'!$D$4/1000,0),-IF(AA$56&lt;=$B$72,0,-VLOOKUP(AA$56-$B$72,'[1]הלוואת פועלים'!$D$7:$G$22,2)/1000))</f>
        <v>0</v>
      </c>
    </row>
    <row r="73" spans="1:27" ht="15.75">
      <c r="A73" s="231" t="s">
        <v>220</v>
      </c>
      <c r="B73" s="302">
        <v>2015</v>
      </c>
      <c r="C73" s="302"/>
      <c r="D73" s="299"/>
      <c r="E73" s="299">
        <v>0</v>
      </c>
      <c r="F73" s="299">
        <v>0</v>
      </c>
      <c r="G73" s="299">
        <f>IF($B$2="כן",IF(G56=2012,-'[1]לוח שפיצר איגוד'!$D$39/1000,0),-IF(G$56&lt;=$B$73,0,-VLOOKUP(G$56-$B$73,'[1]הלוואת פועלים'!$D$29:$F$44,2)/1000))</f>
        <v>0</v>
      </c>
      <c r="H73" s="299">
        <f>IF($B$2="כן",IF(H56=2012,-'[1]לוח שפיצר איגוד'!$D$39/1000,0),-IF(H$56&lt;=$B$73,0,-VLOOKUP(H$56-$B$73,'[1]הלוואת פועלים'!$D$29:$F$44,2)/1000))</f>
        <v>0</v>
      </c>
      <c r="I73" s="299">
        <f>IF($B$2="כן",IF(I56=2012,-'[1]לוח שפיצר איגוד'!$D$39/1000,0),-IF(I$56&lt;=$B$73,0,-VLOOKUP(I$56-$B$73,'[1]הלוואת פועלים'!$D$29:$F$44,2)/1000))</f>
        <v>0</v>
      </c>
      <c r="J73" s="299">
        <f>IF($B$2="כן",IF(J56=2012,-'[1]לוח שפיצר איגוד'!$D$39/1000,0),-IF(J$56&lt;=$B$73,0,-VLOOKUP(J$56-$B$73,'[1]הלוואת פועלים'!$D$29:$F$44,2)/1000))</f>
        <v>0</v>
      </c>
      <c r="K73" s="299">
        <f>IF($B$2="כן",IF(K56=2012,-'[1]לוח שפיצר איגוד'!$D$39/1000,0),-IF(K$56&lt;=$B$73,0,-VLOOKUP(K$56-$B$73,'[1]הלוואת פועלים'!$D$29:$F$44,2)/1000))</f>
        <v>0</v>
      </c>
      <c r="L73" s="299">
        <f>IF($B$2="כן",IF(L56=2012,-'[1]לוח שפיצר איגוד'!$D$39/1000,0),-IF(L$56&lt;=$B$73,0,-VLOOKUP(L$56-$B$73,'[1]הלוואת פועלים'!$D$29:$F$44,2)/1000))</f>
        <v>0</v>
      </c>
      <c r="M73" s="299">
        <f>IF($B$2="כן",IF(M56=2012,-'[1]לוח שפיצר איגוד'!$D$39/1000,0),-IF(M$56&lt;=$B$73,0,-VLOOKUP(M$56-$B$73,'[1]הלוואת פועלים'!$D$29:$F$44,2)/1000))</f>
        <v>0</v>
      </c>
      <c r="N73" s="299">
        <f>IF($B$2="כן",IF(N56=2012,-'[1]לוח שפיצר איגוד'!$D$39/1000,0),-IF(N$56&lt;=$B$73,0,-VLOOKUP(N$56-$B$73,'[1]הלוואת פועלים'!$D$29:$F$44,2)/1000))</f>
        <v>0</v>
      </c>
      <c r="O73" s="299">
        <f>IF($B$2="כן",IF(O56=2012,-'[1]לוח שפיצר איגוד'!$D$39/1000,0),-IF(O$56&lt;=$B$73,0,-VLOOKUP(O$56-$B$73,'[1]הלוואת פועלים'!$D$29:$F$44,2)/1000))</f>
        <v>0</v>
      </c>
      <c r="P73" s="300">
        <f>IF($B$2="כן",IF(P56=2012,-'[1]לוח שפיצר איגוד'!$D$39/1000,0),-IF(P$56&lt;=$B$73,0,-VLOOKUP(P$56-$B$73,'[1]הלוואת פועלים'!$D$29:$F$44,2)/1000))</f>
        <v>0</v>
      </c>
      <c r="Q73" s="299">
        <f>IF($B$2="כן",IF(Q56=2012,-'[1]לוח שפיצר איגוד'!$D$39/1000,0),-IF(Q$56&lt;=$B$73,0,-VLOOKUP(Q$56-$B$73,'[1]הלוואת פועלים'!$D$29:$F$44,2)/1000))</f>
        <v>0</v>
      </c>
      <c r="R73" s="299">
        <f>IF($B$2="כן",IF(R56=2012,-'[1]לוח שפיצר איגוד'!$D$39/1000,0),-IF(R$56&lt;=$B$73,0,-VLOOKUP(R$56-$B$73,'[1]הלוואת פועלים'!$D$29:$F$44,2)/1000))</f>
        <v>0</v>
      </c>
      <c r="S73" s="299">
        <f>IF($B$2="כן",IF(S56=2012,-'[1]לוח שפיצר איגוד'!$D$39/1000,0),-IF(S$56&lt;=$B$73,0,-VLOOKUP(S$56-$B$73,'[1]הלוואת פועלים'!$D$29:$F$44,2)/1000))</f>
        <v>0</v>
      </c>
      <c r="T73" s="299">
        <f>IF($B$2="כן",IF(T56=2012,-'[1]לוח שפיצר איגוד'!$D$39/1000,0),-IF(T$56&lt;=$B$73,0,-VLOOKUP(T$56-$B$73,'[1]הלוואת פועלים'!$D$29:$F$44,2)/1000))</f>
        <v>0</v>
      </c>
      <c r="U73" s="299">
        <f>IF($B$2="כן",IF(U56=2012,-'[1]לוח שפיצר איגוד'!$D$39/1000,0),-IF(U$56&lt;=$B$73,0,-VLOOKUP(U$56-$B$73,'[1]הלוואת פועלים'!$D$29:$F$44,2)/1000))</f>
        <v>0</v>
      </c>
      <c r="V73" s="299">
        <f>IF($B$2="כן",IF(V56=2012,-'[1]לוח שפיצר איגוד'!$D$39/1000,0),-IF(V$56&lt;=$B$73,0,-VLOOKUP(V$56-$B$73,'[1]הלוואת פועלים'!$D$29:$F$44,2)/1000))</f>
        <v>0</v>
      </c>
      <c r="W73" s="299">
        <f>IF($B$2="כן",IF(W56=2012,-'[1]לוח שפיצר איגוד'!$D$39/1000,0),-IF(W$56&lt;=$B$73,0,-VLOOKUP(W$56-$B$73,'[1]הלוואת פועלים'!$D$29:$F$44,2)/1000))</f>
        <v>0</v>
      </c>
      <c r="X73" s="299">
        <f>IF($B$2="כן",IF(X56=2012,-'[1]לוח שפיצר איגוד'!$D$39/1000,0),-IF(X$56&lt;=$B$73,0,-VLOOKUP(X$56-$B$73,'[1]הלוואת פועלים'!$D$29:$F$44,2)/1000))</f>
        <v>0</v>
      </c>
      <c r="Y73" s="299">
        <f>IF($B$2="כן",IF(Y56=2012,-'[1]לוח שפיצר איגוד'!$D$39/1000,0),-IF(Y$56&lt;=$B$73,0,-VLOOKUP(Y$56-$B$73,'[1]הלוואת פועלים'!$D$29:$F$44,2)/1000))</f>
        <v>0</v>
      </c>
      <c r="Z73" s="299">
        <f>IF($B$2="כן",IF(Z56=2012,-'[1]לוח שפיצר איגוד'!$D$39/1000,0),-IF(Z$56&lt;=$B$73,0,-VLOOKUP(Z$56-$B$73,'[1]הלוואת פועלים'!$D$29:$F$44,2)/1000))</f>
        <v>0</v>
      </c>
      <c r="AA73" s="299">
        <f>IF($B$2="כן",IF(AA56=2012,-'[1]לוח שפיצר איגוד'!$D$39/1000,0),-IF(AA$56&lt;=$B$73,0,-VLOOKUP(AA$56-$B$73,'[1]הלוואת פועלים'!$D$29:$F$44,2)/1000))</f>
        <v>0</v>
      </c>
    </row>
    <row r="74" spans="1:27" ht="15.75">
      <c r="A74" s="231" t="s">
        <v>219</v>
      </c>
      <c r="B74" s="302">
        <v>2016</v>
      </c>
      <c r="C74" s="302"/>
      <c r="D74" s="299"/>
      <c r="E74" s="299">
        <v>0</v>
      </c>
      <c r="F74" s="299">
        <v>0</v>
      </c>
      <c r="G74" s="299">
        <f>IF($B$2="כן",IF(G56=2012,-'[1]לוח שפיצר איגוד'!$D$74/1000,0),-IF(G$56&lt;=$B$74,0,-VLOOKUP(G$56-$B$74,'[1]הלוואת פועלים'!$D$51:$F$66,2)/1000))</f>
        <v>0</v>
      </c>
      <c r="H74" s="299">
        <f>IF($B$2="כן",IF(H56=2012,-'[1]לוח שפיצר איגוד'!$D$74/1000,0),-IF(H$56&lt;=$B$74,0,-VLOOKUP(H$56-$B$74,'[1]הלוואת פועלים'!$D$51:$F$66,2)/1000))</f>
        <v>0</v>
      </c>
      <c r="I74" s="299">
        <f>IF($B$2="כן",IF(I56=2012,-'[1]לוח שפיצר איגוד'!$D$74/1000,0),-IF(I$56&lt;=$B$74,0,-VLOOKUP(I$56-$B$74,'[1]הלוואת פועלים'!$D$51:$F$66,2)/1000))</f>
        <v>0</v>
      </c>
      <c r="J74" s="299">
        <f>IF($B$2="כן",IF(J56=2012,-'[1]לוח שפיצר איגוד'!$D$74/1000,0),-IF(J$56&lt;=$B$74,0,-VLOOKUP(J$56-$B$74,'[1]הלוואת פועלים'!$D$51:$F$66,2)/1000))</f>
        <v>0</v>
      </c>
      <c r="K74" s="299">
        <f>IF($B$2="כן",IF(K56=2012,-'[1]לוח שפיצר איגוד'!$D$74/1000,0),-IF(K$56&lt;=$B$74,0,-VLOOKUP(K$56-$B$74,'[1]הלוואת פועלים'!$D$51:$F$66,2)/1000))</f>
        <v>0</v>
      </c>
      <c r="L74" s="299">
        <f>IF($B$2="כן",IF(L56=2012,-'[1]לוח שפיצר איגוד'!$D$74/1000,0),-IF(L$56&lt;=$B$74,0,-VLOOKUP(L$56-$B$74,'[1]הלוואת פועלים'!$D$51:$F$66,2)/1000))</f>
        <v>0</v>
      </c>
      <c r="M74" s="299">
        <f>IF($B$2="כן",IF(M56=2012,-'[1]לוח שפיצר איגוד'!$D$74/1000,0),-IF(M$56&lt;=$B$74,0,-VLOOKUP(M$56-$B$74,'[1]הלוואת פועלים'!$D$51:$F$66,2)/1000))</f>
        <v>0</v>
      </c>
      <c r="N74" s="299">
        <f>IF($B$2="כן",IF(N56=2012,-'[1]לוח שפיצר איגוד'!$D$74/1000,0),-IF(N$56&lt;=$B$74,0,-VLOOKUP(N$56-$B$74,'[1]הלוואת פועלים'!$D$51:$F$66,2)/1000))</f>
        <v>0</v>
      </c>
      <c r="O74" s="299">
        <f>IF($B$2="כן",IF(O56=2012,-'[1]לוח שפיצר איגוד'!$D$74/1000,0),-IF(O$56&lt;=$B$74,0,-VLOOKUP(O$56-$B$74,'[1]הלוואת פועלים'!$D$51:$F$66,2)/1000))</f>
        <v>0</v>
      </c>
      <c r="P74" s="300">
        <f>IF($B$2="כן",IF(P56=2012,-'[1]לוח שפיצר איגוד'!$D$74/1000,0),-IF(P$56&lt;=$B$74,0,-VLOOKUP(P$56-$B$74,'[1]הלוואת פועלים'!$D$51:$F$66,2)/1000))</f>
        <v>0</v>
      </c>
      <c r="Q74" s="299">
        <f>IF($B$2="כן",IF(Q56=2012,-'[1]לוח שפיצר איגוד'!$D$74/1000,0),-IF(Q$56&lt;=$B$74,0,-VLOOKUP(Q$56-$B$74,'[1]הלוואת פועלים'!$D$51:$F$66,2)/1000))</f>
        <v>0</v>
      </c>
      <c r="R74" s="299">
        <f>IF($B$2="כן",IF(R56=2012,-'[1]לוח שפיצר איגוד'!$D$74/1000,0),-IF(R$56&lt;=$B$74,0,-VLOOKUP(R$56-$B$74,'[1]הלוואת פועלים'!$D$51:$F$66,2)/1000))</f>
        <v>0</v>
      </c>
      <c r="S74" s="299">
        <f>IF($B$2="כן",IF(S56=2012,-'[1]לוח שפיצר איגוד'!$D$74/1000,0),-IF(S$56&lt;=$B$74,0,-VLOOKUP(S$56-$B$74,'[1]הלוואת פועלים'!$D$51:$F$66,2)/1000))</f>
        <v>0</v>
      </c>
      <c r="T74" s="299">
        <f>IF($B$2="כן",IF(T56=2012,-'[1]לוח שפיצר איגוד'!$D$74/1000,0),-IF(T$56&lt;=$B$74,0,-VLOOKUP(T$56-$B$74,'[1]הלוואת פועלים'!$D$51:$F$66,2)/1000))</f>
        <v>0</v>
      </c>
      <c r="U74" s="299">
        <f>IF($B$2="כן",IF(U56=2012,-'[1]לוח שפיצר איגוד'!$D$74/1000,0),-IF(U$56&lt;=$B$74,0,-VLOOKUP(U$56-$B$74,'[1]הלוואת פועלים'!$D$51:$F$66,2)/1000))</f>
        <v>0</v>
      </c>
      <c r="V74" s="299">
        <f>IF($B$2="כן",IF(V56=2012,-'[1]לוח שפיצר איגוד'!$D$74/1000,0),-IF(V$56&lt;=$B$74,0,-VLOOKUP(V$56-$B$74,'[1]הלוואת פועלים'!$D$51:$F$66,2)/1000))</f>
        <v>0</v>
      </c>
      <c r="W74" s="299">
        <f>IF($B$2="כן",IF(W56=2012,-'[1]לוח שפיצר איגוד'!$D$74/1000,0),-IF(W$56&lt;=$B$74,0,-VLOOKUP(W$56-$B$74,'[1]הלוואת פועלים'!$D$51:$F$66,2)/1000))</f>
        <v>0</v>
      </c>
      <c r="X74" s="299">
        <f>IF($B$2="כן",IF(X56=2012,-'[1]לוח שפיצר איגוד'!$D$74/1000,0),-IF(X$56&lt;=$B$74,0,-VLOOKUP(X$56-$B$74,'[1]הלוואת פועלים'!$D$51:$F$66,2)/1000))</f>
        <v>0</v>
      </c>
      <c r="Y74" s="299">
        <f>IF($B$2="כן",IF(Y56=2012,-'[1]לוח שפיצר איגוד'!$D$74/1000,0),-IF(Y$56&lt;=$B$74,0,-VLOOKUP(Y$56-$B$74,'[1]הלוואת פועלים'!$D$51:$F$66,2)/1000))</f>
        <v>0</v>
      </c>
      <c r="Z74" s="299">
        <f>IF($B$2="כן",IF(Z56=2012,-'[1]לוח שפיצר איגוד'!$D$74/1000,0),-IF(Z$56&lt;=$B$74,0,-VLOOKUP(Z$56-$B$74,'[1]הלוואת פועלים'!$D$51:$F$66,2)/1000))</f>
        <v>0</v>
      </c>
      <c r="AA74" s="299">
        <f>IF($B$2="כן",IF(AA56=2012,-'[1]לוח שפיצר איגוד'!$D$74/1000,0),-IF(AA$56&lt;=$B$74,0,-VLOOKUP(AA$56-$B$74,'[1]הלוואת פועלים'!$D$51:$F$66,2)/1000))</f>
        <v>0</v>
      </c>
    </row>
    <row r="75" spans="1:27" ht="15.75">
      <c r="A75" s="231" t="s">
        <v>218</v>
      </c>
      <c r="B75" s="302">
        <v>2017</v>
      </c>
      <c r="C75" s="302"/>
      <c r="D75" s="299"/>
      <c r="E75" s="299">
        <v>0</v>
      </c>
      <c r="F75" s="299">
        <v>0</v>
      </c>
      <c r="G75" s="299">
        <f>IF($B$2="כן",IF(G56=2012,-'[1]הלוואת פועלים'!$D$70/1000,0),-IF(G$56&lt;=$B$75,0,-VLOOKUP(G$56-$B$75,'[1]הלוואת פועלים'!$D$73:$F$88,2)/1000))</f>
        <v>0</v>
      </c>
      <c r="H75" s="299">
        <f>IF($B$2="כן",IF(H56=2012,-'[1]הלוואת פועלים'!$D$70/1000,0),-IF(H$56&lt;=$B$75,0,-VLOOKUP(H$56-$B$75,'[1]הלוואת פועלים'!$D$73:$F$88,2)/1000))</f>
        <v>0</v>
      </c>
      <c r="I75" s="299">
        <f>IF($B$2="כן",IF(I56=2012,-'[1]הלוואת פועלים'!$D$70/1000,0),-IF(I$56&lt;=$B$75,0,-VLOOKUP(I$56-$B$75,'[1]הלוואת פועלים'!$D$73:$F$88,2)/1000))</f>
        <v>0</v>
      </c>
      <c r="J75" s="299">
        <f>IF($B$2="כן",IF(J56=2012,-'[1]הלוואת פועלים'!$D$70/1000,0),-IF(J$56&lt;=$B$75,0,-VLOOKUP(J$56-$B$75,'[1]הלוואת פועלים'!$D$73:$F$88,2)/1000))</f>
        <v>0</v>
      </c>
      <c r="K75" s="299">
        <f>IF($B$2="כן",IF(K56=2012,-'[1]הלוואת פועלים'!$D$70/1000,0),-IF(K$56&lt;=$B$75,0,-VLOOKUP(K$56-$B$75,'[1]הלוואת פועלים'!$D$73:$F$88,2)/1000))</f>
        <v>0</v>
      </c>
      <c r="L75" s="299">
        <f>IF($B$2="כן",IF(L56=2012,-'[1]הלוואת פועלים'!$D$70/1000,0),-IF(L$56&lt;=$B$75,0,-VLOOKUP(L$56-$B$75,'[1]הלוואת פועלים'!$D$73:$F$88,2)/1000))</f>
        <v>0</v>
      </c>
      <c r="M75" s="299">
        <f>IF($B$2="כן",IF(M56=2012,-'[1]הלוואת פועלים'!$D$70/1000,0),-IF(M$56&lt;=$B$75,0,-VLOOKUP(M$56-$B$75,'[1]הלוואת פועלים'!$D$73:$F$88,2)/1000))</f>
        <v>0</v>
      </c>
      <c r="N75" s="299">
        <f>IF($B$2="כן",IF(N56=2012,-'[1]הלוואת פועלים'!$D$70/1000,0),-IF(N$56&lt;=$B$75,0,-VLOOKUP(N$56-$B$75,'[1]הלוואת פועלים'!$D$73:$F$88,2)/1000))</f>
        <v>0</v>
      </c>
      <c r="O75" s="299">
        <f>IF($B$2="כן",IF(O56=2012,-'[1]הלוואת פועלים'!$D$70/1000,0),-IF(O$56&lt;=$B$75,0,-VLOOKUP(O$56-$B$75,'[1]הלוואת פועלים'!$D$73:$F$88,2)/1000))</f>
        <v>0</v>
      </c>
      <c r="P75" s="300">
        <f>IF($B$2="כן",IF(P56=2012,-'[1]הלוואת פועלים'!$D$70/1000,0),-IF(P$56&lt;=$B$75,0,-VLOOKUP(P$56-$B$75,'[1]הלוואת פועלים'!$D$73:$F$88,2)/1000))</f>
        <v>0</v>
      </c>
      <c r="Q75" s="299">
        <f>IF($B$2="כן",IF(Q56=2012,-'[1]הלוואת פועלים'!$D$70/1000,0),-IF(Q$56&lt;=$B$75,0,-VLOOKUP(Q$56-$B$75,'[1]הלוואת פועלים'!$D$73:$F$88,2)/1000))</f>
        <v>0</v>
      </c>
      <c r="R75" s="299">
        <f>IF($B$2="כן",IF(R56=2012,-'[1]הלוואת פועלים'!$D$70/1000,0),-IF(R$56&lt;=$B$75,0,-VLOOKUP(R$56-$B$75,'[1]הלוואת פועלים'!$D$73:$F$88,2)/1000))</f>
        <v>0</v>
      </c>
      <c r="S75" s="299">
        <f>IF($B$2="כן",IF(S56=2012,-'[1]הלוואת פועלים'!$D$70/1000,0),-IF(S$56&lt;=$B$75,0,-VLOOKUP(S$56-$B$75,'[1]הלוואת פועלים'!$D$73:$F$88,2)/1000))</f>
        <v>0</v>
      </c>
      <c r="T75" s="299">
        <f>IF($B$2="כן",IF(T56=2012,-'[1]הלוואת פועלים'!$D$70/1000,0),-IF(T$56&lt;=$B$75,0,-VLOOKUP(T$56-$B$75,'[1]הלוואת פועלים'!$D$73:$F$88,2)/1000))</f>
        <v>0</v>
      </c>
      <c r="U75" s="299">
        <f>IF($B$2="כן",IF(U56=2012,-'[1]הלוואת פועלים'!$D$70/1000,0),-IF(U$56&lt;=$B$75,0,-VLOOKUP(U$56-$B$75,'[1]הלוואת פועלים'!$D$73:$F$88,2)/1000))</f>
        <v>0</v>
      </c>
      <c r="V75" s="299">
        <f>IF($B$2="כן",IF(V56=2012,-'[1]הלוואת פועלים'!$D$70/1000,0),-IF(V$56&lt;=$B$75,0,-VLOOKUP(V$56-$B$75,'[1]הלוואת פועלים'!$D$73:$F$88,2)/1000))</f>
        <v>0</v>
      </c>
      <c r="W75" s="299">
        <f>IF($B$2="כן",IF(W56=2012,-'[1]הלוואת פועלים'!$D$70/1000,0),-IF(W$56&lt;=$B$75,0,-VLOOKUP(W$56-$B$75,'[1]הלוואת פועלים'!$D$73:$F$88,2)/1000))</f>
        <v>0</v>
      </c>
      <c r="X75" s="299">
        <f>IF($B$2="כן",IF(X56=2012,-'[1]הלוואת פועלים'!$D$70/1000,0),-IF(X$56&lt;=$B$75,0,-VLOOKUP(X$56-$B$75,'[1]הלוואת פועלים'!$D$73:$F$88,2)/1000))</f>
        <v>0</v>
      </c>
      <c r="Y75" s="299">
        <f>IF($B$2="כן",IF(Y56=2012,-'[1]הלוואת פועלים'!$D$70/1000,0),-IF(Y$56&lt;=$B$75,0,-VLOOKUP(Y$56-$B$75,'[1]הלוואת פועלים'!$D$73:$F$88,2)/1000))</f>
        <v>0</v>
      </c>
      <c r="Z75" s="299">
        <f>IF($B$2="כן",IF(Z56=2012,-'[1]הלוואת פועלים'!$D$70/1000,0),-IF(Z$56&lt;=$B$75,0,-VLOOKUP(Z$56-$B$75,'[1]הלוואת פועלים'!$D$73:$F$88,2)/1000))</f>
        <v>0</v>
      </c>
      <c r="AA75" s="299">
        <f>IF($B$2="כן",IF(AA56=2012,-'[1]הלוואת פועלים'!$D$70/1000,0),-IF(AA$56&lt;=$B$75,0,-VLOOKUP(AA$56-$B$75,'[1]הלוואת פועלים'!$D$73:$F$88,2)/1000))</f>
        <v>0</v>
      </c>
    </row>
    <row r="76" spans="1:27" ht="15.75">
      <c r="A76" s="231" t="s">
        <v>217</v>
      </c>
      <c r="B76" s="302"/>
      <c r="C76" s="302"/>
      <c r="D76" s="299"/>
      <c r="E76" s="299">
        <v>0</v>
      </c>
      <c r="F76" s="299">
        <v>0</v>
      </c>
      <c r="G76" s="299">
        <v>0</v>
      </c>
      <c r="H76" s="299">
        <v>0</v>
      </c>
      <c r="I76" s="299">
        <v>0</v>
      </c>
      <c r="J76" s="299">
        <v>0</v>
      </c>
      <c r="K76" s="299">
        <v>0</v>
      </c>
      <c r="L76" s="299">
        <v>0</v>
      </c>
      <c r="M76" s="299">
        <v>0</v>
      </c>
      <c r="N76" s="299">
        <v>0</v>
      </c>
      <c r="O76" s="299">
        <v>0</v>
      </c>
      <c r="P76" s="300">
        <v>0</v>
      </c>
      <c r="Q76" s="299">
        <v>0</v>
      </c>
      <c r="R76" s="299">
        <v>0</v>
      </c>
      <c r="S76" s="299">
        <v>0</v>
      </c>
      <c r="T76" s="299">
        <v>0</v>
      </c>
      <c r="U76" s="299">
        <v>0</v>
      </c>
      <c r="V76" s="299">
        <v>0</v>
      </c>
      <c r="W76" s="299">
        <v>0</v>
      </c>
      <c r="X76" s="299">
        <v>0</v>
      </c>
      <c r="Y76" s="299">
        <v>0</v>
      </c>
      <c r="Z76" s="299">
        <v>0</v>
      </c>
      <c r="AA76" s="299">
        <v>0</v>
      </c>
    </row>
    <row r="77" spans="1:27" ht="15.75">
      <c r="A77" s="301" t="s">
        <v>131</v>
      </c>
      <c r="D77" s="299"/>
      <c r="E77" s="299">
        <f>E28</f>
        <v>0</v>
      </c>
      <c r="F77" s="299">
        <f>F28</f>
        <v>0</v>
      </c>
      <c r="G77" s="299">
        <f>G28</f>
        <v>-12000</v>
      </c>
      <c r="H77" s="299">
        <f>H28</f>
        <v>-14666.666666666666</v>
      </c>
      <c r="I77" s="299">
        <f>I28</f>
        <v>-14666.666666666666</v>
      </c>
      <c r="J77" s="299">
        <f>J28</f>
        <v>-43466.666666666664</v>
      </c>
      <c r="K77" s="299">
        <f>K28</f>
        <v>-57866.666666666664</v>
      </c>
      <c r="L77" s="299">
        <f>L28</f>
        <v>-59066.666666666672</v>
      </c>
      <c r="M77" s="299">
        <f>M28</f>
        <v>-62666.666666666664</v>
      </c>
      <c r="N77" s="299">
        <f>N28</f>
        <v>-66866.666666666657</v>
      </c>
      <c r="O77" s="299">
        <f>O28</f>
        <v>-110616.82739567135</v>
      </c>
      <c r="P77" s="300">
        <f>P28</f>
        <v>-115620.9826997285</v>
      </c>
      <c r="Q77" s="299">
        <f>Q28</f>
        <v>-118271.47512881956</v>
      </c>
      <c r="R77" s="299">
        <f>R28</f>
        <v>-123969.8338080706</v>
      </c>
      <c r="S77" s="299">
        <f>S28</f>
        <v>-129717.63832373693</v>
      </c>
      <c r="T77" s="299">
        <f>T28</f>
        <v>-135516.52038842024</v>
      </c>
      <c r="U77" s="299">
        <f>U28</f>
        <v>-141768.16556123813</v>
      </c>
      <c r="V77" s="299">
        <f>V28</f>
        <v>-148474.31502475898</v>
      </c>
      <c r="W77" s="299">
        <f>W28</f>
        <v>-155370.10075390936</v>
      </c>
      <c r="X77" s="299">
        <f>X28</f>
        <v>-124790.71407878836</v>
      </c>
      <c r="Y77" s="299">
        <f>Y28</f>
        <v>-128471.40764338838</v>
      </c>
      <c r="Z77" s="299">
        <f>Z28</f>
        <v>-132814.16409562019</v>
      </c>
      <c r="AA77" s="299">
        <f>AA28</f>
        <v>-136621.03151077568</v>
      </c>
    </row>
    <row r="78" spans="1:27" ht="15.75">
      <c r="A78" s="298" t="s">
        <v>216</v>
      </c>
      <c r="B78" s="297"/>
      <c r="C78" s="297"/>
      <c r="D78" s="295"/>
      <c r="E78" s="295">
        <f>SUM(E69:E77)</f>
        <v>0.001</v>
      </c>
      <c r="F78" s="295">
        <f>SUM(F69:F77)</f>
        <v>0</v>
      </c>
      <c r="G78" s="295">
        <f>SUM(G69:G77)</f>
        <v>188000</v>
      </c>
      <c r="H78" s="295">
        <f>SUM(H69:H77)</f>
        <v>225198.00134217236</v>
      </c>
      <c r="I78" s="295">
        <f>SUM(I69:I77)</f>
        <v>94798.701974622047</v>
      </c>
      <c r="J78" s="295">
        <f>SUM(J69:J77)</f>
        <v>88001.317308685044</v>
      </c>
      <c r="K78" s="295">
        <f>SUM(K69:K77)</f>
        <v>234030.92543937804</v>
      </c>
      <c r="L78" s="295">
        <f>SUM(L69:L77)</f>
        <v>266200.75901004247</v>
      </c>
      <c r="M78" s="295">
        <f>SUM(M69:M77)</f>
        <v>162732.14548488893</v>
      </c>
      <c r="N78" s="295">
        <f>SUM(N69:N77)</f>
        <v>109671.26287310483</v>
      </c>
      <c r="O78" s="295">
        <f>SUM(O69:O77)</f>
        <v>-51497.007171205521</v>
      </c>
      <c r="P78" s="296">
        <f>SUM(P69:P77)</f>
        <v>-115620.9826997285</v>
      </c>
      <c r="Q78" s="295">
        <f>SUM(Q69:Q77)</f>
        <v>-118271.47512881956</v>
      </c>
      <c r="R78" s="295">
        <f>SUM(R69:R77)</f>
        <v>-123969.8338080706</v>
      </c>
      <c r="S78" s="295">
        <f>SUM(S69:S77)</f>
        <v>-129717.63832373693</v>
      </c>
      <c r="T78" s="295">
        <f>SUM(T69:T77)</f>
        <v>-135516.52038842024</v>
      </c>
      <c r="U78" s="295">
        <f>SUM(U69:U77)</f>
        <v>-141768.16556123813</v>
      </c>
      <c r="V78" s="295">
        <f>SUM(V69:V77)</f>
        <v>-148474.31502475898</v>
      </c>
      <c r="W78" s="295">
        <f>SUM(W69:W77)</f>
        <v>-155370.10075390936</v>
      </c>
      <c r="X78" s="295">
        <f>SUM(X69:X77)</f>
        <v>-124790.71407878836</v>
      </c>
      <c r="Y78" s="295">
        <f>SUM(Y69:Y77)</f>
        <v>-128471.40764338838</v>
      </c>
      <c r="Z78" s="295">
        <f>SUM(Z69:Z77)</f>
        <v>-132814.16409562019</v>
      </c>
      <c r="AA78" s="295">
        <f>SUM(AA69:AA77)</f>
        <v>-136621.03151077568</v>
      </c>
    </row>
    <row r="80" spans="1:27" ht="16.5" thickBot="1">
      <c r="A80" s="294" t="s">
        <v>215</v>
      </c>
      <c r="B80" s="293"/>
      <c r="C80" s="293"/>
      <c r="D80" s="291"/>
      <c r="E80" s="291">
        <f>E61+E66+E78</f>
        <v>0</v>
      </c>
      <c r="F80" s="291">
        <f>F61+F66+F78</f>
        <v>0</v>
      </c>
      <c r="G80" s="291">
        <f>G61+G66+G78</f>
        <v>5468.5295631910558</v>
      </c>
      <c r="H80" s="291">
        <f>H61+H66+H78</f>
        <v>5804.4704368089733</v>
      </c>
      <c r="I80" s="291">
        <f>I61+I66+I78</f>
        <v>0</v>
      </c>
      <c r="J80" s="291">
        <f>J61+J66+J78</f>
        <v>0</v>
      </c>
      <c r="K80" s="291">
        <f>K61+K66+K78</f>
        <v>0</v>
      </c>
      <c r="L80" s="291">
        <f>L61+L66+L78</f>
        <v>0</v>
      </c>
      <c r="M80" s="291">
        <f>M61+M66+M78</f>
        <v>0</v>
      </c>
      <c r="N80" s="291">
        <f>N61+N66+N78</f>
        <v>0</v>
      </c>
      <c r="O80" s="291">
        <f>O61+O66+O78</f>
        <v>3535.5222215973045</v>
      </c>
      <c r="P80" s="292">
        <f>P61+P66+P78</f>
        <v>15049.340477815873</v>
      </c>
      <c r="Q80" s="291">
        <f>Q61+Q66+Q78</f>
        <v>12228.531527063518</v>
      </c>
      <c r="R80" s="291">
        <f>R61+R66+R78</f>
        <v>12336.127690570749</v>
      </c>
      <c r="S80" s="291">
        <f>S61+S66+S78</f>
        <v>13269.162368970807</v>
      </c>
      <c r="T80" s="291">
        <f>T61+T66+T78</f>
        <v>14363.346714794578</v>
      </c>
      <c r="U80" s="291">
        <f>U61+U66+U78</f>
        <v>15221.475838297309</v>
      </c>
      <c r="V80" s="291">
        <f>V61+V66+V78</f>
        <v>15844.952022085112</v>
      </c>
      <c r="W80" s="291">
        <f>W61+W66+W78</f>
        <v>16526.451565806172</v>
      </c>
      <c r="X80" s="291">
        <f>X61+X66+X78</f>
        <v>54664.363110227161</v>
      </c>
      <c r="Y80" s="291">
        <f>Y61+Y66+Y78</f>
        <v>57693.660665367526</v>
      </c>
      <c r="Z80" s="291">
        <f>Z61+Z66+Z78</f>
        <v>60213.785119952285</v>
      </c>
      <c r="AA80" s="291">
        <f>AA61+AA66+AA78</f>
        <v>63444.985699082143</v>
      </c>
    </row>
    <row r="81" spans="1:27" ht="16.5" thickTop="1">
      <c r="A81" s="231" t="s">
        <v>214</v>
      </c>
      <c r="D81" s="289"/>
      <c r="E81" s="289">
        <f>D82</f>
        <v>6544</v>
      </c>
      <c r="F81" s="289">
        <f>E82</f>
        <v>67815.816000000006</v>
      </c>
      <c r="G81" s="289">
        <f>F82</f>
        <v>38727</v>
      </c>
      <c r="H81" s="289">
        <f>G82</f>
        <v>44195.529563191056</v>
      </c>
      <c r="I81" s="289">
        <f>H82</f>
        <v>50000.000000000029</v>
      </c>
      <c r="J81" s="289">
        <f>I82</f>
        <v>50000.000000000029</v>
      </c>
      <c r="K81" s="289">
        <f>J82</f>
        <v>50000.000000000029</v>
      </c>
      <c r="L81" s="289">
        <f>K82</f>
        <v>50000.000000000029</v>
      </c>
      <c r="M81" s="289">
        <f>L82</f>
        <v>50000.000000000029</v>
      </c>
      <c r="N81" s="289">
        <f>M82</f>
        <v>50000.000000000029</v>
      </c>
      <c r="O81" s="289">
        <f>N82</f>
        <v>50000.000000000029</v>
      </c>
      <c r="P81" s="290">
        <f>O82</f>
        <v>53535.522221597334</v>
      </c>
      <c r="Q81" s="289">
        <f>P82</f>
        <v>68584.862699413206</v>
      </c>
      <c r="R81" s="289">
        <f>Q82</f>
        <v>80813.394226476725</v>
      </c>
      <c r="S81" s="289">
        <f>R82</f>
        <v>93149.521917047474</v>
      </c>
      <c r="T81" s="289">
        <f>S82</f>
        <v>106418.68428601828</v>
      </c>
      <c r="U81" s="289">
        <f>T82</f>
        <v>120782.03100081286</v>
      </c>
      <c r="V81" s="289">
        <f>U82</f>
        <v>136003.50683911017</v>
      </c>
      <c r="W81" s="289">
        <f>V82</f>
        <v>151848.45886119528</v>
      </c>
      <c r="X81" s="289">
        <f>W82</f>
        <v>168374.91042700145</v>
      </c>
      <c r="Y81" s="289">
        <f>X82</f>
        <v>223039.27353722861</v>
      </c>
      <c r="Z81" s="289">
        <f>Y82</f>
        <v>280732.93420259614</v>
      </c>
      <c r="AA81" s="289">
        <f>Z82</f>
        <v>340946.71932254842</v>
      </c>
    </row>
    <row r="82" spans="1:27" ht="15.75">
      <c r="A82" s="249" t="s">
        <v>213</v>
      </c>
      <c r="B82" s="249"/>
      <c r="C82" s="249"/>
      <c r="D82" s="287">
        <f>2400+4144</f>
        <v>6544</v>
      </c>
      <c r="E82" s="287">
        <f>'[1]תקציב מאוחד'!D49/1000</f>
        <v>67815.816000000006</v>
      </c>
      <c r="F82" s="287">
        <v>38727</v>
      </c>
      <c r="G82" s="287">
        <f>SUM(G80:G81)</f>
        <v>44195.529563191056</v>
      </c>
      <c r="H82" s="287">
        <f>SUM(H80:H81)</f>
        <v>50000.000000000029</v>
      </c>
      <c r="I82" s="287">
        <f>SUM(I80:I81)</f>
        <v>50000.000000000029</v>
      </c>
      <c r="J82" s="287">
        <f>SUM(J80:J81)</f>
        <v>50000.000000000029</v>
      </c>
      <c r="K82" s="287">
        <f>SUM(K80:K81)</f>
        <v>50000.000000000029</v>
      </c>
      <c r="L82" s="287">
        <f>SUM(L80:L81)</f>
        <v>50000.000000000029</v>
      </c>
      <c r="M82" s="287">
        <f>SUM(M80:M81)</f>
        <v>50000.000000000029</v>
      </c>
      <c r="N82" s="287">
        <f>SUM(N80:N81)</f>
        <v>50000.000000000029</v>
      </c>
      <c r="O82" s="287">
        <f>SUM(O80:O81)</f>
        <v>53535.522221597334</v>
      </c>
      <c r="P82" s="288">
        <f>SUM(P80:P81)</f>
        <v>68584.862699413206</v>
      </c>
      <c r="Q82" s="287">
        <f>SUM(Q80:Q81)</f>
        <v>80813.394226476725</v>
      </c>
      <c r="R82" s="287">
        <f>SUM(R80:R81)</f>
        <v>93149.521917047474</v>
      </c>
      <c r="S82" s="287">
        <f>SUM(S80:S81)</f>
        <v>106418.68428601828</v>
      </c>
      <c r="T82" s="287">
        <f>SUM(T80:T81)</f>
        <v>120782.03100081286</v>
      </c>
      <c r="U82" s="287">
        <f>SUM(U80:U81)</f>
        <v>136003.50683911017</v>
      </c>
      <c r="V82" s="287">
        <f>SUM(V80:V81)</f>
        <v>151848.45886119528</v>
      </c>
      <c r="W82" s="287">
        <f>SUM(W80:W81)</f>
        <v>168374.91042700145</v>
      </c>
      <c r="X82" s="287">
        <f>SUM(X80:X81)</f>
        <v>223039.27353722861</v>
      </c>
      <c r="Y82" s="287">
        <f>SUM(Y80:Y81)</f>
        <v>280732.93420259614</v>
      </c>
      <c r="Z82" s="287">
        <f>SUM(Z80:Z81)</f>
        <v>340946.71932254842</v>
      </c>
      <c r="AA82" s="287">
        <f>SUM(AA80:AA81)</f>
        <v>404391.70502163057</v>
      </c>
    </row>
    <row r="83" spans="1:27" ht="15.75">
      <c r="A83" s="249"/>
      <c r="B83" s="249"/>
      <c r="C83" s="249"/>
      <c r="D83" s="249"/>
      <c r="E83" s="287"/>
      <c r="F83" s="287"/>
      <c r="G83" s="287"/>
      <c r="H83" s="287"/>
      <c r="I83" s="287"/>
      <c r="J83" s="287"/>
      <c r="K83" s="287"/>
      <c r="L83" s="287"/>
      <c r="M83" s="287"/>
      <c r="N83" s="287"/>
      <c r="O83" s="287"/>
      <c r="P83" s="288"/>
      <c r="Q83" s="287"/>
      <c r="R83" s="287"/>
      <c r="S83" s="287"/>
      <c r="T83" s="287"/>
      <c r="U83" s="287"/>
      <c r="V83" s="287"/>
      <c r="W83" s="287"/>
      <c r="X83" s="287"/>
      <c r="Y83" s="287"/>
      <c r="Z83" s="287"/>
      <c r="AA83" s="287"/>
    </row>
    <row r="84" spans="1:27" ht="15.75">
      <c r="A84" s="285" t="s">
        <v>212</v>
      </c>
      <c r="B84" s="285"/>
      <c r="C84" s="285"/>
      <c r="D84" s="285"/>
      <c r="E84" s="285" t="str">
        <f>IF(E82&lt;0,"negative","")</f>
        <v/>
      </c>
      <c r="F84" s="285" t="str">
        <f>IF(F82&lt;0,"negative","")</f>
        <v/>
      </c>
      <c r="G84" s="285" t="str">
        <f>IF(G82&lt;0,"negative","")</f>
        <v/>
      </c>
      <c r="H84" s="285" t="str">
        <f>IF(H82&lt;0,"negative","")</f>
        <v/>
      </c>
      <c r="I84" s="285" t="str">
        <f>IF(I82&lt;0,"negative","")</f>
        <v/>
      </c>
      <c r="J84" s="285" t="str">
        <f>IF(J82&lt;0,"negative","")</f>
        <v/>
      </c>
      <c r="K84" s="285" t="str">
        <f>IF(K82&lt;0,"negative","")</f>
        <v/>
      </c>
      <c r="L84" s="285" t="str">
        <f>IF(L82&lt;0,"negative","")</f>
        <v/>
      </c>
      <c r="M84" s="285" t="str">
        <f>IF(M82&lt;0,"negative","")</f>
        <v/>
      </c>
      <c r="N84" s="285" t="str">
        <f>IF(N82&lt;0,"negative","")</f>
        <v/>
      </c>
      <c r="O84" s="285" t="str">
        <f>IF(O82&lt;0,"negative","")</f>
        <v/>
      </c>
      <c r="P84" s="286" t="str">
        <f>IF(P82&lt;0,"negative","")</f>
        <v/>
      </c>
      <c r="Q84" s="285" t="str">
        <f>IF(Q82&lt;0,"negative","")</f>
        <v/>
      </c>
      <c r="R84" s="285" t="str">
        <f>IF(R82&lt;0,"negative","")</f>
        <v/>
      </c>
      <c r="S84" s="285" t="str">
        <f>IF(S82&lt;0,"negative","")</f>
        <v/>
      </c>
      <c r="T84" s="285" t="str">
        <f>IF(T82&lt;0,"negative","")</f>
        <v/>
      </c>
      <c r="U84" s="285" t="str">
        <f>IF(U82&lt;0,"negative","")</f>
        <v/>
      </c>
      <c r="V84" s="285" t="str">
        <f>IF(V82&lt;0,"negative","")</f>
        <v/>
      </c>
      <c r="W84" s="285" t="str">
        <f>IF(W82&lt;0,"negative","")</f>
        <v/>
      </c>
      <c r="X84" s="285" t="str">
        <f>IF(X82&lt;0,"negative","")</f>
        <v/>
      </c>
      <c r="Y84" s="285" t="str">
        <f>IF(Y82&lt;0,"negative","")</f>
        <v/>
      </c>
      <c r="Z84" s="285" t="str">
        <f>IF(Z82&lt;0,"negative","")</f>
        <v/>
      </c>
      <c r="AA84" s="285" t="str">
        <f>IF(AA82&lt;0,"negative","")</f>
        <v/>
      </c>
    </row>
    <row r="85" spans="1:27" ht="15.75">
      <c r="A85" s="285"/>
      <c r="B85" s="285"/>
      <c r="C85" s="285"/>
      <c r="D85" s="285"/>
      <c r="E85" s="285"/>
      <c r="F85" s="285"/>
      <c r="G85" s="285"/>
      <c r="H85" s="285"/>
      <c r="I85" s="285"/>
      <c r="J85" s="285"/>
      <c r="K85" s="285"/>
      <c r="L85" s="285"/>
      <c r="M85" s="285"/>
      <c r="N85" s="285"/>
      <c r="O85" s="285"/>
      <c r="P85" s="286"/>
      <c r="Q85" s="285"/>
      <c r="R85" s="285"/>
      <c r="S85" s="285"/>
      <c r="T85" s="285"/>
      <c r="U85" s="285"/>
      <c r="V85" s="285"/>
      <c r="W85" s="285"/>
      <c r="X85" s="285"/>
      <c r="Y85" s="285"/>
      <c r="Z85" s="285"/>
      <c r="AA85" s="285"/>
    </row>
    <row r="86" spans="1:27" ht="15.75">
      <c r="A86" s="231" t="s">
        <v>211</v>
      </c>
      <c r="E86" s="236" t="str">
        <f>IF(E$56&gt;=$I$21,SUM(E38,E42:E47,E52),"")</f>
        <v/>
      </c>
      <c r="F86" s="236" t="str">
        <f>IF(F$56&gt;=$I$21,SUM(F38,F42:F47,F52),"")</f>
        <v/>
      </c>
      <c r="G86" s="236" t="str">
        <f>IF(G$56&gt;=$I$21,SUM(G38,G42:G47,G52),"")</f>
        <v/>
      </c>
      <c r="H86" s="236" t="str">
        <f>IF(H$56&gt;=$I$21,SUM(H38,H42:H47,H52),"")</f>
        <v/>
      </c>
      <c r="I86" s="236" t="str">
        <f>IF(I$56&gt;=$I$21,SUM(I38,I42:I47,I52),"")</f>
        <v/>
      </c>
      <c r="J86" s="236">
        <f>J40+J38</f>
        <v>174188.88722274144</v>
      </c>
      <c r="K86" s="236">
        <f>K40+K38</f>
        <v>215006.91051928035</v>
      </c>
      <c r="L86" s="236">
        <f>L40+L38</f>
        <v>217608.55382447314</v>
      </c>
      <c r="M86" s="236">
        <f>M40+M38</f>
        <v>220236.21356271789</v>
      </c>
      <c r="N86" s="236">
        <f>N40+N38</f>
        <v>222890.14989834518</v>
      </c>
      <c r="O86" s="236">
        <f>O40+O38</f>
        <v>210159.90525958332</v>
      </c>
      <c r="P86" s="237">
        <f>P40+P38</f>
        <v>212059.73498913617</v>
      </c>
      <c r="Q86" s="236">
        <f>Q40+Q38</f>
        <v>208033.13695629221</v>
      </c>
      <c r="R86" s="236">
        <f>R40+R38</f>
        <v>209898.56679799879</v>
      </c>
      <c r="S86" s="236">
        <f>S40+S38</f>
        <v>212449.12666597878</v>
      </c>
      <c r="T86" s="236">
        <f>T40+T38</f>
        <v>215025.19213263859</v>
      </c>
      <c r="U86" s="236">
        <f>U40+U38</f>
        <v>217627.01825396501</v>
      </c>
      <c r="V86" s="236">
        <f>V40+V38</f>
        <v>220254.86263650464</v>
      </c>
      <c r="W86" s="236">
        <f>W40+W38</f>
        <v>222908.98546286966</v>
      </c>
      <c r="X86" s="236">
        <f>X40+X38</f>
        <v>225318.62099159524</v>
      </c>
      <c r="Y86" s="236">
        <f>Y40+Y38</f>
        <v>227754.25042252219</v>
      </c>
      <c r="Z86" s="236">
        <f>Z40+Z38</f>
        <v>230216.14990479455</v>
      </c>
      <c r="AA86" s="236">
        <f>AA40+AA38</f>
        <v>232704.59848752568</v>
      </c>
    </row>
    <row r="87" spans="1:27" ht="15.75">
      <c r="A87" s="231" t="s">
        <v>209</v>
      </c>
      <c r="D87" s="236" t="str">
        <f>IF(D$56&gt;=$I$21,SUM(D35:D40)-SUM(D65:D70),"")</f>
        <v/>
      </c>
      <c r="E87" s="236" t="str">
        <f>IF(E$56&gt;=$I$21,SUM(E42:E47)-SUM(E72:E77),"")</f>
        <v/>
      </c>
      <c r="F87" s="236" t="str">
        <f>IF(F$56&gt;=$I$21,SUM(F42:F47)-SUM(F72:F77),"")</f>
        <v/>
      </c>
      <c r="G87" s="236" t="str">
        <f>IF(G$56&gt;=$I$21,SUM(G42:G47)-SUM(G72:G77),"")</f>
        <v/>
      </c>
      <c r="H87" s="236" t="str">
        <f>IF(H$56&gt;=$I$21,SUM(H42:H47)-SUM(H72:H77),"")</f>
        <v/>
      </c>
      <c r="I87" s="236" t="str">
        <f>IF(I$56&gt;=$I$21,SUM(I42:I47)-SUM(I72:I77),"")</f>
        <v/>
      </c>
      <c r="J87" s="236">
        <f>IF(J$56&gt;=$I$21,SUM(J42:J47)-SUM(J72:J77),"")</f>
        <v>76534.871198093169</v>
      </c>
      <c r="K87" s="236">
        <f>IF(K$56&gt;=$I$21,SUM(K42:K47)-SUM(K72:K77),"")</f>
        <v>96992.002625325054</v>
      </c>
      <c r="L87" s="236">
        <f>IF(L$56&gt;=$I$21,SUM(L42:L47)-SUM(L72:L77),"")</f>
        <v>106978.47950118236</v>
      </c>
      <c r="M87" s="236">
        <f>IF(M$56&gt;=$I$21,SUM(M42:M47)-SUM(M72:M77),"")</f>
        <v>118235.02571427348</v>
      </c>
      <c r="N87" s="236">
        <f>IF(N$56&gt;=$I$21,SUM(N42:N47)-SUM(N72:N77),"")</f>
        <v>127528.07943811672</v>
      </c>
      <c r="O87" s="236">
        <f>IF(O$56&gt;=$I$21,SUM(O42:O47)-SUM(O72:O77),"")</f>
        <v>173244.20326245186</v>
      </c>
      <c r="P87" s="237">
        <f>IF(P$56&gt;=$I$21,SUM(P42:P47)-SUM(P72:P77),"")</f>
        <v>175510.39451132028</v>
      </c>
      <c r="Q87" s="236">
        <f>IF(Q$56&gt;=$I$21,SUM(Q42:Q47)-SUM(Q72:Q77),"")</f>
        <v>174304.60542922869</v>
      </c>
      <c r="R87" s="236">
        <f>IF(R$56&gt;=$I$21,SUM(R42:R47)-SUM(R72:R77),"")</f>
        <v>176062.43910742804</v>
      </c>
      <c r="S87" s="236">
        <f>IF(S$56&gt;=$I$21,SUM(S42:S47)-SUM(S72:S77),"")</f>
        <v>177679.96429700797</v>
      </c>
      <c r="T87" s="236">
        <f>IF(T$56&gt;=$I$21,SUM(T42:T47)-SUM(T72:T77),"")</f>
        <v>179161.84541784402</v>
      </c>
      <c r="U87" s="236">
        <f>IF(U$56&gt;=$I$21,SUM(U42:U47)-SUM(U72:U77),"")</f>
        <v>180905.5424156677</v>
      </c>
      <c r="V87" s="236">
        <f>IF(V$56&gt;=$I$21,SUM(V42:V47)-SUM(V72:V77),"")</f>
        <v>182909.91061441953</v>
      </c>
      <c r="W87" s="236">
        <f>IF(W$56&gt;=$I$21,SUM(W42:W47)-SUM(W72:W77),"")</f>
        <v>184882.53389706352</v>
      </c>
      <c r="X87" s="236">
        <f>IF(X$56&gt;=$I$21,SUM(X42:X47)-SUM(X72:X77),"")</f>
        <v>149154.25788136807</v>
      </c>
      <c r="Y87" s="236">
        <f>IF(Y$56&gt;=$I$21,SUM(Y42:Y47)-SUM(Y72:Y77),"")</f>
        <v>148560.5897571547</v>
      </c>
      <c r="Z87" s="236">
        <f>IF(Z$56&gt;=$I$21,SUM(Z42:Z47)-SUM(Z72:Z77),"")</f>
        <v>148502.36478484224</v>
      </c>
      <c r="AA87" s="236">
        <f>IF(AA$56&gt;=$I$21,SUM(AA42:AA47)-SUM(AA72:AA77),"")</f>
        <v>147759.61278844354</v>
      </c>
    </row>
    <row r="88" spans="1:27" ht="15.75">
      <c r="A88" s="284"/>
      <c r="B88" s="283"/>
      <c r="C88" s="282"/>
      <c r="D88" s="281"/>
      <c r="E88" s="281"/>
      <c r="F88" s="281"/>
      <c r="G88" s="281"/>
      <c r="H88" s="281"/>
      <c r="I88" s="281"/>
      <c r="J88" s="281">
        <f>J86/J87</f>
        <v>2.275941469502091</v>
      </c>
      <c r="K88" s="281">
        <f>K86/K87</f>
        <v>2.2167488524784935</v>
      </c>
      <c r="L88" s="281">
        <f>L86/L87</f>
        <v>2.034133919636314</v>
      </c>
      <c r="M88" s="281">
        <f>M86/M87</f>
        <v>1.8626985720368539</v>
      </c>
      <c r="N88" s="281">
        <f>N86/N87</f>
        <v>1.7477731247925137</v>
      </c>
      <c r="O88" s="281">
        <f>O86/O87</f>
        <v>1.2130847745664943</v>
      </c>
      <c r="P88" s="273">
        <f>P86/P87</f>
        <v>1.2082460163090709</v>
      </c>
      <c r="Q88" s="281">
        <f>Q86/Q87</f>
        <v>1.1935033870390648</v>
      </c>
      <c r="R88" s="281">
        <f>R86/R87</f>
        <v>1.1921825453634944</v>
      </c>
      <c r="S88" s="281">
        <f>S86/S87</f>
        <v>1.1956842039367537</v>
      </c>
      <c r="T88" s="281">
        <f>T86/T87</f>
        <v>1.2001729030595412</v>
      </c>
      <c r="U88" s="281">
        <f>U86/U87</f>
        <v>1.2029870138191905</v>
      </c>
      <c r="V88" s="281">
        <f>V86/V87</f>
        <v>1.2041712879123843</v>
      </c>
      <c r="W88" s="281">
        <f>W86/W87</f>
        <v>1.2056789831049048</v>
      </c>
      <c r="X88" s="281">
        <f>X86/X87</f>
        <v>1.5106415612406154</v>
      </c>
      <c r="Y88" s="281">
        <f>Y86/Y87</f>
        <v>1.5330731440607621</v>
      </c>
      <c r="Z88" s="281">
        <f>Z86/Z87</f>
        <v>1.5502524167769543</v>
      </c>
      <c r="AA88" s="281">
        <f>AA86/AA87</f>
        <v>1.5748863582953689</v>
      </c>
    </row>
    <row r="89" spans="1:27" ht="31.5">
      <c r="A89" s="266" t="s">
        <v>210</v>
      </c>
      <c r="E89" s="236"/>
      <c r="F89" s="236"/>
      <c r="G89" s="236"/>
      <c r="H89" s="236"/>
      <c r="I89" s="236"/>
      <c r="J89" s="236">
        <f>IF(J$56&gt;=$I$21,SUM(J38,J42:J47,J52,I82),"")-I82+J12+J13+J69</f>
        <v>76534.87119809314</v>
      </c>
      <c r="K89" s="236">
        <f>IF(K$56&gt;=$I$21,SUM(K38,K42:K47,K52,J82),"")-J82+K12+K13+K69</f>
        <v>96992.002625325025</v>
      </c>
      <c r="L89" s="236">
        <f>IF(L$56&gt;=$I$21,SUM(L38,L42:L47,L52,K82),"")-K82+L12+L13+L69</f>
        <v>106978.4795011823</v>
      </c>
      <c r="M89" s="236">
        <f>IF(M$56&gt;=$I$21,SUM(M38,M42:M47,M52,L82),"")-L82+M12+M13+M69</f>
        <v>118235.02571427345</v>
      </c>
      <c r="N89" s="236">
        <f>IF(N$56&gt;=$I$21,SUM(N38,N42:N47,N52,M82),"")-M82+N12+N13+N69</f>
        <v>127528.07943811669</v>
      </c>
      <c r="O89" s="236">
        <f>IF(O$56&gt;=$I$21,SUM(O38,O42:O47,O52,N82),"")-N82+O12+O13+O69</f>
        <v>176779.72548404915</v>
      </c>
      <c r="P89" s="237">
        <f>IF(P$56&gt;=$I$21,SUM(P38,P42:P47,P52,O82),"")-O82+P12+P13+P69</f>
        <v>190559.73498913617</v>
      </c>
      <c r="Q89" s="236">
        <f>IF(Q$56&gt;=$I$21,SUM(Q38,Q42:Q47,Q52,P82),"")-P82+Q12+Q13+Q69</f>
        <v>186533.13695629221</v>
      </c>
      <c r="R89" s="236">
        <f>IF(R$56&gt;=$I$21,SUM(R38,R42:R47,R52,Q82),"")-Q82+R12+R13+R69</f>
        <v>188398.56679799879</v>
      </c>
      <c r="S89" s="236">
        <f>IF(S$56&gt;=$I$21,SUM(S38,S42:S47,S52,R82),"")-R82+S12+S13+S69</f>
        <v>190949.12666597878</v>
      </c>
      <c r="T89" s="236">
        <f>IF(T$56&gt;=$I$21,SUM(T38,T42:T47,T52,S82),"")-S82+T12+T13+T69</f>
        <v>193525.19213263862</v>
      </c>
      <c r="U89" s="236">
        <f>IF(U$56&gt;=$I$21,SUM(U38,U42:U47,U52,T82),"")-T82+U12+U13+U69</f>
        <v>196127.01825396498</v>
      </c>
      <c r="V89" s="236">
        <f>IF(V$56&gt;=$I$21,SUM(V38,V42:V47,V52,U82),"")-U82+V12+V13+V69</f>
        <v>198754.86263650464</v>
      </c>
      <c r="W89" s="236">
        <f>IF(W$56&gt;=$I$21,SUM(W38,W42:W47,W52,V82),"")-V82+W12+W13+W69</f>
        <v>201408.98546286972</v>
      </c>
      <c r="X89" s="236">
        <f>IF(X$56&gt;=$I$21,SUM(X38,X42:X47,X52,W82),"")-W82+X12+X13+X69</f>
        <v>203818.62099159524</v>
      </c>
      <c r="Y89" s="236">
        <f>IF(Y$56&gt;=$I$21,SUM(Y38,Y42:Y47,Y52,X82),"")-X82+Y12+Y13+Y69</f>
        <v>206254.25042252222</v>
      </c>
      <c r="Z89" s="236">
        <f>IF(Z$56&gt;=$I$21,SUM(Z38,Z42:Z47,Z52,Y82),"")-Y82+Z12+Z13+Z69</f>
        <v>208716.14990479458</v>
      </c>
      <c r="AA89" s="236">
        <f>IF(AA$56&gt;=$I$21,SUM(AA38,AA42:AA47,AA52,Z82),"")-Z82+AA12+AA13+AA69</f>
        <v>211204.59848752565</v>
      </c>
    </row>
    <row r="90" spans="1:27" ht="15.75">
      <c r="A90" s="231" t="s">
        <v>209</v>
      </c>
      <c r="E90" s="236"/>
      <c r="F90" s="236"/>
      <c r="G90" s="236"/>
      <c r="H90" s="236"/>
      <c r="I90" s="236"/>
      <c r="J90" s="236">
        <f>J87</f>
        <v>76534.871198093169</v>
      </c>
      <c r="K90" s="236">
        <f>K87</f>
        <v>96992.002625325054</v>
      </c>
      <c r="L90" s="236">
        <f>L87</f>
        <v>106978.47950118236</v>
      </c>
      <c r="M90" s="236">
        <f>M87</f>
        <v>118235.02571427348</v>
      </c>
      <c r="N90" s="236">
        <f>N87</f>
        <v>127528.07943811672</v>
      </c>
      <c r="O90" s="236">
        <f>O87</f>
        <v>173244.20326245186</v>
      </c>
      <c r="P90" s="237">
        <f>P87</f>
        <v>175510.39451132028</v>
      </c>
      <c r="Q90" s="236">
        <f>Q87</f>
        <v>174304.60542922869</v>
      </c>
      <c r="R90" s="236">
        <f>R87</f>
        <v>176062.43910742804</v>
      </c>
      <c r="S90" s="236">
        <f>S87</f>
        <v>177679.96429700797</v>
      </c>
      <c r="T90" s="236">
        <f>T87</f>
        <v>179161.84541784402</v>
      </c>
      <c r="U90" s="236">
        <f>U87</f>
        <v>180905.5424156677</v>
      </c>
      <c r="V90" s="236">
        <f>V87</f>
        <v>182909.91061441953</v>
      </c>
      <c r="W90" s="236">
        <f>W87</f>
        <v>184882.53389706352</v>
      </c>
      <c r="X90" s="236">
        <f>X87</f>
        <v>149154.25788136807</v>
      </c>
      <c r="Y90" s="236">
        <f>Y87</f>
        <v>148560.5897571547</v>
      </c>
      <c r="Z90" s="236">
        <f>Z87</f>
        <v>148502.36478484224</v>
      </c>
      <c r="AA90" s="236">
        <f>AA87</f>
        <v>147759.61278844354</v>
      </c>
    </row>
    <row r="91" spans="1:27" ht="15.75">
      <c r="A91" s="280" t="s">
        <v>208</v>
      </c>
      <c r="B91" s="276" t="s">
        <v>138</v>
      </c>
      <c r="G91" s="279" t="s">
        <v>200</v>
      </c>
      <c r="H91" s="277">
        <f>AVERAGE(J91:Z91)</f>
        <v>1.1071590091903951</v>
      </c>
      <c r="J91" s="277">
        <f>J89/J90</f>
        <v>0.99999999999999967</v>
      </c>
      <c r="K91" s="277">
        <f>K89/K90</f>
        <v>0.99999999999999967</v>
      </c>
      <c r="L91" s="277">
        <f>L89/L90</f>
        <v>0.99999999999999944</v>
      </c>
      <c r="M91" s="277">
        <f>M89/M90</f>
        <v>0.99999999999999978</v>
      </c>
      <c r="N91" s="277">
        <f>N89/N90</f>
        <v>0.99999999999999978</v>
      </c>
      <c r="O91" s="277">
        <f>O89/O90</f>
        <v>1.0204077374885741</v>
      </c>
      <c r="P91" s="278">
        <f>P89/P90</f>
        <v>1.0857461492222058</v>
      </c>
      <c r="Q91" s="277">
        <f>Q89/Q90</f>
        <v>1.0701561011365737</v>
      </c>
      <c r="R91" s="277">
        <f>R89/R90</f>
        <v>1.0700667771792234</v>
      </c>
      <c r="S91" s="277">
        <f>S89/S90</f>
        <v>1.0746801273934872</v>
      </c>
      <c r="T91" s="277">
        <f>T89/T90</f>
        <v>1.0801696738571551</v>
      </c>
      <c r="U91" s="277">
        <f>U89/U90</f>
        <v>1.0841404615637635</v>
      </c>
      <c r="V91" s="277">
        <f>V89/V90</f>
        <v>1.0866270830752678</v>
      </c>
      <c r="W91" s="277">
        <f>W89/W90</f>
        <v>1.0893889282965343</v>
      </c>
      <c r="X91" s="277">
        <f>X89/X90</f>
        <v>1.3664954918934009</v>
      </c>
      <c r="Y91" s="277">
        <f>Y89/Y90</f>
        <v>1.3883510476074223</v>
      </c>
      <c r="Z91" s="277">
        <f>Z89/Z90</f>
        <v>1.4054735775231131</v>
      </c>
      <c r="AA91" s="277">
        <f>AA89/AA90</f>
        <v>1.429379750675986</v>
      </c>
    </row>
    <row r="92" spans="5:27" ht="15.75">
      <c r="E92" s="236"/>
      <c r="F92" s="236"/>
      <c r="G92" s="236"/>
      <c r="H92" s="236"/>
      <c r="I92" s="236"/>
      <c r="J92" s="236"/>
      <c r="K92" s="236"/>
      <c r="L92" s="236"/>
      <c r="M92" s="236"/>
      <c r="N92" s="236"/>
      <c r="O92" s="236"/>
      <c r="P92" s="237"/>
      <c r="Q92" s="236"/>
      <c r="R92" s="236"/>
      <c r="S92" s="236"/>
      <c r="T92" s="236"/>
      <c r="U92" s="236"/>
      <c r="V92" s="236"/>
      <c r="W92" s="236"/>
      <c r="X92" s="236"/>
      <c r="Y92" s="236"/>
      <c r="Z92" s="236"/>
      <c r="AA92" s="236"/>
    </row>
    <row r="93" spans="1:27" ht="15.75">
      <c r="A93" s="231" t="s">
        <v>207</v>
      </c>
      <c r="E93" s="236"/>
      <c r="F93" s="236"/>
      <c r="G93" s="236">
        <f>MAX(G29-G82,0)</f>
        <v>602804.47043680889</v>
      </c>
      <c r="H93" s="236">
        <f>MAX(H29-H82,0)</f>
        <v>822198.00134217239</v>
      </c>
      <c r="I93" s="236">
        <f>MAX(I29-I82,0)</f>
        <v>916996.70331679448</v>
      </c>
      <c r="J93" s="236">
        <f>MAX(J29-J82,0)</f>
        <v>1004998.0206254795</v>
      </c>
      <c r="K93" s="236">
        <f>MAX(K29-K82,0)</f>
        <v>1239028.9460648575</v>
      </c>
      <c r="L93" s="236">
        <f>MAX(L29-L82,0)</f>
        <v>1505229.7050749001</v>
      </c>
      <c r="M93" s="236">
        <f>MAX(M29-M82,0)</f>
        <v>1667961.850559789</v>
      </c>
      <c r="N93" s="236">
        <f>MAX(N29-N82,0)</f>
        <v>1777633.1134328938</v>
      </c>
      <c r="O93" s="236">
        <f>MAX(O29-O82,0)</f>
        <v>1722600.5840400909</v>
      </c>
      <c r="P93" s="237">
        <f>MAX(P29-P82,0)</f>
        <v>1591930.2608625465</v>
      </c>
      <c r="Q93" s="236">
        <f>MAX(Q29-Q82,0)</f>
        <v>1461430.2542066635</v>
      </c>
      <c r="R93" s="236">
        <f>MAX(R29-R82,0)</f>
        <v>1325124.2927080223</v>
      </c>
      <c r="S93" s="236">
        <f>MAX(S29-S82,0)</f>
        <v>1182137.4920153145</v>
      </c>
      <c r="T93" s="236">
        <f>MAX(T29-T82,0)</f>
        <v>1032257.6249120998</v>
      </c>
      <c r="U93" s="236">
        <f>MAX(U29-U82,0)</f>
        <v>875267.98351256445</v>
      </c>
      <c r="V93" s="236">
        <f>MAX(V29-V82,0)</f>
        <v>710948.71646572044</v>
      </c>
      <c r="W93" s="236">
        <f>MAX(W29-W82,0)</f>
        <v>539052.16414600494</v>
      </c>
      <c r="X93" s="236">
        <f>MAX(X29-X82,0)</f>
        <v>359597.08695698949</v>
      </c>
      <c r="Y93" s="236">
        <f>MAX(Y29-Y82,0)</f>
        <v>173432.01864823356</v>
      </c>
      <c r="Z93" s="236">
        <f>MAX(Z29-Z82,0)</f>
        <v>0</v>
      </c>
      <c r="AA93" s="236">
        <f>MAX(AA29-AA82,0)</f>
        <v>0</v>
      </c>
    </row>
    <row r="94" spans="1:27" ht="15.75">
      <c r="A94" s="231" t="s">
        <v>206</v>
      </c>
      <c r="E94" s="236"/>
      <c r="F94" s="236"/>
      <c r="G94" s="236">
        <f>G40+G38</f>
        <v>158861.22956319107</v>
      </c>
      <c r="H94" s="236">
        <f>H40+H38</f>
        <v>157890.06909463659</v>
      </c>
      <c r="I94" s="236">
        <f>I40+I38</f>
        <v>148261.54398558295</v>
      </c>
      <c r="J94" s="236">
        <f>J40+J38</f>
        <v>174188.88722274144</v>
      </c>
      <c r="K94" s="236">
        <f>K40+K38</f>
        <v>215006.91051928035</v>
      </c>
      <c r="L94" s="236">
        <f>L40+L38</f>
        <v>217608.55382447314</v>
      </c>
      <c r="M94" s="236">
        <f>M40+M38</f>
        <v>220236.21356271789</v>
      </c>
      <c r="N94" s="236">
        <f>N40+N38</f>
        <v>222890.14989834518</v>
      </c>
      <c r="O94" s="236">
        <f>O40+O38</f>
        <v>210159.90525958332</v>
      </c>
      <c r="P94" s="237">
        <f>P40+P38</f>
        <v>212059.73498913617</v>
      </c>
      <c r="Q94" s="236">
        <f>Q40+Q38</f>
        <v>208033.13695629221</v>
      </c>
      <c r="R94" s="236">
        <f>R40+R38</f>
        <v>209898.56679799879</v>
      </c>
      <c r="S94" s="236">
        <f>S40+S38</f>
        <v>212449.12666597878</v>
      </c>
      <c r="T94" s="236">
        <f>T40+T38</f>
        <v>215025.19213263859</v>
      </c>
      <c r="U94" s="236">
        <f>U40+U38</f>
        <v>217627.01825396501</v>
      </c>
      <c r="V94" s="236">
        <f>V40+V38</f>
        <v>220254.86263650464</v>
      </c>
      <c r="W94" s="236">
        <f>W40+W38</f>
        <v>222908.98546286966</v>
      </c>
      <c r="X94" s="236">
        <f>X40+X38</f>
        <v>225318.62099159524</v>
      </c>
      <c r="Y94" s="236">
        <f>Y40+Y38</f>
        <v>227754.25042252219</v>
      </c>
      <c r="Z94" s="236">
        <f>Z40+Z38</f>
        <v>230216.14990479455</v>
      </c>
      <c r="AA94" s="236">
        <f>AA40+AA38</f>
        <v>232704.59848752568</v>
      </c>
    </row>
    <row r="95" spans="1:27" ht="15.75">
      <c r="A95" s="276" t="s">
        <v>205</v>
      </c>
      <c r="B95" s="275" t="s">
        <v>204</v>
      </c>
      <c r="C95" s="274">
        <f>MAX(E95:AA95)</f>
        <v>8.1966185791356612</v>
      </c>
      <c r="D95" s="272"/>
      <c r="E95" s="272"/>
      <c r="F95" s="272"/>
      <c r="G95" s="272">
        <f>G93/G94</f>
        <v>3.7945348408437702</v>
      </c>
      <c r="H95" s="272">
        <f>H93/H94</f>
        <v>5.2074079519805707</v>
      </c>
      <c r="I95" s="272">
        <f>I93/I94</f>
        <v>6.1849936178053282</v>
      </c>
      <c r="J95" s="272">
        <f>J93/J94</f>
        <v>5.7695874670830944</v>
      </c>
      <c r="K95" s="272">
        <f>K93/K94</f>
        <v>5.7627401048290947</v>
      </c>
      <c r="L95" s="272">
        <f>L93/L94</f>
        <v>6.9171440121285146</v>
      </c>
      <c r="M95" s="272">
        <f>M93/M94</f>
        <v>7.5735131092997756</v>
      </c>
      <c r="N95" s="272">
        <f>N93/N94</f>
        <v>7.9753776209654372</v>
      </c>
      <c r="O95" s="272">
        <f>O93/O94</f>
        <v>8.1966185791356612</v>
      </c>
      <c r="P95" s="273">
        <f>P93/P94</f>
        <v>7.5069897684447318</v>
      </c>
      <c r="Q95" s="272">
        <f>Q93/Q94</f>
        <v>7.0249878244815882</v>
      </c>
      <c r="R95" s="272">
        <f>R93/R94</f>
        <v>6.313165034534463</v>
      </c>
      <c r="S95" s="272">
        <f>S93/S94</f>
        <v>5.5643320853651685</v>
      </c>
      <c r="T95" s="272">
        <f>T93/T94</f>
        <v>4.8006357519045961</v>
      </c>
      <c r="U95" s="272">
        <f>U93/U94</f>
        <v>4.0218718729636302</v>
      </c>
      <c r="V95" s="272">
        <f>V93/V94</f>
        <v>3.2278457236107765</v>
      </c>
      <c r="W95" s="272">
        <f>W93/W94</f>
        <v>2.4182612604272777</v>
      </c>
      <c r="X95" s="272">
        <f>X93/X94</f>
        <v>1.5959492623133136</v>
      </c>
      <c r="Y95" s="272">
        <f>Y93/Y94</f>
        <v>0.76148751703420758</v>
      </c>
      <c r="Z95" s="272">
        <f>Z93/Z94</f>
        <v>0</v>
      </c>
      <c r="AA95" s="272">
        <f>AA93/AA94</f>
        <v>0</v>
      </c>
    </row>
    <row r="96" spans="5:20" ht="15.75">
      <c r="E96" s="236"/>
      <c r="F96" s="236"/>
      <c r="G96" s="236"/>
      <c r="H96" s="271"/>
      <c r="I96" s="236"/>
      <c r="J96" s="236"/>
      <c r="K96" s="236"/>
      <c r="L96" s="236"/>
      <c r="M96" s="236"/>
      <c r="N96" s="236"/>
      <c r="O96" s="236"/>
      <c r="P96" s="237"/>
      <c r="Q96" s="236"/>
      <c r="R96" s="236"/>
      <c r="S96" s="236"/>
      <c r="T96" s="236"/>
    </row>
    <row r="97" spans="16:27" ht="15.75">
      <c r="P97" s="237">
        <f>+P94+P13+P12</f>
        <v>190559.73498913617</v>
      </c>
      <c r="Q97" s="237">
        <f>+Q94+Q13+Q12</f>
        <v>186533.13695629221</v>
      </c>
      <c r="R97" s="237">
        <f>+R94+R13+R12</f>
        <v>188398.56679799879</v>
      </c>
      <c r="S97" s="237">
        <f>+S94+S13+S12</f>
        <v>190949.12666597878</v>
      </c>
      <c r="T97" s="237">
        <f>+T94+T13+T12</f>
        <v>193525.19213263859</v>
      </c>
      <c r="U97" s="237">
        <f>+U94+U13+U12</f>
        <v>196127.01825396501</v>
      </c>
      <c r="V97" s="237">
        <f>+V94+V13+V12</f>
        <v>198754.86263650464</v>
      </c>
      <c r="W97" s="237">
        <f>+W94+W13+W12</f>
        <v>201408.98546286966</v>
      </c>
      <c r="X97" s="237">
        <f>+X94+X13+X12</f>
        <v>203818.62099159524</v>
      </c>
      <c r="Y97" s="237">
        <f>+Y94+Y13+Y12</f>
        <v>206254.25042252219</v>
      </c>
      <c r="Z97" s="237">
        <f>+Z94+Z13+Z12</f>
        <v>208716.14990479455</v>
      </c>
      <c r="AA97" s="237">
        <f>+AA94+AA13+AA12</f>
        <v>211204.59848752568</v>
      </c>
    </row>
    <row r="98" spans="1:27" s="266" customFormat="1" ht="15.75">
      <c r="A98" s="270" t="s">
        <v>203</v>
      </c>
      <c r="B98" s="269"/>
      <c r="C98" s="269"/>
      <c r="D98" s="269" t="s">
        <v>202</v>
      </c>
      <c r="E98" s="268"/>
      <c r="F98" s="268"/>
      <c r="G98" s="268"/>
      <c r="H98" s="268"/>
      <c r="I98" s="268"/>
      <c r="J98" s="268"/>
      <c r="P98" s="267">
        <f>+P93/P97</f>
        <v>8.3539697457771052</v>
      </c>
      <c r="Q98" s="267">
        <f>+Q93/Q97</f>
        <v>7.8346951005766909</v>
      </c>
      <c r="R98" s="267">
        <f>+R93/R97</f>
        <v>7.0336219390077552</v>
      </c>
      <c r="S98" s="267">
        <f>+S93/S97</f>
        <v>6.1908504775891959</v>
      </c>
      <c r="T98" s="267">
        <f>+T93/T97</f>
        <v>5.333970288501817</v>
      </c>
      <c r="U98" s="267">
        <f>+U93/U97</f>
        <v>4.4627608745837319</v>
      </c>
      <c r="V98" s="267">
        <f>+V93/V97</f>
        <v>3.5770129446641419</v>
      </c>
      <c r="W98" s="267">
        <f>+W93/W97</f>
        <v>2.6764057368502101</v>
      </c>
      <c r="X98" s="267">
        <f>+X93/X97</f>
        <v>1.7642994796428242</v>
      </c>
      <c r="Y98" s="267">
        <f>+Y93/Y97</f>
        <v>0.84086518601652749</v>
      </c>
      <c r="Z98" s="267">
        <f>+Z93/Z97</f>
        <v>0</v>
      </c>
      <c r="AA98" s="267">
        <f>+AA93/AA97</f>
        <v>0</v>
      </c>
    </row>
    <row r="99" spans="1:5" ht="15.75">
      <c r="A99" s="231" t="s">
        <v>201</v>
      </c>
      <c r="C99" s="236"/>
      <c r="D99" s="236">
        <f>MAX(F29:AA29)</f>
        <v>1827633.1134328938</v>
      </c>
      <c r="E99" s="241"/>
    </row>
    <row r="100" spans="5:5" ht="15.75">
      <c r="E100" s="241"/>
    </row>
    <row r="101" spans="1:5" ht="15.75">
      <c r="A101" s="265" t="s">
        <v>138</v>
      </c>
      <c r="B101" s="231" t="s">
        <v>200</v>
      </c>
      <c r="C101" s="241"/>
      <c r="D101" s="241">
        <f>H91</f>
        <v>1.1071590091903951</v>
      </c>
      <c r="E101" s="241"/>
    </row>
    <row r="102" spans="1:5" ht="15.75">
      <c r="A102" s="264"/>
      <c r="B102" s="231" t="s">
        <v>199</v>
      </c>
      <c r="C102" s="241"/>
      <c r="D102" s="241">
        <f>N91</f>
        <v>0.99999999999999978</v>
      </c>
      <c r="E102" s="241"/>
    </row>
    <row r="103" spans="1:5" ht="15.75">
      <c r="A103" s="264"/>
      <c r="E103" s="241"/>
    </row>
    <row r="104" spans="1:5" ht="15.75">
      <c r="A104" s="263" t="s">
        <v>198</v>
      </c>
      <c r="B104" s="262" t="s">
        <v>197</v>
      </c>
      <c r="C104" s="261"/>
      <c r="D104" s="261">
        <f>C95</f>
        <v>8.1966185791356612</v>
      </c>
      <c r="E104" s="241"/>
    </row>
    <row r="107" spans="1:27" ht="15.75">
      <c r="A107" s="249" t="s">
        <v>196</v>
      </c>
      <c r="B107" s="240">
        <f>1.75%+0.8%</f>
        <v>0.025500000000000002</v>
      </c>
      <c r="C107" s="231" t="s">
        <v>195</v>
      </c>
      <c r="E107" s="257">
        <v>2012</v>
      </c>
      <c r="F107" s="257">
        <v>2013</v>
      </c>
      <c r="G107" s="257">
        <v>2014</v>
      </c>
      <c r="H107" s="257">
        <v>2015</v>
      </c>
      <c r="I107" s="257">
        <v>2016</v>
      </c>
      <c r="J107" s="257">
        <v>2017</v>
      </c>
      <c r="K107" s="257">
        <v>2018</v>
      </c>
      <c r="L107" s="257">
        <v>2019</v>
      </c>
      <c r="M107" s="257">
        <v>2020</v>
      </c>
      <c r="N107" s="257">
        <v>2021</v>
      </c>
      <c r="O107" s="257">
        <v>2022</v>
      </c>
      <c r="P107" s="258">
        <v>2023</v>
      </c>
      <c r="Q107" s="257">
        <v>2024</v>
      </c>
      <c r="R107" s="257">
        <v>2025</v>
      </c>
      <c r="S107" s="257">
        <v>2026</v>
      </c>
      <c r="T107" s="257">
        <v>2027</v>
      </c>
      <c r="U107" s="257">
        <v>2028</v>
      </c>
      <c r="V107" s="257">
        <v>2029</v>
      </c>
      <c r="W107" s="257">
        <v>2030</v>
      </c>
      <c r="X107" s="257">
        <v>2031</v>
      </c>
      <c r="Y107" s="257">
        <v>2032</v>
      </c>
      <c r="Z107" s="257">
        <v>2033</v>
      </c>
      <c r="AA107" s="257">
        <v>2034</v>
      </c>
    </row>
    <row r="108" spans="1:27" ht="15.75">
      <c r="A108" s="231" t="s">
        <v>189</v>
      </c>
      <c r="B108" s="240">
        <f>G21</f>
        <v>0.031</v>
      </c>
      <c r="C108" s="231" t="s">
        <v>194</v>
      </c>
      <c r="E108" s="236">
        <v>0</v>
      </c>
      <c r="F108" s="236">
        <v>0</v>
      </c>
      <c r="G108" s="236">
        <f>F113</f>
        <v>0</v>
      </c>
      <c r="H108" s="236">
        <f>G113</f>
        <v>490000</v>
      </c>
      <c r="I108" s="236">
        <f>H113</f>
        <v>600000</v>
      </c>
      <c r="J108" s="236">
        <f>I113</f>
        <v>600000</v>
      </c>
      <c r="K108" s="236">
        <f>J113</f>
        <v>571200</v>
      </c>
      <c r="L108" s="236">
        <f>K113</f>
        <v>541200</v>
      </c>
      <c r="M108" s="236">
        <f>L113</f>
        <v>510000</v>
      </c>
      <c r="N108" s="236">
        <f>M113</f>
        <v>476400</v>
      </c>
      <c r="O108" s="236">
        <f>N113</f>
        <v>440400</v>
      </c>
      <c r="P108" s="237">
        <f>O113</f>
        <v>404400</v>
      </c>
      <c r="Q108" s="236">
        <f>P113</f>
        <v>366000</v>
      </c>
      <c r="R108" s="236">
        <f>Q113</f>
        <v>324000</v>
      </c>
      <c r="S108" s="236">
        <f>R113</f>
        <v>280800</v>
      </c>
      <c r="T108" s="236">
        <f>S113</f>
        <v>234000</v>
      </c>
      <c r="U108" s="236">
        <f>T113</f>
        <v>184800</v>
      </c>
      <c r="V108" s="236">
        <f>U113</f>
        <v>126000</v>
      </c>
      <c r="W108" s="236">
        <f>V113</f>
        <v>64800.000000000007</v>
      </c>
      <c r="X108" s="236">
        <f>W113</f>
        <v>0</v>
      </c>
      <c r="Y108" s="236">
        <f>X113</f>
        <v>0</v>
      </c>
      <c r="Z108" s="236">
        <f>Y113</f>
        <v>0</v>
      </c>
      <c r="AA108" s="236">
        <f>Z113</f>
        <v>0</v>
      </c>
    </row>
    <row r="109" spans="1:27" ht="15.75">
      <c r="A109" s="231" t="s">
        <v>188</v>
      </c>
      <c r="B109" s="231">
        <v>2030</v>
      </c>
      <c r="E109" s="236">
        <v>0</v>
      </c>
      <c r="F109" s="236">
        <v>0</v>
      </c>
      <c r="G109" s="236">
        <v>490000</v>
      </c>
      <c r="H109" s="236">
        <f>600000-G109</f>
        <v>110000</v>
      </c>
      <c r="I109" s="236">
        <f>I100</f>
        <v>0</v>
      </c>
      <c r="J109" s="236">
        <v>0</v>
      </c>
      <c r="K109" s="236">
        <v>0</v>
      </c>
      <c r="L109" s="236">
        <v>0</v>
      </c>
      <c r="M109" s="236">
        <v>0</v>
      </c>
      <c r="N109" s="236">
        <v>0</v>
      </c>
      <c r="O109" s="236">
        <v>0</v>
      </c>
      <c r="P109" s="237">
        <v>0</v>
      </c>
      <c r="Q109" s="236">
        <v>0</v>
      </c>
      <c r="R109" s="236">
        <v>0</v>
      </c>
      <c r="S109" s="236">
        <v>0</v>
      </c>
      <c r="T109" s="236">
        <v>0</v>
      </c>
      <c r="U109" s="236">
        <v>0</v>
      </c>
      <c r="V109" s="236">
        <v>0</v>
      </c>
      <c r="W109" s="236">
        <v>0</v>
      </c>
      <c r="X109" s="236">
        <v>0</v>
      </c>
      <c r="Y109" s="236">
        <v>0</v>
      </c>
      <c r="Z109" s="236">
        <v>0</v>
      </c>
      <c r="AA109" s="236">
        <v>0</v>
      </c>
    </row>
    <row r="110" spans="1:27" ht="15.75">
      <c r="A110" s="231" t="s">
        <v>187</v>
      </c>
      <c r="D110" s="256"/>
      <c r="E110" s="236">
        <v>0</v>
      </c>
      <c r="F110" s="236">
        <v>0</v>
      </c>
      <c r="G110" s="236">
        <f>$B$107*(G108+G109/2)</f>
        <v>6247.5</v>
      </c>
      <c r="H110" s="236">
        <f>$B$108*(H108+H109/2)</f>
        <v>16895</v>
      </c>
      <c r="I110" s="236">
        <f>$B$108*(I108+I109/2)</f>
        <v>18600</v>
      </c>
      <c r="J110" s="236">
        <f>$B$108*(J108+J109/2)</f>
        <v>18600</v>
      </c>
      <c r="K110" s="236">
        <f>$B$108*(K108+K109/2)</f>
        <v>17707.200000000001</v>
      </c>
      <c r="L110" s="236">
        <f>$B$108*(L108+L109/2)</f>
        <v>16777.200000000001</v>
      </c>
      <c r="M110" s="236">
        <f>$B$108*(M108+M109/2)</f>
        <v>15810</v>
      </c>
      <c r="N110" s="236">
        <f>$B$108*(N108+N109/2)</f>
        <v>14768.4</v>
      </c>
      <c r="O110" s="236">
        <f>$B$108*(O108+O109/2)</f>
        <v>13652.4</v>
      </c>
      <c r="P110" s="237">
        <f>$B$108*(P108+P109/2)</f>
        <v>12536.4</v>
      </c>
      <c r="Q110" s="236">
        <f>$B$108*(Q108+Q109/2)</f>
        <v>11346</v>
      </c>
      <c r="R110" s="236">
        <f>$B$108*(R108+R109/2)</f>
        <v>10044</v>
      </c>
      <c r="S110" s="236">
        <f>$B$108*(S108+S109/2)</f>
        <v>8704.7999999999993</v>
      </c>
      <c r="T110" s="236">
        <f>$B$108*(T108+T109/2)</f>
        <v>7254</v>
      </c>
      <c r="U110" s="236">
        <f>$B$108*(U108+U109/2)</f>
        <v>5728.8000000000002</v>
      </c>
      <c r="V110" s="236">
        <f>$B$108*(V108+V109/2)</f>
        <v>3906</v>
      </c>
      <c r="W110" s="236">
        <f>$B$108*(W108+W109/2)</f>
        <v>2008.8000000000002</v>
      </c>
      <c r="X110" s="236">
        <f>$B$108*(X108+X109/2)</f>
        <v>0</v>
      </c>
      <c r="Y110" s="236">
        <f>$B$108*(Y108+Y109/2)</f>
        <v>0</v>
      </c>
      <c r="Z110" s="236">
        <f>$B$108*(Z108+Z109/2)</f>
        <v>0</v>
      </c>
      <c r="AA110" s="236">
        <f>$B$108*(AA108+AA109/2)</f>
        <v>0</v>
      </c>
    </row>
    <row r="111" spans="1:27" ht="15.75">
      <c r="A111" s="231" t="s">
        <v>186</v>
      </c>
      <c r="D111" s="256"/>
      <c r="E111" s="247">
        <v>0</v>
      </c>
      <c r="F111" s="247">
        <v>0</v>
      </c>
      <c r="G111" s="247">
        <f>-IF(G$23&gt;=$H$21,G110,0)</f>
        <v>-6247.5</v>
      </c>
      <c r="H111" s="247">
        <f>-IF(H$23&gt;=$H$21,H110,0)</f>
        <v>-16895</v>
      </c>
      <c r="I111" s="247">
        <f>-IF(I$23&gt;=$H$21,I110,0)</f>
        <v>-18600</v>
      </c>
      <c r="J111" s="247">
        <f>-IF(J$23&gt;=$H$21,J110,0)</f>
        <v>-18600</v>
      </c>
      <c r="K111" s="247">
        <f>-IF(K$23&gt;=$H$21,K110,0)</f>
        <v>-17707.200000000001</v>
      </c>
      <c r="L111" s="247">
        <f>-IF(L$23&gt;=$H$21,L110,0)</f>
        <v>-16777.200000000001</v>
      </c>
      <c r="M111" s="247">
        <f>-IF(M$23&gt;=$H$21,M110,0)</f>
        <v>-15810</v>
      </c>
      <c r="N111" s="247">
        <f>-IF(N$23&gt;=$H$21,N110,0)</f>
        <v>-14768.4</v>
      </c>
      <c r="O111" s="247">
        <f>-IF(O$23&gt;=$H$21,O110,0)</f>
        <v>-13652.4</v>
      </c>
      <c r="P111" s="248">
        <f>-IF(P$23&gt;=$H$21,P110,0)</f>
        <v>-12536.4</v>
      </c>
      <c r="Q111" s="247">
        <f>-IF(Q$23&gt;=$H$21,Q110,0)</f>
        <v>-11346</v>
      </c>
      <c r="R111" s="247">
        <f>-IF(R$23&gt;=$H$21,R110,0)</f>
        <v>-10044</v>
      </c>
      <c r="S111" s="247">
        <f>-IF(S$23&gt;=$H$21,S110,0)</f>
        <v>-8704.7999999999993</v>
      </c>
      <c r="T111" s="247">
        <f>-IF(T$23&gt;=$H$21,T110,0)</f>
        <v>-7254</v>
      </c>
      <c r="U111" s="247">
        <f>-IF(U$23&gt;=$H$21,U110,0)</f>
        <v>-5728.8000000000002</v>
      </c>
      <c r="V111" s="247">
        <f>-IF(V$23&gt;=$H$21,V110,0)</f>
        <v>-3906</v>
      </c>
      <c r="W111" s="247">
        <f>-IF(W$23&gt;=$H$21,W110,0)</f>
        <v>-2008.8000000000002</v>
      </c>
      <c r="X111" s="247">
        <f>-IF(X$23&gt;=$H$21,X110,0)</f>
        <v>0</v>
      </c>
      <c r="Y111" s="247">
        <f>-IF(Y$23&gt;=$H$21,Y110,0)</f>
        <v>0</v>
      </c>
      <c r="Z111" s="247">
        <f>-IF(Z$23&gt;=$H$21,Z110,0)</f>
        <v>0</v>
      </c>
      <c r="AA111" s="247">
        <f>-IF(AA$23&gt;=$H$21,AA110,0)</f>
        <v>0</v>
      </c>
    </row>
    <row r="112" spans="1:27" ht="16.5" thickBot="1">
      <c r="A112" s="255" t="s">
        <v>185</v>
      </c>
      <c r="B112" s="254"/>
      <c r="C112" s="254"/>
      <c r="D112" s="252"/>
      <c r="E112" s="252">
        <v>0</v>
      </c>
      <c r="F112" s="252">
        <v>0</v>
      </c>
      <c r="G112" s="252">
        <v>0</v>
      </c>
      <c r="H112" s="252">
        <v>0</v>
      </c>
      <c r="I112" s="252">
        <v>0</v>
      </c>
      <c r="J112" s="252">
        <f>-J114*SUM($G$109:$I$109)</f>
        <v>-28800</v>
      </c>
      <c r="K112" s="252">
        <f>-K114*SUM($G$109:$I$109)</f>
        <v>-30000</v>
      </c>
      <c r="L112" s="252">
        <f>-L114*SUM($G$109:$I$109)</f>
        <v>-31200.000000000004</v>
      </c>
      <c r="M112" s="252">
        <f>-M114*SUM($G$109:$I$109)</f>
        <v>-33600</v>
      </c>
      <c r="N112" s="252">
        <f>-N114*SUM($G$109:$I$109)</f>
        <v>-36000</v>
      </c>
      <c r="O112" s="252">
        <f>-O114*SUM($G$109:$I$109)</f>
        <v>-36000</v>
      </c>
      <c r="P112" s="253">
        <f>-P114*SUM($G$109:$I$109)</f>
        <v>-38400</v>
      </c>
      <c r="Q112" s="252">
        <f>-Q114*SUM($G$109:$I$109)</f>
        <v>-42000.000000000007</v>
      </c>
      <c r="R112" s="252">
        <f>-R114*SUM($G$109:$I$109)</f>
        <v>-43200.000000000007</v>
      </c>
      <c r="S112" s="252">
        <f>-S114*SUM($G$109:$I$109)</f>
        <v>-46800</v>
      </c>
      <c r="T112" s="252">
        <f>-T114*SUM($G$109:$I$109)</f>
        <v>-49199.999999999993</v>
      </c>
      <c r="U112" s="252">
        <f>-U114*SUM($G$109:$I$109)</f>
        <v>-58800</v>
      </c>
      <c r="V112" s="252">
        <f>-V114*SUM($G$109:$I$109)</f>
        <v>-61199.999999999993</v>
      </c>
      <c r="W112" s="252">
        <f>-W114*SUM($G$109:$I$109)</f>
        <v>-64800.000000000007</v>
      </c>
      <c r="X112" s="252">
        <f>-X114*SUM($G$109:$I$109)</f>
        <v>0</v>
      </c>
      <c r="Y112" s="252">
        <f>-Y114*SUM($G$109:$I$109)</f>
        <v>0</v>
      </c>
      <c r="Z112" s="252">
        <f>-Z114*SUM($G$109:$I$109)</f>
        <v>0</v>
      </c>
      <c r="AA112" s="252">
        <f>-AA114*SUM($G$109:$I$109)</f>
        <v>0</v>
      </c>
    </row>
    <row r="113" spans="1:27" s="249" customFormat="1" ht="16.5" thickTop="1">
      <c r="A113" s="249" t="s">
        <v>184</v>
      </c>
      <c r="B113" s="251">
        <f>MAX(E113:W113)</f>
        <v>600000</v>
      </c>
      <c r="C113" s="251"/>
      <c r="E113" s="251">
        <v>0</v>
      </c>
      <c r="F113" s="251">
        <v>0</v>
      </c>
      <c r="G113" s="251">
        <f>SUM(G108:G112)</f>
        <v>490000</v>
      </c>
      <c r="H113" s="251">
        <f>SUM(H108:H112)</f>
        <v>600000</v>
      </c>
      <c r="I113" s="251">
        <f>SUM(I108:I112)</f>
        <v>600000</v>
      </c>
      <c r="J113" s="251">
        <f>SUM(J108:J112)</f>
        <v>571200</v>
      </c>
      <c r="K113" s="251">
        <f>SUM(K108:K112)</f>
        <v>541200</v>
      </c>
      <c r="L113" s="251">
        <f>SUM(L108:L112)</f>
        <v>510000</v>
      </c>
      <c r="M113" s="251">
        <f>SUM(M108:M112)</f>
        <v>476400</v>
      </c>
      <c r="N113" s="251">
        <f>SUM(N108:N112)</f>
        <v>440400</v>
      </c>
      <c r="O113" s="251">
        <f>SUM(O108:O112)</f>
        <v>404400</v>
      </c>
      <c r="P113" s="250">
        <f>SUM(P108:P112)</f>
        <v>366000</v>
      </c>
      <c r="Q113" s="251">
        <f>SUM(Q108:Q112)</f>
        <v>324000</v>
      </c>
      <c r="R113" s="251">
        <f>SUM(R108:R112)</f>
        <v>280800</v>
      </c>
      <c r="S113" s="251">
        <f>SUM(S108:S112)</f>
        <v>234000</v>
      </c>
      <c r="T113" s="251">
        <f>SUM(T108:T112)</f>
        <v>184800</v>
      </c>
      <c r="U113" s="251">
        <f>SUM(U108:U112)</f>
        <v>126000</v>
      </c>
      <c r="V113" s="251">
        <f>SUM(V108:V112)</f>
        <v>64800.000000000007</v>
      </c>
      <c r="W113" s="251">
        <f>SUM(W108:W112)</f>
        <v>0</v>
      </c>
      <c r="X113" s="251">
        <f>SUM(X108:X112)</f>
        <v>0</v>
      </c>
      <c r="Y113" s="251">
        <f>SUM(Y108:Y112)</f>
        <v>0</v>
      </c>
      <c r="Z113" s="251">
        <f>SUM(Z108:Z112)</f>
        <v>0</v>
      </c>
      <c r="AA113" s="251">
        <f>SUM(AA108:AA112)</f>
        <v>0</v>
      </c>
    </row>
    <row r="114" spans="1:27" ht="15.75">
      <c r="A114" s="231" t="s">
        <v>191</v>
      </c>
      <c r="G114" s="259">
        <v>0</v>
      </c>
      <c r="H114" s="259">
        <v>0</v>
      </c>
      <c r="I114" s="259">
        <v>0</v>
      </c>
      <c r="J114" s="259">
        <v>0.048000000000000001</v>
      </c>
      <c r="K114" s="259">
        <v>0.050000000000000003</v>
      </c>
      <c r="L114" s="259">
        <v>0.052000000000000005</v>
      </c>
      <c r="M114" s="259">
        <v>0.055999999999999994</v>
      </c>
      <c r="N114" s="259">
        <v>0.059999999999999998</v>
      </c>
      <c r="O114" s="259">
        <v>0.059999999999999998</v>
      </c>
      <c r="P114" s="260">
        <v>0.064000000000000001</v>
      </c>
      <c r="Q114" s="259">
        <v>0.070000000000000007</v>
      </c>
      <c r="R114" s="259">
        <v>0.072000000000000008</v>
      </c>
      <c r="S114" s="259">
        <v>0.078</v>
      </c>
      <c r="T114" s="259">
        <v>0.08199999999999999</v>
      </c>
      <c r="U114" s="259">
        <v>0.098000000000000004</v>
      </c>
      <c r="V114" s="259">
        <v>0.10199999999999999</v>
      </c>
      <c r="W114" s="259">
        <v>0.10800000000000001</v>
      </c>
      <c r="X114" s="259">
        <v>0</v>
      </c>
      <c r="Y114" s="259">
        <v>0</v>
      </c>
      <c r="Z114" s="259">
        <v>0</v>
      </c>
      <c r="AA114" s="259">
        <v>0</v>
      </c>
    </row>
    <row r="116" spans="1:29" ht="15.75">
      <c r="A116" s="249" t="s">
        <v>193</v>
      </c>
      <c r="B116" s="240">
        <v>0.033000000000000002</v>
      </c>
      <c r="E116" s="257">
        <v>2012</v>
      </c>
      <c r="F116" s="257">
        <v>2013</v>
      </c>
      <c r="G116" s="257">
        <v>2014</v>
      </c>
      <c r="H116" s="257">
        <v>2015</v>
      </c>
      <c r="I116" s="257">
        <v>2016</v>
      </c>
      <c r="J116" s="257">
        <v>2017</v>
      </c>
      <c r="K116" s="257">
        <v>2018</v>
      </c>
      <c r="L116" s="257">
        <v>2019</v>
      </c>
      <c r="M116" s="257">
        <v>2020</v>
      </c>
      <c r="N116" s="257">
        <v>2021</v>
      </c>
      <c r="O116" s="257">
        <v>2022</v>
      </c>
      <c r="P116" s="258">
        <v>2023</v>
      </c>
      <c r="Q116" s="257">
        <v>2024</v>
      </c>
      <c r="R116" s="257">
        <v>2025</v>
      </c>
      <c r="S116" s="257">
        <v>2026</v>
      </c>
      <c r="T116" s="257">
        <v>2027</v>
      </c>
      <c r="U116" s="257">
        <v>2028</v>
      </c>
      <c r="V116" s="257">
        <v>2029</v>
      </c>
      <c r="W116" s="257">
        <v>2030</v>
      </c>
      <c r="X116" s="257">
        <v>2031</v>
      </c>
      <c r="Y116" s="257">
        <v>2032</v>
      </c>
      <c r="Z116" s="257">
        <v>2033</v>
      </c>
      <c r="AA116" s="257">
        <v>2034</v>
      </c>
      <c r="AB116" s="257">
        <v>2035</v>
      </c>
      <c r="AC116" s="257">
        <v>2036</v>
      </c>
    </row>
    <row r="117" spans="1:29" ht="15.75">
      <c r="A117" s="231" t="s">
        <v>189</v>
      </c>
      <c r="B117" s="231">
        <v>2034</v>
      </c>
      <c r="E117" s="236">
        <v>0</v>
      </c>
      <c r="F117" s="236">
        <v>0</v>
      </c>
      <c r="G117" s="236">
        <f>F122</f>
        <v>0</v>
      </c>
      <c r="H117" s="236">
        <f>G122</f>
        <v>0</v>
      </c>
      <c r="I117" s="236">
        <f>H122</f>
        <v>0</v>
      </c>
      <c r="J117" s="236">
        <f>I122</f>
        <v>0</v>
      </c>
      <c r="K117" s="236">
        <f>J122</f>
        <v>0</v>
      </c>
      <c r="L117" s="236">
        <f>K122</f>
        <v>22695.612731524103</v>
      </c>
      <c r="M117" s="236">
        <f>L122</f>
        <v>347963.03840823326</v>
      </c>
      <c r="N117" s="236">
        <f>M122</f>
        <v>573361.85055978887</v>
      </c>
      <c r="O117" s="236">
        <f>N122</f>
        <v>749899.78009956039</v>
      </c>
      <c r="P117" s="237">
        <f>O122</f>
        <v>766469.43959502154</v>
      </c>
      <c r="Q117" s="236">
        <f>P122</f>
        <v>722515.12356195971</v>
      </c>
      <c r="R117" s="236">
        <f>Q122</f>
        <v>677110.31509980687</v>
      </c>
      <c r="S117" s="236">
        <f>R122</f>
        <v>630207.14795840299</v>
      </c>
      <c r="T117" s="236">
        <f>S122</f>
        <v>581756.17630133277</v>
      </c>
      <c r="U117" s="236">
        <f>T122</f>
        <v>531706.32257957908</v>
      </c>
      <c r="V117" s="236">
        <f>U122</f>
        <v>480004.82368500764</v>
      </c>
      <c r="W117" s="236">
        <f>V122</f>
        <v>426597.17532691534</v>
      </c>
      <c r="X117" s="236">
        <f>W122</f>
        <v>371427.07457300602</v>
      </c>
      <c r="Y117" s="236">
        <f>X122</f>
        <v>314436.36049421766</v>
      </c>
      <c r="Z117" s="236">
        <f>Y122</f>
        <v>255564.95285082929</v>
      </c>
      <c r="AA117" s="236">
        <f>Z122</f>
        <v>194750.78875520907</v>
      </c>
      <c r="AB117" s="236">
        <f>AA122</f>
        <v>131929.75724443339</v>
      </c>
      <c r="AC117" s="236">
        <f>AB122</f>
        <v>67035.631693802134</v>
      </c>
    </row>
    <row r="118" spans="1:29" ht="15.75">
      <c r="A118" s="231" t="s">
        <v>188</v>
      </c>
      <c r="E118" s="236">
        <v>0</v>
      </c>
      <c r="F118" s="236">
        <v>0</v>
      </c>
      <c r="G118" s="236">
        <f>G108</f>
        <v>0</v>
      </c>
      <c r="H118" s="236">
        <f>H15-H109-H127-H137</f>
        <v>0</v>
      </c>
      <c r="I118" s="236">
        <f>I15-I109-I127-I137</f>
        <v>0</v>
      </c>
      <c r="J118" s="236">
        <f>J15-J109-J127-J137</f>
        <v>0</v>
      </c>
      <c r="K118" s="236">
        <f>K15-K109-K127-K137</f>
        <v>22695.612731524103</v>
      </c>
      <c r="L118" s="236">
        <f>L15-L109-L127-L137</f>
        <v>325267.42567670916</v>
      </c>
      <c r="M118" s="236">
        <f>M15-M109-M127-M137</f>
        <v>225398.81215155558</v>
      </c>
      <c r="N118" s="236">
        <f>N15-N109-N127-N137</f>
        <v>176537.92953977149</v>
      </c>
      <c r="O118" s="236">
        <f>O15-O109-O127-O137</f>
        <v>59119.820224465831</v>
      </c>
      <c r="P118" s="237">
        <f>P15-P109-P127-P137</f>
        <v>0</v>
      </c>
      <c r="Q118" s="237">
        <f>Q15-Q109-Q127-Q137</f>
        <v>0</v>
      </c>
      <c r="R118" s="237">
        <f>R15-R109-R127-R137</f>
        <v>0</v>
      </c>
      <c r="S118" s="237">
        <f>S15-S109-S127-S137</f>
        <v>0</v>
      </c>
      <c r="T118" s="237">
        <f>T15-T109-T127-T137</f>
        <v>0</v>
      </c>
      <c r="U118" s="237">
        <f>U15-U109-U127-U137</f>
        <v>0</v>
      </c>
      <c r="V118" s="237">
        <f>V15-V109-V127-V137</f>
        <v>0</v>
      </c>
      <c r="W118" s="237">
        <f>W15-W109-W127-W137</f>
        <v>0</v>
      </c>
      <c r="X118" s="237">
        <f>X15-X109-X127-X137</f>
        <v>0</v>
      </c>
      <c r="Y118" s="236">
        <f>Y15-Y109-Y127-Y137</f>
        <v>0</v>
      </c>
      <c r="Z118" s="236">
        <f>Z15-Z109-Z127-Z137</f>
        <v>0</v>
      </c>
      <c r="AA118" s="236">
        <f>AA15-AA109-AA127-AA137</f>
        <v>0</v>
      </c>
      <c r="AB118" s="236">
        <f>AB15-AB109-AB127-AB137</f>
        <v>0</v>
      </c>
      <c r="AC118" s="236">
        <f>AC15-AC109-AC127-AC137</f>
        <v>0</v>
      </c>
    </row>
    <row r="119" spans="1:29" ht="15.75">
      <c r="A119" s="231" t="s">
        <v>187</v>
      </c>
      <c r="D119" s="256"/>
      <c r="E119" s="236">
        <v>0</v>
      </c>
      <c r="F119" s="236">
        <v>0</v>
      </c>
      <c r="G119" s="236">
        <f>$B$116*(G117+G118/2)</f>
        <v>0</v>
      </c>
      <c r="H119" s="236">
        <f>$B$116*(H117+H118/2)</f>
        <v>0</v>
      </c>
      <c r="I119" s="236">
        <f>$B$116*(I117+I118/2)</f>
        <v>0</v>
      </c>
      <c r="J119" s="236">
        <f>$B$116*(J117+J118/2)</f>
        <v>0</v>
      </c>
      <c r="K119" s="236">
        <f>$B$116*(K117+K118/2)</f>
        <v>374.4776100701477</v>
      </c>
      <c r="L119" s="236">
        <f>$B$116*(L117+L118/2)</f>
        <v>6115.8677438059967</v>
      </c>
      <c r="M119" s="236">
        <f>$B$116*(M117+M118/2)</f>
        <v>15201.860667972365</v>
      </c>
      <c r="N119" s="236">
        <f>$B$116*(N117+N118/2)</f>
        <v>21833.816905879263</v>
      </c>
      <c r="O119" s="236">
        <f>$B$116*(O117+O118/2)</f>
        <v>25722.16977698918</v>
      </c>
      <c r="P119" s="237">
        <f>$B$116*(P117+P118/2)</f>
        <v>25293.491506635713</v>
      </c>
      <c r="Q119" s="236">
        <f>$B$116*(Q117+Q118/2)</f>
        <v>23842.999077544671</v>
      </c>
      <c r="R119" s="236">
        <f>$B$116*(R117+R118/2)</f>
        <v>22344.640398293628</v>
      </c>
      <c r="S119" s="236">
        <f>$B$116*(S117+S118/2)</f>
        <v>20796.8358826273</v>
      </c>
      <c r="T119" s="236">
        <f>$B$116*(T117+T118/2)</f>
        <v>19197.953817943984</v>
      </c>
      <c r="U119" s="236">
        <f>$B$116*(U117+U118/2)</f>
        <v>17546.308645126112</v>
      </c>
      <c r="V119" s="236">
        <f>$B$116*(V117+V118/2)</f>
        <v>15840.159181605253</v>
      </c>
      <c r="W119" s="236">
        <f>$B$116*(W117+W118/2)</f>
        <v>14077.706785788207</v>
      </c>
      <c r="X119" s="236">
        <f>$B$116*(X117+X118/2)</f>
        <v>12257.093460909198</v>
      </c>
      <c r="Y119" s="236">
        <f>$B$116*(Y117+Y118/2)</f>
        <v>10376.399896309184</v>
      </c>
      <c r="Z119" s="236">
        <f>$B$116*(Z117+Z118/2)</f>
        <v>8433.6434440773664</v>
      </c>
      <c r="AA119" s="236">
        <f>$B$116*(AA117+AA118/2)</f>
        <v>6426.7760289218995</v>
      </c>
      <c r="AB119" s="236">
        <f>$B$116*(AB117+AB118/2)</f>
        <v>4353.6819890663019</v>
      </c>
      <c r="AC119" s="236">
        <f>$B$116*(AC117+AC118/2)</f>
        <v>2212.1758458954705</v>
      </c>
    </row>
    <row r="120" spans="1:29" ht="15.75">
      <c r="A120" s="231" t="s">
        <v>186</v>
      </c>
      <c r="D120" s="256"/>
      <c r="E120" s="247">
        <v>0</v>
      </c>
      <c r="F120" s="247">
        <v>0</v>
      </c>
      <c r="G120" s="247">
        <f>-IF(G$23&gt;=$H$21,G119,0)</f>
        <v>0</v>
      </c>
      <c r="H120" s="247">
        <f>-IF(H$23&gt;=$H$21,H119,0)</f>
        <v>0</v>
      </c>
      <c r="I120" s="247">
        <f>-IF(I$23&gt;=$H$21,I119,0)</f>
        <v>0</v>
      </c>
      <c r="J120" s="247">
        <f>-IF(J$23&gt;=$H$21,J119,0)</f>
        <v>0</v>
      </c>
      <c r="K120" s="247">
        <f>-IF(K$23&gt;=$H$21,K119,0)</f>
        <v>-374.4776100701477</v>
      </c>
      <c r="L120" s="247">
        <f>-IF(L$23&gt;=$H$21,L119,0)</f>
        <v>-6115.8677438059967</v>
      </c>
      <c r="M120" s="247">
        <f>-IF(M$23&gt;=$H$21,M119,0)</f>
        <v>-15201.860667972365</v>
      </c>
      <c r="N120" s="247">
        <f>-IF(N$23&gt;=$H$21,N119,0)</f>
        <v>-21833.816905879263</v>
      </c>
      <c r="O120" s="247">
        <f>-IF(O$23&gt;=$H$21,O119,0)</f>
        <v>-25722.16977698918</v>
      </c>
      <c r="P120" s="248">
        <f>-IF(P$23&gt;=$H$21,P119,0)</f>
        <v>-25293.491506635713</v>
      </c>
      <c r="Q120" s="247">
        <f>-IF(Q$23&gt;=$H$21,Q119,0)</f>
        <v>-23842.999077544671</v>
      </c>
      <c r="R120" s="247">
        <f>-IF(R$23&gt;=$H$21,R119,0)</f>
        <v>-22344.640398293628</v>
      </c>
      <c r="S120" s="247">
        <f>-IF(S$23&gt;=$H$21,S119,0)</f>
        <v>-20796.8358826273</v>
      </c>
      <c r="T120" s="247">
        <f>-IF(T$23&gt;=$H$21,T119,0)</f>
        <v>-19197.953817943984</v>
      </c>
      <c r="U120" s="247">
        <f>-IF(U$23&gt;=$H$21,U119,0)</f>
        <v>-17546.308645126112</v>
      </c>
      <c r="V120" s="247">
        <f>-IF(V$23&gt;=$H$21,V119,0)</f>
        <v>-15840.159181605253</v>
      </c>
      <c r="W120" s="247">
        <f>-IF(W$23&gt;=$H$21,W119,0)</f>
        <v>-14077.706785788207</v>
      </c>
      <c r="X120" s="247">
        <f>-IF(X$23&gt;=$H$21,X119,0)</f>
        <v>-12257.093460909198</v>
      </c>
      <c r="Y120" s="247">
        <f>-IF(Y$23&gt;=$H$21,Y119,0)</f>
        <v>-10376.399896309184</v>
      </c>
      <c r="Z120" s="247">
        <f>-IF(Z$23&gt;=$H$21,Z119,0)</f>
        <v>-8433.6434440773664</v>
      </c>
      <c r="AA120" s="247">
        <f>-IF(AA$23&gt;=$H$21,AA119,0)</f>
        <v>-6426.7760289218995</v>
      </c>
      <c r="AB120" s="247">
        <f>-IF(AB$23&gt;=$H$21,AB119,0)</f>
        <v>-4353.6819890663019</v>
      </c>
      <c r="AC120" s="247">
        <f>-IF(AC$23&gt;=$H$21,AC119,0)</f>
        <v>-2212.1758458954705</v>
      </c>
    </row>
    <row r="121" spans="1:29" ht="16.5" thickBot="1">
      <c r="A121" s="255" t="s">
        <v>185</v>
      </c>
      <c r="B121" s="254"/>
      <c r="C121" s="254"/>
      <c r="D121" s="252"/>
      <c r="E121" s="252">
        <v>0</v>
      </c>
      <c r="F121" s="252">
        <v>0</v>
      </c>
      <c r="G121" s="252">
        <f>IF(AND(G116&gt;=$I$21,G116&lt;=$I$21+$F$21-1),-(G217/Min_ADSCR-SUM(G156:G161)+SUM(G187:G191)),0)</f>
        <v>0</v>
      </c>
      <c r="H121" s="252">
        <v>0</v>
      </c>
      <c r="I121" s="252">
        <v>0</v>
      </c>
      <c r="J121" s="252">
        <v>0</v>
      </c>
      <c r="K121" s="252">
        <v>0</v>
      </c>
      <c r="L121" s="252">
        <v>0</v>
      </c>
      <c r="M121" s="252">
        <v>0</v>
      </c>
      <c r="N121" s="252">
        <v>0</v>
      </c>
      <c r="O121" s="252">
        <f>-($O$117+$O$118)*O123</f>
        <v>-42550.160729004689</v>
      </c>
      <c r="P121" s="253">
        <f>-($O$117+$O$118)*P123</f>
        <v>-43954.316033061834</v>
      </c>
      <c r="Q121" s="252">
        <f>-($O$117+$O$118)*Q123</f>
        <v>-45404.808462152876</v>
      </c>
      <c r="R121" s="252">
        <f>-($O$117+$O$118)*R123</f>
        <v>-46903.167141403923</v>
      </c>
      <c r="S121" s="252">
        <f>-($O$117+$O$118)*S123</f>
        <v>-48450.971657070259</v>
      </c>
      <c r="T121" s="252">
        <f>-($O$117+$O$118)*T123</f>
        <v>-50049.85372175357</v>
      </c>
      <c r="U121" s="252">
        <f>-($O$117+$O$118)*U123</f>
        <v>-51701.498894571443</v>
      </c>
      <c r="V121" s="252">
        <f>-($O$117+$O$118)*V123</f>
        <v>-53407.648358092294</v>
      </c>
      <c r="W121" s="252">
        <f>-($O$117+$O$118)*W123</f>
        <v>-55170.100753909348</v>
      </c>
      <c r="X121" s="252">
        <f>-($O$117+$O$118)*X123</f>
        <v>-56990.714078788355</v>
      </c>
      <c r="Y121" s="252">
        <f>-($O$117+$O$118)*Y123</f>
        <v>-58871.407643388367</v>
      </c>
      <c r="Z121" s="252">
        <f>-($O$117+$O$118)*Z123</f>
        <v>-60814.164095620188</v>
      </c>
      <c r="AA121" s="252">
        <f>-($O$117+$O$118)*AA123</f>
        <v>-62821.031510775661</v>
      </c>
      <c r="AB121" s="252">
        <f>-($O$117+$O$118)*AB123</f>
        <v>-64894.125550631252</v>
      </c>
      <c r="AC121" s="252">
        <f>-($O$117+$O$118)*AC123</f>
        <v>-67035.631693802075</v>
      </c>
    </row>
    <row r="122" spans="1:29" s="249" customFormat="1" ht="16.5" thickTop="1">
      <c r="A122" s="249" t="s">
        <v>184</v>
      </c>
      <c r="B122" s="251">
        <f>MAX(E122:W122)</f>
        <v>766469.43959502154</v>
      </c>
      <c r="C122" s="251"/>
      <c r="E122" s="251">
        <v>0</v>
      </c>
      <c r="F122" s="251">
        <v>0</v>
      </c>
      <c r="G122" s="251">
        <f>SUM(G117:G121)</f>
        <v>0</v>
      </c>
      <c r="H122" s="251">
        <f>SUM(H117:H121)</f>
        <v>0</v>
      </c>
      <c r="I122" s="251">
        <f>SUM(I117:I121)</f>
        <v>0</v>
      </c>
      <c r="J122" s="251">
        <f>SUM(J117:J121)</f>
        <v>0</v>
      </c>
      <c r="K122" s="251">
        <f>SUM(K117:K121)</f>
        <v>22695.612731524103</v>
      </c>
      <c r="L122" s="251">
        <f>SUM(L117:L121)</f>
        <v>347963.03840823326</v>
      </c>
      <c r="M122" s="251">
        <f>SUM(M117:M121)</f>
        <v>573361.85055978887</v>
      </c>
      <c r="N122" s="251">
        <f>SUM(N117:N121)</f>
        <v>749899.78009956039</v>
      </c>
      <c r="O122" s="251">
        <f>SUM(O117:O121)</f>
        <v>766469.43959502154</v>
      </c>
      <c r="P122" s="250">
        <f>SUM(P117:P121)</f>
        <v>722515.12356195971</v>
      </c>
      <c r="Q122" s="251">
        <f>SUM(Q117:Q121)</f>
        <v>677110.31509980687</v>
      </c>
      <c r="R122" s="251">
        <f>SUM(R117:R121)</f>
        <v>630207.14795840299</v>
      </c>
      <c r="S122" s="251">
        <f>SUM(S117:S121)</f>
        <v>581756.17630133277</v>
      </c>
      <c r="T122" s="251">
        <f>SUM(T117:T121)</f>
        <v>531706.32257957908</v>
      </c>
      <c r="U122" s="251">
        <f>SUM(U117:U121)</f>
        <v>480004.82368500764</v>
      </c>
      <c r="V122" s="251">
        <f>SUM(V117:V121)</f>
        <v>426597.17532691534</v>
      </c>
      <c r="W122" s="251">
        <f>SUM(W117:W121)</f>
        <v>371427.07457300602</v>
      </c>
      <c r="X122" s="251">
        <f>SUM(X117:X121)</f>
        <v>314436.36049421766</v>
      </c>
      <c r="Y122" s="251">
        <f>SUM(Y117:Y121)</f>
        <v>255564.95285082929</v>
      </c>
      <c r="Z122" s="251">
        <f>SUM(Z117:Z121)</f>
        <v>194750.78875520907</v>
      </c>
      <c r="AA122" s="251">
        <f>SUM(AA117:AA121)</f>
        <v>131929.75724443339</v>
      </c>
      <c r="AB122" s="251">
        <f>SUM(AB117:AB121)</f>
        <v>67035.631693802134</v>
      </c>
      <c r="AC122" s="251">
        <f>SUM(AC117:AC121)</f>
        <v>0</v>
      </c>
    </row>
    <row r="123" spans="1:29" ht="15.75">
      <c r="A123" s="231" t="s">
        <v>191</v>
      </c>
      <c r="G123" s="259">
        <v>0</v>
      </c>
      <c r="H123" s="259">
        <v>0</v>
      </c>
      <c r="I123" s="259">
        <v>0</v>
      </c>
      <c r="J123" s="259">
        <v>0</v>
      </c>
      <c r="K123" s="259">
        <v>0</v>
      </c>
      <c r="L123" s="259">
        <v>0</v>
      </c>
      <c r="M123" s="259">
        <v>0</v>
      </c>
      <c r="N123" s="259">
        <v>0</v>
      </c>
      <c r="O123" s="259">
        <f>-PPMT($B$116,O116-2021,15,$O$117+$O$118)/($O$117+$O$118)</f>
        <v>0.052594721700144995</v>
      </c>
      <c r="P123" s="260">
        <f>-PPMT($B$116,P116-2021,15,$O$117+$O$118)/($O$117+$O$118)</f>
        <v>0.054330347516249766</v>
      </c>
      <c r="Q123" s="259">
        <f>-PPMT($B$116,Q116-2021,15,$O$117+$O$118)/($O$117+$O$118)</f>
        <v>0.056123248984286007</v>
      </c>
      <c r="R123" s="259">
        <f>-PPMT($B$116,R116-2021,15,$O$117+$O$118)/($O$117+$O$118)</f>
        <v>0.05797531620076745</v>
      </c>
      <c r="S123" s="259">
        <f>-PPMT($B$116,S116-2021,15,$O$117+$O$118)/($O$117+$O$118)</f>
        <v>0.059888501635392784</v>
      </c>
      <c r="T123" s="259">
        <f>-PPMT($B$116,T116-2021,15,$O$117+$O$118)/($O$117+$O$118)</f>
        <v>0.061864822189360735</v>
      </c>
      <c r="U123" s="259">
        <f>-PPMT($B$116,U116-2021,15,$O$117+$O$118)/($O$117+$O$118)</f>
        <v>0.06390636132160965</v>
      </c>
      <c r="V123" s="259">
        <f>-PPMT($B$116,V116-2021,15,$O$117+$O$118)/($O$117+$O$118)</f>
        <v>0.066015271245222759</v>
      </c>
      <c r="W123" s="259">
        <f>-PPMT($B$116,W116-2021,15,$O$117+$O$118)/($O$117+$O$118)</f>
        <v>0.068193775196315115</v>
      </c>
      <c r="X123" s="259">
        <f>-PPMT($B$116,X116-2021,15,$O$117+$O$118)/($O$117+$O$118)</f>
        <v>0.070444169777793511</v>
      </c>
      <c r="Y123" s="259">
        <f>-PPMT($B$116,Y116-2021,15,$O$117+$O$118)/($O$117+$O$118)</f>
        <v>0.072768827380460699</v>
      </c>
      <c r="Z123" s="259">
        <f>-PPMT($B$116,Z116-2021,15,$O$117+$O$118)/($O$117+$O$118)</f>
        <v>0.075170198684015907</v>
      </c>
      <c r="AA123" s="259">
        <f>-PPMT($B$116,AA116-2021,15,$O$117+$O$118)/($O$117+$O$118)</f>
        <v>0.077650815240588436</v>
      </c>
      <c r="AB123" s="259">
        <f>-PPMT($B$116,AB116-2021,15,$O$117+$O$118)/($O$117+$O$118)</f>
        <v>0.080213292143527848</v>
      </c>
      <c r="AC123" s="259">
        <f>-PPMT($B$116,AC116-2021,15,$O$117+$O$118)/($O$117+$O$118)</f>
        <v>0.082860330784264261</v>
      </c>
    </row>
    <row r="124" spans="11:11" ht="15.75">
      <c r="K124" s="236"/>
    </row>
    <row r="125" spans="1:30" ht="15.75">
      <c r="A125" s="249" t="s">
        <v>192</v>
      </c>
      <c r="B125" s="240">
        <v>0.033000000000000002</v>
      </c>
      <c r="E125" s="257">
        <v>2012</v>
      </c>
      <c r="F125" s="257">
        <v>2013</v>
      </c>
      <c r="G125" s="257">
        <v>2014</v>
      </c>
      <c r="H125" s="257">
        <v>2015</v>
      </c>
      <c r="I125" s="257">
        <v>2016</v>
      </c>
      <c r="J125" s="257">
        <v>2017</v>
      </c>
      <c r="K125" s="257">
        <v>2018</v>
      </c>
      <c r="L125" s="257">
        <v>2019</v>
      </c>
      <c r="M125" s="257">
        <v>2020</v>
      </c>
      <c r="N125" s="257">
        <v>2021</v>
      </c>
      <c r="O125" s="257">
        <v>2022</v>
      </c>
      <c r="P125" s="258">
        <v>2023</v>
      </c>
      <c r="Q125" s="257">
        <v>2024</v>
      </c>
      <c r="R125" s="257">
        <v>2025</v>
      </c>
      <c r="S125" s="257">
        <v>2026</v>
      </c>
      <c r="T125" s="257">
        <v>2027</v>
      </c>
      <c r="U125" s="257">
        <v>2028</v>
      </c>
      <c r="V125" s="257">
        <v>2029</v>
      </c>
      <c r="W125" s="257">
        <v>2030</v>
      </c>
      <c r="X125" s="257">
        <v>2031</v>
      </c>
      <c r="Y125" s="257">
        <v>2032</v>
      </c>
      <c r="Z125" s="257">
        <v>2033</v>
      </c>
      <c r="AA125" s="257">
        <v>2034</v>
      </c>
      <c r="AB125" s="257">
        <v>2035</v>
      </c>
      <c r="AC125" s="257">
        <v>2036</v>
      </c>
      <c r="AD125" s="257">
        <v>2037</v>
      </c>
    </row>
    <row r="126" spans="1:30" ht="15.75">
      <c r="A126" s="231" t="s">
        <v>189</v>
      </c>
      <c r="B126" s="231">
        <v>2035</v>
      </c>
      <c r="E126" s="236">
        <v>0</v>
      </c>
      <c r="F126" s="236">
        <v>0</v>
      </c>
      <c r="G126" s="236">
        <f>F131</f>
        <v>0</v>
      </c>
      <c r="H126" s="236">
        <f>G131</f>
        <v>0</v>
      </c>
      <c r="I126" s="236">
        <f>H131</f>
        <v>89864.668008839013</v>
      </c>
      <c r="J126" s="236">
        <f>I131</f>
        <v>199330.03665012773</v>
      </c>
      <c r="K126" s="236">
        <f>J131</f>
        <v>330798.0206254794</v>
      </c>
      <c r="L126" s="236">
        <f>K131</f>
        <v>586800</v>
      </c>
      <c r="M126" s="236">
        <f>L131</f>
        <v>573600</v>
      </c>
      <c r="N126" s="236">
        <f>M131</f>
        <v>559200</v>
      </c>
      <c r="O126" s="236">
        <f>N131</f>
        <v>543000</v>
      </c>
      <c r="P126" s="237">
        <f>O131</f>
        <v>525600</v>
      </c>
      <c r="Q126" s="236">
        <f>P131</f>
        <v>507000</v>
      </c>
      <c r="R126" s="236">
        <f>Q131</f>
        <v>490800</v>
      </c>
      <c r="S126" s="236">
        <f>R131</f>
        <v>471600</v>
      </c>
      <c r="T126" s="236">
        <f>S131</f>
        <v>451800</v>
      </c>
      <c r="U126" s="236">
        <f>T131</f>
        <v>430200</v>
      </c>
      <c r="V126" s="236">
        <f>U131</f>
        <v>402600</v>
      </c>
      <c r="W126" s="236">
        <f>V131</f>
        <v>371400</v>
      </c>
      <c r="X126" s="236">
        <f>W131</f>
        <v>336000</v>
      </c>
      <c r="Y126" s="236">
        <f>X131</f>
        <v>268200</v>
      </c>
      <c r="Z126" s="236">
        <f>Y131</f>
        <v>198600</v>
      </c>
      <c r="AA126" s="236">
        <f>Z131</f>
        <v>126600</v>
      </c>
      <c r="AB126" s="236">
        <f>AA131</f>
        <v>52800</v>
      </c>
      <c r="AC126" s="236">
        <f>AB131</f>
        <v>0</v>
      </c>
      <c r="AD126" s="236">
        <f>AB131</f>
        <v>0</v>
      </c>
    </row>
    <row r="127" spans="1:30" ht="15.75">
      <c r="A127" s="231" t="s">
        <v>188</v>
      </c>
      <c r="E127" s="236">
        <v>0</v>
      </c>
      <c r="F127" s="236">
        <v>0</v>
      </c>
      <c r="G127" s="236">
        <v>0</v>
      </c>
      <c r="H127" s="236">
        <f>IF(SUM($E$127:G127)+H15-H109-H137&gt;600000,600000-SUM($E$127:G127),H15-H109-H137)</f>
        <v>89864.668008839013</v>
      </c>
      <c r="I127" s="236">
        <f>IF(SUM($E$127:H127)+I15-I109-I137&gt;600000,600000-SUM($E$127:H127),I15-I109-I137)</f>
        <v>109465.36864128872</v>
      </c>
      <c r="J127" s="236">
        <f>IF(SUM($E$127:I127)+J15-J109-J137&gt;600000,600000-SUM($E$127:I127),J15-J109-J137)</f>
        <v>131467.9839753517</v>
      </c>
      <c r="K127" s="236">
        <f>IF(SUM($E$127:J127)+K15-K109-K137&gt;600000,600000-SUM($E$127:J127),K15-K109-K137)</f>
        <v>269201.9793745206</v>
      </c>
      <c r="L127" s="236">
        <f>IF(SUM($E$127:K127)+L15-L109-L137&gt;600000,600000-SUM($E$127:K127),L15-L109-L137)</f>
        <v>0</v>
      </c>
      <c r="M127" s="236">
        <f>IF(SUM($E$127:L127)+M15-M109-M137&gt;600000,600000-SUM($E$127:L127),M15-M109-M137)</f>
        <v>0</v>
      </c>
      <c r="N127" s="236">
        <f>IF(SUM($E$127:M127)+N15-N109-N137&gt;600000,600000-SUM($E$127:M127),N15-N109-N137)</f>
        <v>0</v>
      </c>
      <c r="O127" s="236">
        <f>IF(SUM($E$127:N127)+O15-O109-O137&gt;600000,600000-SUM($E$127:N127),O15-O109-O137)</f>
        <v>0</v>
      </c>
      <c r="P127" s="237">
        <f>IF(SUM($E$127:O127)+P15-P109-P137&gt;600000,600000-SUM($E$127:O127),P15-P109-P137)</f>
        <v>0</v>
      </c>
      <c r="Q127" s="236">
        <f>IF(SUM($E$127:P127)+Q15-Q109-Q137&gt;600000,600000-SUM($E$127:P127),Q15-Q109-Q137)</f>
        <v>0</v>
      </c>
      <c r="R127" s="236">
        <f>IF(SUM($E$127:Q127)+R15-R109-R137&gt;600000,600000-SUM($E$127:Q127),R15-R109-R137)</f>
        <v>0</v>
      </c>
      <c r="S127" s="236">
        <f>IF(SUM($E$127:R127)+S15-S109-S137&gt;600000,600000-SUM($E$127:R127),S15-S109-S137)</f>
        <v>0</v>
      </c>
      <c r="T127" s="236">
        <f>IF(SUM($E$127:S127)+T15-T109-T137&gt;600000,600000-SUM($E$127:S127),T15-T109-T137)</f>
        <v>0</v>
      </c>
      <c r="U127" s="236">
        <f>IF(SUM($E$127:T127)+U15-U109-U137&gt;600000,600000-SUM($E$127:T127),U15-U109-U137)</f>
        <v>0</v>
      </c>
      <c r="V127" s="236">
        <f>IF(SUM($E$127:U127)+V15-V109-V137&gt;600000,600000-SUM($E$127:U127),V15-V109-V137)</f>
        <v>0</v>
      </c>
      <c r="W127" s="236">
        <f>IF(SUM($E$127:V127)+W15-W109-W137&gt;600000,600000-SUM($E$127:V127),W15-W109-W137)</f>
        <v>0</v>
      </c>
      <c r="X127" s="236">
        <f>IF(SUM($E$127:W127)+X15-X109-X137&gt;600000,600000-SUM($E$127:W127),X15-X109-X137)</f>
        <v>0</v>
      </c>
      <c r="Y127" s="236">
        <f>IF(SUM($E$127:X127)+Y15-Y109-Y137&gt;600000,600000-SUM($E$127:X127),Y15-Y109-Y137)</f>
        <v>0</v>
      </c>
      <c r="Z127" s="236">
        <f>IF(SUM($E$127:Y127)+Z15-Z109-Z137&gt;600000,600000-SUM($E$127:Y127),Z15-Z109-Z137)</f>
        <v>0</v>
      </c>
      <c r="AA127" s="236">
        <f>IF(SUM($E$127:Z127)+AA15-AA109-AA137&gt;600000,600000-SUM($E$127:Z127),AA15-AA109-AA137)</f>
        <v>0</v>
      </c>
      <c r="AB127" s="236">
        <f>IF(SUM($E$127:AA127)+AB15-AB109-AB137&gt;600000,600000-SUM($E$127:AA127),AB15-AB109-AB137)</f>
        <v>0</v>
      </c>
      <c r="AC127" s="236">
        <f>IF(SUM($E$127:AB127)+AC15-AC109-AC137&gt;600000,600000-SUM($E$127:AB127),AC15-AC109-AC137)</f>
        <v>0</v>
      </c>
      <c r="AD127" s="236">
        <f>MIN(AD16-AD117-AD136,600000-SUM($E$126:AB127))</f>
        <v>-7515792.725284446</v>
      </c>
    </row>
    <row r="128" spans="1:30" ht="15.75">
      <c r="A128" s="231" t="s">
        <v>187</v>
      </c>
      <c r="D128" s="256"/>
      <c r="E128" s="236">
        <v>0</v>
      </c>
      <c r="F128" s="236">
        <v>0</v>
      </c>
      <c r="G128" s="236">
        <f>$B$124*(G126+G127/2)</f>
        <v>0</v>
      </c>
      <c r="H128" s="236">
        <v>258</v>
      </c>
      <c r="I128" s="236">
        <f>$B$125*(I126+I127/2)</f>
        <v>4771.7126268729517</v>
      </c>
      <c r="J128" s="236">
        <f>$B$125*(J126+J127/2)</f>
        <v>8747.1129450475182</v>
      </c>
      <c r="K128" s="236">
        <f>$B$125*(K126+K127/2)</f>
        <v>15358.167340320411</v>
      </c>
      <c r="L128" s="236">
        <f>$B$125*(L126+L127/2)</f>
        <v>19364.400000000001</v>
      </c>
      <c r="M128" s="236">
        <f>$B$125*(M126+M127/2)</f>
        <v>18928.799999999999</v>
      </c>
      <c r="N128" s="236">
        <f>$B$125*(N126+N127/2)</f>
        <v>18453.600000000002</v>
      </c>
      <c r="O128" s="236">
        <f>$B$125*(O126+O127/2)</f>
        <v>17919</v>
      </c>
      <c r="P128" s="237">
        <f>$B$125*(P126+P127/2)</f>
        <v>17344.799999999999</v>
      </c>
      <c r="Q128" s="236">
        <f>$B$125*(Q126+Q127/2)</f>
        <v>16731</v>
      </c>
      <c r="R128" s="236">
        <f>$B$125*(R126+R127/2)</f>
        <v>16196.400000000002</v>
      </c>
      <c r="S128" s="236">
        <f>$B$125*(S126+S127/2)</f>
        <v>15562.800000000001</v>
      </c>
      <c r="T128" s="236">
        <f>$B$125*(T126+T127/2)</f>
        <v>14909.400000000002</v>
      </c>
      <c r="U128" s="236">
        <f>$B$125*(U126+U127/2)</f>
        <v>14196.6</v>
      </c>
      <c r="V128" s="236">
        <f>$B$125*(V126+V127/2)</f>
        <v>13285.800000000001</v>
      </c>
      <c r="W128" s="236">
        <f>$B$125*(W126+W127/2)</f>
        <v>12256.200000000001</v>
      </c>
      <c r="X128" s="236">
        <f>$B$125*(X126+X127/2)</f>
        <v>11088</v>
      </c>
      <c r="Y128" s="236">
        <f>$B$125*(Y126+Y127/2)</f>
        <v>8850.6000000000004</v>
      </c>
      <c r="Z128" s="236">
        <f>$B$125*(Z126+Z127/2)</f>
        <v>6553.8000000000002</v>
      </c>
      <c r="AA128" s="236">
        <f>$B$125*(AA126+AA127/2)</f>
        <v>4177.8000000000002</v>
      </c>
      <c r="AB128" s="236">
        <f>$B$125*(AB126+AB127/2)</f>
        <v>1742.4000000000001</v>
      </c>
      <c r="AC128" s="236">
        <f>$B$125*(AC126+AC127/2)</f>
        <v>0</v>
      </c>
      <c r="AD128" s="236">
        <f>$B$124*(AD126+AD127/2)</f>
        <v>0</v>
      </c>
    </row>
    <row r="129" spans="1:30" ht="15.75">
      <c r="A129" s="231" t="s">
        <v>186</v>
      </c>
      <c r="D129" s="256"/>
      <c r="E129" s="247">
        <v>0</v>
      </c>
      <c r="F129" s="247">
        <v>0</v>
      </c>
      <c r="G129" s="247">
        <f>-IF(G$23&gt;=$H$21,G128,0)</f>
        <v>0</v>
      </c>
      <c r="H129" s="247">
        <f>-IF(H$23&gt;=$H$21,H128,0)</f>
        <v>-258</v>
      </c>
      <c r="I129" s="247">
        <f>-IF(I$23&gt;=$H$21,I128,0)</f>
        <v>-4771.7126268729517</v>
      </c>
      <c r="J129" s="247">
        <f>-IF(J$23&gt;=$H$21,J128,0)</f>
        <v>-8747.1129450475182</v>
      </c>
      <c r="K129" s="247">
        <f>-IF(K$23&gt;=$H$21,K128,0)</f>
        <v>-15358.167340320411</v>
      </c>
      <c r="L129" s="247">
        <f>-IF(L$23&gt;=$H$21,L128,0)</f>
        <v>-19364.400000000001</v>
      </c>
      <c r="M129" s="247">
        <f>-IF(M$23&gt;=$H$21,M128,0)</f>
        <v>-18928.799999999999</v>
      </c>
      <c r="N129" s="247">
        <f>-IF(N$23&gt;=$H$21,N128,0)</f>
        <v>-18453.600000000002</v>
      </c>
      <c r="O129" s="247">
        <f>-IF(O$23&gt;=$H$21,O128,0)</f>
        <v>-17919</v>
      </c>
      <c r="P129" s="248">
        <f>-IF(P$23&gt;=$H$21,P128,0)</f>
        <v>-17344.799999999999</v>
      </c>
      <c r="Q129" s="247">
        <f>-IF(Q$23&gt;=$H$21,Q128,0)</f>
        <v>-16731</v>
      </c>
      <c r="R129" s="247">
        <f>-IF(R$23&gt;=$H$21,R128,0)</f>
        <v>-16196.400000000002</v>
      </c>
      <c r="S129" s="247">
        <f>-IF(S$23&gt;=$H$21,S128,0)</f>
        <v>-15562.800000000001</v>
      </c>
      <c r="T129" s="247">
        <f>-IF(T$23&gt;=$H$21,T128,0)</f>
        <v>-14909.400000000002</v>
      </c>
      <c r="U129" s="247">
        <f>-IF(U$23&gt;=$H$21,U128,0)</f>
        <v>-14196.6</v>
      </c>
      <c r="V129" s="247">
        <f>-IF(V$23&gt;=$H$21,V128,0)</f>
        <v>-13285.800000000001</v>
      </c>
      <c r="W129" s="247">
        <f>-IF(W$23&gt;=$H$21,W128,0)</f>
        <v>-12256.200000000001</v>
      </c>
      <c r="X129" s="247">
        <f>-IF(X$23&gt;=$H$21,X128,0)</f>
        <v>-11088</v>
      </c>
      <c r="Y129" s="247">
        <f>-IF(Y$23&gt;=$H$21,Y128,0)</f>
        <v>-8850.6000000000004</v>
      </c>
      <c r="Z129" s="247">
        <f>-IF(Z$23&gt;=$H$21,Z128,0)</f>
        <v>-6553.8000000000002</v>
      </c>
      <c r="AA129" s="247">
        <f>-IF(AA$23&gt;=$H$21,AA128,0)</f>
        <v>-4177.8000000000002</v>
      </c>
      <c r="AB129" s="247">
        <f>-IF(AB$23&gt;=$H$21,AB128,0)</f>
        <v>-1742.4000000000001</v>
      </c>
      <c r="AC129" s="247">
        <f>-IF(AC$23&gt;=$H$21,AC128,0)</f>
        <v>0</v>
      </c>
      <c r="AD129" s="247">
        <f>-IF(AD$23&gt;=$H$21,AD128,0)</f>
        <v>0</v>
      </c>
    </row>
    <row r="130" spans="1:30" ht="16.5" thickBot="1">
      <c r="A130" s="255" t="s">
        <v>185</v>
      </c>
      <c r="B130" s="254"/>
      <c r="C130" s="254"/>
      <c r="D130" s="252"/>
      <c r="E130" s="252">
        <v>0</v>
      </c>
      <c r="F130" s="252">
        <v>0</v>
      </c>
      <c r="G130" s="252">
        <f>IF(AND(G125&gt;=$I$21,G125&lt;=$I$21+$F$21-1),-(G224/Min_ADSCR-SUM(G165:G170)+SUM(G194:G197)),0)</f>
        <v>0</v>
      </c>
      <c r="H130" s="252">
        <v>0</v>
      </c>
      <c r="I130" s="252">
        <v>0</v>
      </c>
      <c r="J130" s="252">
        <v>0</v>
      </c>
      <c r="K130" s="252">
        <f>-($K$126+$K$127)*K132</f>
        <v>-13200</v>
      </c>
      <c r="L130" s="252">
        <f>-($K$126+$K$127)*L132</f>
        <v>-13200</v>
      </c>
      <c r="M130" s="252">
        <f>-($K$126+$K$127)*M132</f>
        <v>-14400</v>
      </c>
      <c r="N130" s="252">
        <f>-($K$126+$K$127)*N132</f>
        <v>-16200</v>
      </c>
      <c r="O130" s="252">
        <f>-($K$126+$K$127)*O132</f>
        <v>-17400</v>
      </c>
      <c r="P130" s="253">
        <f>-($K$126+$K$127)*P132</f>
        <v>-18600</v>
      </c>
      <c r="Q130" s="252">
        <f>-($K$126+$K$127)*Q132</f>
        <v>-16200</v>
      </c>
      <c r="R130" s="252">
        <f>-($K$126+$K$127)*R132</f>
        <v>-19200</v>
      </c>
      <c r="S130" s="252">
        <f>-($K$126+$K$127)*S132</f>
        <v>-19800</v>
      </c>
      <c r="T130" s="252">
        <f>-($K$126+$K$127)*T132</f>
        <v>-21600</v>
      </c>
      <c r="U130" s="252">
        <f>-($K$126+$K$127)*U132</f>
        <v>-27600</v>
      </c>
      <c r="V130" s="252">
        <f>-($K$126+$K$127)*V132</f>
        <v>-31200</v>
      </c>
      <c r="W130" s="252">
        <f>-($K$126+$K$127)*W132</f>
        <v>-35400</v>
      </c>
      <c r="X130" s="252">
        <f>-($K$126+$K$127)*X132</f>
        <v>-67800</v>
      </c>
      <c r="Y130" s="252">
        <f>-($K$126+$K$127)*Y132</f>
        <v>-69600</v>
      </c>
      <c r="Z130" s="252">
        <f>-($K$126+$K$127)*Z132</f>
        <v>-72000</v>
      </c>
      <c r="AA130" s="252">
        <f>-($K$126+$K$127)*AA132</f>
        <v>-73800</v>
      </c>
      <c r="AB130" s="252">
        <f>-($K$126+$K$127)*AB132</f>
        <v>-52800</v>
      </c>
      <c r="AC130" s="252">
        <f>-($K$126+$K$127)*AC132</f>
        <v>0</v>
      </c>
      <c r="AD130" s="252">
        <f>-($K$125+$K$126+$L$126)*AD132</f>
        <v>0</v>
      </c>
    </row>
    <row r="131" spans="1:30" s="249" customFormat="1" ht="16.5" thickTop="1">
      <c r="A131" s="249" t="s">
        <v>184</v>
      </c>
      <c r="B131" s="251">
        <f>MAX(E131:W131)</f>
        <v>586800</v>
      </c>
      <c r="C131" s="251"/>
      <c r="E131" s="251">
        <v>0</v>
      </c>
      <c r="F131" s="251">
        <v>0</v>
      </c>
      <c r="G131" s="251">
        <f>SUM(G126:G130)</f>
        <v>0</v>
      </c>
      <c r="H131" s="251">
        <f>SUM(H126:H130)</f>
        <v>89864.668008839013</v>
      </c>
      <c r="I131" s="251">
        <f>SUM(I126:I130)</f>
        <v>199330.03665012773</v>
      </c>
      <c r="J131" s="251">
        <f>SUM(J126:J130)</f>
        <v>330798.0206254794</v>
      </c>
      <c r="K131" s="251">
        <f>SUM(K126:K130)</f>
        <v>586800</v>
      </c>
      <c r="L131" s="251">
        <f>SUM(L126:L130)</f>
        <v>573600</v>
      </c>
      <c r="M131" s="251">
        <f>SUM(M126:M130)</f>
        <v>559200</v>
      </c>
      <c r="N131" s="251">
        <f>SUM(N126:N130)</f>
        <v>543000</v>
      </c>
      <c r="O131" s="251">
        <f>SUM(O126:O130)</f>
        <v>525600</v>
      </c>
      <c r="P131" s="250">
        <f>SUM(P126:P130)</f>
        <v>507000</v>
      </c>
      <c r="Q131" s="251">
        <f>SUM(Q126:Q130)</f>
        <v>490800</v>
      </c>
      <c r="R131" s="251">
        <f>SUM(R126:R130)</f>
        <v>471600</v>
      </c>
      <c r="S131" s="251">
        <f>SUM(S126:S130)</f>
        <v>451800</v>
      </c>
      <c r="T131" s="251">
        <f>SUM(T126:T130)</f>
        <v>430200</v>
      </c>
      <c r="U131" s="251">
        <f>SUM(U126:U130)</f>
        <v>402600</v>
      </c>
      <c r="V131" s="251">
        <f>SUM(V126:V130)</f>
        <v>371400</v>
      </c>
      <c r="W131" s="251">
        <f>SUM(W126:W130)</f>
        <v>336000</v>
      </c>
      <c r="X131" s="251">
        <f>SUM(X126:X130)</f>
        <v>268200</v>
      </c>
      <c r="Y131" s="251">
        <f>SUM(Y126:Y130)</f>
        <v>198600</v>
      </c>
      <c r="Z131" s="251">
        <f>SUM(Z126:Z130)</f>
        <v>126600</v>
      </c>
      <c r="AA131" s="251">
        <f>SUM(AA126:AA130)</f>
        <v>52800</v>
      </c>
      <c r="AB131" s="251">
        <f>SUM(AB126:AB130)</f>
        <v>0</v>
      </c>
      <c r="AC131" s="251">
        <f>SUM(AC126:AC130)</f>
        <v>0</v>
      </c>
      <c r="AD131" s="251">
        <f>SUM(AD126:AD130)</f>
        <v>-7515792.725284446</v>
      </c>
    </row>
    <row r="132" spans="1:30" ht="15.75">
      <c r="A132" s="231" t="s">
        <v>191</v>
      </c>
      <c r="G132" s="259">
        <v>0</v>
      </c>
      <c r="H132" s="259">
        <v>0</v>
      </c>
      <c r="I132" s="259">
        <v>0</v>
      </c>
      <c r="J132" s="259">
        <v>0</v>
      </c>
      <c r="K132" s="259">
        <v>0.021999999999999999</v>
      </c>
      <c r="L132" s="259">
        <v>0.021999999999999999</v>
      </c>
      <c r="M132" s="259">
        <v>0.024</v>
      </c>
      <c r="N132" s="259">
        <v>0.027</v>
      </c>
      <c r="O132" s="259">
        <v>0.029000000000000001</v>
      </c>
      <c r="P132" s="260">
        <v>0.031</v>
      </c>
      <c r="Q132" s="259">
        <v>0.027</v>
      </c>
      <c r="R132" s="259">
        <v>0.032000000000000001</v>
      </c>
      <c r="S132" s="259">
        <v>0.033000000000000002</v>
      </c>
      <c r="T132" s="259">
        <v>0.035999999999999997</v>
      </c>
      <c r="U132" s="259">
        <v>0.045999999999999999</v>
      </c>
      <c r="V132" s="259">
        <v>0.051999999999999998</v>
      </c>
      <c r="W132" s="259">
        <v>0.058999999999999997</v>
      </c>
      <c r="X132" s="259">
        <v>0.113</v>
      </c>
      <c r="Y132" s="259">
        <v>0.11600000000000001</v>
      </c>
      <c r="Z132" s="259">
        <v>0.12</v>
      </c>
      <c r="AA132" s="259">
        <v>0.123</v>
      </c>
      <c r="AB132" s="259">
        <v>0.087999999999999995</v>
      </c>
      <c r="AC132" s="259">
        <v>0</v>
      </c>
      <c r="AD132" s="259">
        <v>0</v>
      </c>
    </row>
    <row r="135" spans="1:27" ht="15.75">
      <c r="A135" s="249" t="s">
        <v>190</v>
      </c>
      <c r="E135" s="257">
        <v>2012</v>
      </c>
      <c r="F135" s="257">
        <v>2013</v>
      </c>
      <c r="G135" s="257">
        <v>2014</v>
      </c>
      <c r="H135" s="257">
        <v>2015</v>
      </c>
      <c r="I135" s="257">
        <v>2016</v>
      </c>
      <c r="J135" s="257">
        <v>2017</v>
      </c>
      <c r="K135" s="257">
        <v>2018</v>
      </c>
      <c r="L135" s="257">
        <v>2019</v>
      </c>
      <c r="M135" s="257">
        <v>2020</v>
      </c>
      <c r="N135" s="257">
        <v>2021</v>
      </c>
      <c r="O135" s="257">
        <v>2022</v>
      </c>
      <c r="P135" s="258">
        <v>2023</v>
      </c>
      <c r="Q135" s="257">
        <v>2024</v>
      </c>
      <c r="R135" s="257">
        <v>2025</v>
      </c>
      <c r="S135" s="257">
        <v>2026</v>
      </c>
      <c r="T135" s="257">
        <v>2027</v>
      </c>
      <c r="U135" s="257">
        <v>2028</v>
      </c>
      <c r="V135" s="257">
        <v>2029</v>
      </c>
      <c r="W135" s="257">
        <v>2030</v>
      </c>
      <c r="X135" s="257">
        <v>2031</v>
      </c>
      <c r="Y135" s="257">
        <v>2032</v>
      </c>
      <c r="Z135" s="257">
        <v>2033</v>
      </c>
      <c r="AA135" s="257">
        <v>2034</v>
      </c>
    </row>
    <row r="136" spans="1:27" ht="15.75">
      <c r="A136" s="231" t="s">
        <v>189</v>
      </c>
      <c r="B136" s="240">
        <f>(1.25%+1.5%+0.53%)</f>
        <v>0.032800000000000003</v>
      </c>
      <c r="E136" s="236">
        <v>0</v>
      </c>
      <c r="F136" s="236">
        <v>0</v>
      </c>
      <c r="G136" s="236">
        <f>F141</f>
        <v>169000</v>
      </c>
      <c r="H136" s="236">
        <f>G141</f>
        <v>157000</v>
      </c>
      <c r="I136" s="236">
        <f>H141</f>
        <v>182333.33333333334</v>
      </c>
      <c r="J136" s="236">
        <f>I141</f>
        <v>167666.66666666669</v>
      </c>
      <c r="K136" s="236">
        <f>J141</f>
        <v>153000.00000000003</v>
      </c>
      <c r="L136" s="236">
        <f>K141</f>
        <v>138333.33333333337</v>
      </c>
      <c r="M136" s="236">
        <f>L141</f>
        <v>123666.6666666667</v>
      </c>
      <c r="N136" s="236">
        <f>M141</f>
        <v>109000.00000000003</v>
      </c>
      <c r="O136" s="236">
        <f>N141</f>
        <v>94333.333333333358</v>
      </c>
      <c r="P136" s="237">
        <f>O141</f>
        <v>79666.666666666686</v>
      </c>
      <c r="Q136" s="236">
        <f>P141</f>
        <v>65000.000000000022</v>
      </c>
      <c r="R136" s="236">
        <f>Q141</f>
        <v>50333.333333333365</v>
      </c>
      <c r="S136" s="236">
        <f>R141</f>
        <v>35666.666666666701</v>
      </c>
      <c r="T136" s="236">
        <f>S141</f>
        <v>21000.000000000036</v>
      </c>
      <c r="U136" s="236">
        <f>T141</f>
        <v>6333.3333333333703</v>
      </c>
      <c r="V136" s="236">
        <f>U141</f>
        <v>2666.6666666667038</v>
      </c>
      <c r="W136" s="236">
        <f>V141</f>
        <v>3.7289282772690058E-11</v>
      </c>
      <c r="X136" s="236">
        <f>W141</f>
        <v>3.7289282772690058E-11</v>
      </c>
      <c r="Y136" s="236">
        <f>X141</f>
        <v>3.7289282772690058E-11</v>
      </c>
      <c r="Z136" s="236">
        <f>Y141</f>
        <v>3.7289282772690058E-11</v>
      </c>
      <c r="AA136" s="236">
        <f>Z141</f>
        <v>3.7289282772690058E-11</v>
      </c>
    </row>
    <row r="137" spans="1:27" ht="15.75">
      <c r="A137" s="231" t="s">
        <v>188</v>
      </c>
      <c r="E137" s="236">
        <v>0</v>
      </c>
      <c r="F137" s="236">
        <v>0</v>
      </c>
      <c r="G137" s="236">
        <v>0</v>
      </c>
      <c r="H137" s="236">
        <v>40000</v>
      </c>
      <c r="I137" s="236">
        <f>0</f>
        <v>0</v>
      </c>
      <c r="J137" s="236">
        <f>0</f>
        <v>0</v>
      </c>
      <c r="K137" s="236">
        <f>0</f>
        <v>0</v>
      </c>
      <c r="L137" s="236">
        <f>0</f>
        <v>0</v>
      </c>
      <c r="M137" s="236">
        <f>0</f>
        <v>0</v>
      </c>
      <c r="N137" s="236">
        <f>0</f>
        <v>0</v>
      </c>
      <c r="O137" s="236">
        <f>0</f>
        <v>0</v>
      </c>
      <c r="P137" s="237">
        <f>0</f>
        <v>0</v>
      </c>
      <c r="Q137" s="236">
        <f>0</f>
        <v>0</v>
      </c>
      <c r="R137" s="236">
        <f>0</f>
        <v>0</v>
      </c>
      <c r="S137" s="236">
        <f>0</f>
        <v>0</v>
      </c>
      <c r="T137" s="236">
        <f>0</f>
        <v>0</v>
      </c>
      <c r="U137" s="236">
        <f>0</f>
        <v>0</v>
      </c>
      <c r="V137" s="236">
        <f>0</f>
        <v>0</v>
      </c>
      <c r="W137" s="236">
        <f>0</f>
        <v>0</v>
      </c>
      <c r="X137" s="236">
        <f>0</f>
        <v>0</v>
      </c>
      <c r="Y137" s="236">
        <f>0</f>
        <v>0</v>
      </c>
      <c r="Z137" s="236">
        <f>0</f>
        <v>0</v>
      </c>
      <c r="AA137" s="236">
        <f>0</f>
        <v>0</v>
      </c>
    </row>
    <row r="138" spans="1:27" ht="15.75">
      <c r="A138" s="231" t="s">
        <v>187</v>
      </c>
      <c r="D138" s="256"/>
      <c r="E138" s="236">
        <v>0</v>
      </c>
      <c r="F138" s="236">
        <v>0</v>
      </c>
      <c r="G138" s="236">
        <f>G136*$B$136</f>
        <v>5543.2000000000007</v>
      </c>
      <c r="H138" s="236">
        <f>H136*$B$136</f>
        <v>5149.6000000000004</v>
      </c>
      <c r="I138" s="236">
        <f>I136*$B$136</f>
        <v>5980.5333333333338</v>
      </c>
      <c r="J138" s="236">
        <f>J136*$B$136</f>
        <v>5499.4666666666681</v>
      </c>
      <c r="K138" s="236">
        <f>K136*$B$136</f>
        <v>5018.4000000000015</v>
      </c>
      <c r="L138" s="236">
        <f>L136*$B$136</f>
        <v>4537.3333333333348</v>
      </c>
      <c r="M138" s="236">
        <f>M136*$B$136</f>
        <v>4056.2666666666682</v>
      </c>
      <c r="N138" s="236">
        <f>N136*$B$136</f>
        <v>3575.2000000000012</v>
      </c>
      <c r="O138" s="236">
        <f>O136*$B$136</f>
        <v>3094.1333333333346</v>
      </c>
      <c r="P138" s="237">
        <f>P136*$B$136</f>
        <v>2613.0666666666675</v>
      </c>
      <c r="Q138" s="236">
        <f>Q136*$B$136</f>
        <v>2132.0000000000009</v>
      </c>
      <c r="R138" s="236">
        <f>R136*$B$136</f>
        <v>1650.9333333333345</v>
      </c>
      <c r="S138" s="236">
        <f>S136*$B$136</f>
        <v>1169.8666666666679</v>
      </c>
      <c r="T138" s="236">
        <f>T136*$B$136</f>
        <v>688.80000000000121</v>
      </c>
      <c r="U138" s="236">
        <f>U136*$B$136</f>
        <v>207.73333333333457</v>
      </c>
      <c r="V138" s="236">
        <f>V136*$B$136</f>
        <v>87.466666666667891</v>
      </c>
      <c r="W138" s="236">
        <f>W136*$B$136</f>
        <v>1.2230884749442341E-12</v>
      </c>
      <c r="X138" s="236">
        <f>X136*$B$136</f>
        <v>1.2230884749442341E-12</v>
      </c>
      <c r="Y138" s="236">
        <f>Y136*$B$136</f>
        <v>1.2230884749442341E-12</v>
      </c>
      <c r="Z138" s="236">
        <f>Z136*$B$136</f>
        <v>1.2230884749442341E-12</v>
      </c>
      <c r="AA138" s="236">
        <f>AA136*$B$136</f>
        <v>1.2230884749442341E-12</v>
      </c>
    </row>
    <row r="139" spans="1:27" ht="15.75">
      <c r="A139" s="231" t="s">
        <v>186</v>
      </c>
      <c r="D139" s="256"/>
      <c r="E139" s="247">
        <v>0</v>
      </c>
      <c r="F139" s="247">
        <v>0</v>
      </c>
      <c r="G139" s="247">
        <f>-G138</f>
        <v>-5543.2000000000007</v>
      </c>
      <c r="H139" s="247">
        <f>-H138</f>
        <v>-5149.6000000000004</v>
      </c>
      <c r="I139" s="247">
        <f>-I138</f>
        <v>-5980.5333333333338</v>
      </c>
      <c r="J139" s="247">
        <f>-J138</f>
        <v>-5499.4666666666681</v>
      </c>
      <c r="K139" s="247">
        <f>-K138</f>
        <v>-5018.4000000000015</v>
      </c>
      <c r="L139" s="247">
        <f>-L138</f>
        <v>-4537.3333333333348</v>
      </c>
      <c r="M139" s="247">
        <f>-M138</f>
        <v>-4056.2666666666682</v>
      </c>
      <c r="N139" s="247">
        <f>-N138</f>
        <v>-3575.2000000000012</v>
      </c>
      <c r="O139" s="247">
        <f>-O138</f>
        <v>-3094.1333333333346</v>
      </c>
      <c r="P139" s="248">
        <f>-P138</f>
        <v>-2613.0666666666675</v>
      </c>
      <c r="Q139" s="247">
        <f>-Q138</f>
        <v>-2132.0000000000009</v>
      </c>
      <c r="R139" s="247">
        <f>-R138</f>
        <v>-1650.9333333333345</v>
      </c>
      <c r="S139" s="247">
        <f>-S138</f>
        <v>-1169.8666666666679</v>
      </c>
      <c r="T139" s="247">
        <f>-T138</f>
        <v>-688.80000000000121</v>
      </c>
      <c r="U139" s="247">
        <f>-U138</f>
        <v>-207.73333333333457</v>
      </c>
      <c r="V139" s="247">
        <f>-V138</f>
        <v>-87.466666666667891</v>
      </c>
      <c r="W139" s="247">
        <f>-W138</f>
        <v>-1.2230884749442341E-12</v>
      </c>
      <c r="X139" s="247">
        <f>-X138</f>
        <v>-1.2230884749442341E-12</v>
      </c>
      <c r="Y139" s="247">
        <f>-Y138</f>
        <v>-1.2230884749442341E-12</v>
      </c>
      <c r="Z139" s="247">
        <f>-Z138</f>
        <v>-1.2230884749442341E-12</v>
      </c>
      <c r="AA139" s="247">
        <f>-AA138</f>
        <v>-1.2230884749442341E-12</v>
      </c>
    </row>
    <row r="140" spans="1:27" ht="16.5" thickBot="1">
      <c r="A140" s="255" t="s">
        <v>185</v>
      </c>
      <c r="B140" s="254"/>
      <c r="C140" s="254"/>
      <c r="D140" s="252"/>
      <c r="E140" s="252">
        <v>0</v>
      </c>
      <c r="F140" s="252">
        <v>0</v>
      </c>
      <c r="G140" s="252">
        <f>-180000/15</f>
        <v>-12000</v>
      </c>
      <c r="H140" s="252">
        <f>-(180000/15+40000/15)</f>
        <v>-14666.666666666666</v>
      </c>
      <c r="I140" s="252">
        <f>-(180000/15+40000/15)</f>
        <v>-14666.666666666666</v>
      </c>
      <c r="J140" s="252">
        <f>-(180000/15+40000/15)</f>
        <v>-14666.666666666666</v>
      </c>
      <c r="K140" s="252">
        <f>-(180000/15+40000/15)</f>
        <v>-14666.666666666666</v>
      </c>
      <c r="L140" s="252">
        <f>-(180000/15+40000/15)</f>
        <v>-14666.666666666666</v>
      </c>
      <c r="M140" s="252">
        <f>-(180000/15+40000/15)</f>
        <v>-14666.666666666666</v>
      </c>
      <c r="N140" s="252">
        <f>-(180000/15+40000/15)</f>
        <v>-14666.666666666666</v>
      </c>
      <c r="O140" s="252">
        <f>-(180000/15+40000/15)</f>
        <v>-14666.666666666666</v>
      </c>
      <c r="P140" s="253">
        <f>-(180000/15+40000/15)</f>
        <v>-14666.666666666666</v>
      </c>
      <c r="Q140" s="252">
        <f>-(180000/15+40000/15)</f>
        <v>-14666.666666666666</v>
      </c>
      <c r="R140" s="252">
        <f>-(180000/15+40000/15)</f>
        <v>-14666.666666666666</v>
      </c>
      <c r="S140" s="252">
        <f>-(180000/15+40000/15)</f>
        <v>-14666.666666666666</v>
      </c>
      <c r="T140" s="252">
        <f>-(180000/15+40000/15)</f>
        <v>-14666.666666666666</v>
      </c>
      <c r="U140" s="252">
        <f>-(40000/15)-1000</f>
        <v>-3666.6666666666665</v>
      </c>
      <c r="V140" s="252">
        <f>-(40000/15)</f>
        <v>-2666.6666666666665</v>
      </c>
      <c r="W140" s="252">
        <f>0</f>
        <v>0</v>
      </c>
      <c r="X140" s="252">
        <f>0</f>
        <v>0</v>
      </c>
      <c r="Y140" s="252">
        <f>0</f>
        <v>0</v>
      </c>
      <c r="Z140" s="252">
        <f>0</f>
        <v>0</v>
      </c>
      <c r="AA140" s="252">
        <f>0</f>
        <v>0</v>
      </c>
    </row>
    <row r="141" spans="1:27" s="249" customFormat="1" ht="16.5" thickTop="1">
      <c r="A141" s="249" t="s">
        <v>184</v>
      </c>
      <c r="B141" s="251">
        <f>MAX(E141:W141)</f>
        <v>182333.33333333334</v>
      </c>
      <c r="C141" s="251"/>
      <c r="E141" s="251">
        <v>0</v>
      </c>
      <c r="F141" s="251">
        <f>170519-1519</f>
        <v>169000</v>
      </c>
      <c r="G141" s="251">
        <f>SUM(G136:G140)</f>
        <v>157000</v>
      </c>
      <c r="H141" s="251">
        <f>SUM(H136:H140)</f>
        <v>182333.33333333334</v>
      </c>
      <c r="I141" s="251">
        <f>SUM(I136:I140)</f>
        <v>167666.66666666669</v>
      </c>
      <c r="J141" s="251">
        <f>SUM(J136:J140)</f>
        <v>153000.00000000003</v>
      </c>
      <c r="K141" s="251">
        <f>SUM(K136:K140)</f>
        <v>138333.33333333337</v>
      </c>
      <c r="L141" s="251">
        <f>SUM(L136:L140)</f>
        <v>123666.6666666667</v>
      </c>
      <c r="M141" s="251">
        <f>SUM(M136:M140)</f>
        <v>109000.00000000003</v>
      </c>
      <c r="N141" s="251">
        <f>SUM(N136:N140)</f>
        <v>94333.333333333358</v>
      </c>
      <c r="O141" s="251">
        <f>SUM(O136:O140)</f>
        <v>79666.666666666686</v>
      </c>
      <c r="P141" s="250">
        <f>SUM(P136:P140)</f>
        <v>65000.000000000022</v>
      </c>
      <c r="Q141" s="251">
        <f>SUM(Q136:Q140)</f>
        <v>50333.333333333365</v>
      </c>
      <c r="R141" s="251">
        <f>SUM(R136:R140)</f>
        <v>35666.666666666701</v>
      </c>
      <c r="S141" s="251">
        <f>SUM(S136:S140)</f>
        <v>21000.000000000036</v>
      </c>
      <c r="T141" s="251">
        <f>SUM(T136:T140)</f>
        <v>6333.3333333333703</v>
      </c>
      <c r="U141" s="251">
        <f>SUM(U136:U140)</f>
        <v>2666.6666666667038</v>
      </c>
      <c r="V141" s="251">
        <f>SUM(V136:V140)</f>
        <v>3.7289282772690058E-11</v>
      </c>
      <c r="W141" s="251">
        <f>SUM(W136:W140)</f>
        <v>3.7289282772690058E-11</v>
      </c>
      <c r="X141" s="251">
        <f>SUM(X136:X140)</f>
        <v>3.7289282772690058E-11</v>
      </c>
      <c r="Y141" s="251">
        <f>SUM(Y136:Y140)</f>
        <v>3.7289282772690058E-11</v>
      </c>
      <c r="Z141" s="251">
        <f>SUM(Z136:Z140)</f>
        <v>3.7289282772690058E-11</v>
      </c>
      <c r="AA141" s="251">
        <f>SUM(AA136:AA140)</f>
        <v>3.7289282772690058E-11</v>
      </c>
    </row>
    <row r="142" spans="1:7" ht="15.75">
      <c r="A142" s="249"/>
      <c r="B142" s="249"/>
      <c r="C142" s="249"/>
      <c r="D142" s="249"/>
      <c r="E142" s="249"/>
      <c r="F142" s="249"/>
      <c r="G142" s="236"/>
    </row>
    <row r="143" spans="1:20" ht="15.75">
      <c r="A143" s="249" t="s">
        <v>183</v>
      </c>
      <c r="B143" s="249">
        <v>15</v>
      </c>
      <c r="C143" s="249"/>
      <c r="D143" s="249"/>
      <c r="E143" s="249"/>
      <c r="F143" s="249">
        <v>1</v>
      </c>
      <c r="G143" s="231">
        <f>F143+1</f>
        <v>2</v>
      </c>
      <c r="H143" s="231">
        <f>G143+1</f>
        <v>3</v>
      </c>
      <c r="I143" s="231">
        <f>H143+1</f>
        <v>4</v>
      </c>
      <c r="J143" s="231">
        <f>I143+1</f>
        <v>5</v>
      </c>
      <c r="K143" s="231">
        <f>J143+1</f>
        <v>6</v>
      </c>
      <c r="L143" s="231">
        <f>K143+1</f>
        <v>7</v>
      </c>
      <c r="M143" s="231">
        <f>L143+1</f>
        <v>8</v>
      </c>
      <c r="N143" s="231">
        <f>M143+1</f>
        <v>9</v>
      </c>
      <c r="O143" s="231">
        <f>N143+1</f>
        <v>10</v>
      </c>
      <c r="P143" s="232">
        <f>O143+1</f>
        <v>11</v>
      </c>
      <c r="Q143" s="231">
        <f>P143+1</f>
        <v>12</v>
      </c>
      <c r="R143" s="231">
        <f>Q143+1</f>
        <v>13</v>
      </c>
      <c r="S143" s="231">
        <f>R143+1</f>
        <v>14</v>
      </c>
      <c r="T143" s="231">
        <f>S143+1</f>
        <v>15</v>
      </c>
    </row>
    <row r="144" spans="1:22" ht="15.75">
      <c r="A144" s="249" t="s">
        <v>182</v>
      </c>
      <c r="B144" s="249">
        <v>15</v>
      </c>
      <c r="C144" s="249"/>
      <c r="D144" s="249"/>
      <c r="E144" s="249"/>
      <c r="F144" s="249"/>
      <c r="H144" s="231">
        <v>1</v>
      </c>
      <c r="I144" s="231">
        <f>H144+1</f>
        <v>2</v>
      </c>
      <c r="J144" s="231">
        <f>I144+1</f>
        <v>3</v>
      </c>
      <c r="K144" s="231">
        <f>J144+1</f>
        <v>4</v>
      </c>
      <c r="L144" s="231">
        <f>K144+1</f>
        <v>5</v>
      </c>
      <c r="M144" s="231">
        <f>L144+1</f>
        <v>6</v>
      </c>
      <c r="N144" s="231">
        <f>M144+1</f>
        <v>7</v>
      </c>
      <c r="O144" s="231">
        <f>N144+1</f>
        <v>8</v>
      </c>
      <c r="P144" s="232">
        <f>O144+1</f>
        <v>9</v>
      </c>
      <c r="Q144" s="231">
        <f>P144+1</f>
        <v>10</v>
      </c>
      <c r="R144" s="231">
        <f>Q144+1</f>
        <v>11</v>
      </c>
      <c r="S144" s="231">
        <f>R144+1</f>
        <v>12</v>
      </c>
      <c r="T144" s="231">
        <f>S144+1</f>
        <v>13</v>
      </c>
      <c r="U144" s="231">
        <f>T144+1</f>
        <v>14</v>
      </c>
      <c r="V144" s="231">
        <f>U144+1</f>
        <v>15</v>
      </c>
    </row>
    <row r="145" spans="1:6" ht="15.75">
      <c r="A145" s="249" t="s">
        <v>181</v>
      </c>
      <c r="B145" s="249"/>
      <c r="C145" s="249"/>
      <c r="D145" s="249"/>
      <c r="E145" s="250">
        <v>4000000</v>
      </c>
      <c r="F145" s="249" t="s">
        <v>180</v>
      </c>
    </row>
    <row r="146" spans="7:27" ht="15.75" hidden="1">
      <c r="G146" s="236">
        <f>G141+G122+G113</f>
        <v>647000</v>
      </c>
      <c r="H146" s="236">
        <f>H141+H122+H113</f>
        <v>782333.33333333337</v>
      </c>
      <c r="I146" s="236">
        <f>I141+I122+I113</f>
        <v>767666.66666666674</v>
      </c>
      <c r="J146" s="236">
        <f>J141+J122+J113</f>
        <v>724200</v>
      </c>
      <c r="K146" s="236">
        <f>K141+K122+K113</f>
        <v>702228.94606485753</v>
      </c>
      <c r="L146" s="236">
        <f>L141+L122+L113</f>
        <v>981629.70507489995</v>
      </c>
      <c r="M146" s="236">
        <f>M141+M122+M113</f>
        <v>1158761.8505597888</v>
      </c>
      <c r="N146" s="236">
        <f>N141+N122+N113</f>
        <v>1284633.1134328938</v>
      </c>
      <c r="O146" s="236">
        <f>O141+O122+O113</f>
        <v>1250536.1062616883</v>
      </c>
      <c r="P146" s="237">
        <f>P141+P122+P113</f>
        <v>1153515.1235619597</v>
      </c>
      <c r="Q146" s="236">
        <f>Q141+Q122+Q113</f>
        <v>1051443.6484331403</v>
      </c>
      <c r="R146" s="236">
        <f>R141+R122+R113</f>
        <v>946673.81462506973</v>
      </c>
      <c r="S146" s="236">
        <f>S141+S122+S113</f>
        <v>836756.17630133277</v>
      </c>
      <c r="T146" s="236">
        <f>T141+T122+T113</f>
        <v>722839.65591291245</v>
      </c>
      <c r="U146" s="236">
        <f>U141+U122+U113</f>
        <v>608671.49035167438</v>
      </c>
      <c r="V146" s="236">
        <f>V141+V122+V113</f>
        <v>491397.1753269154</v>
      </c>
      <c r="W146" s="236">
        <f>W141+W122+W113</f>
        <v>371427.07457300607</v>
      </c>
      <c r="X146" s="236">
        <f>X141+X122+X113</f>
        <v>314436.36049421772</v>
      </c>
      <c r="Y146" s="236">
        <f>Y141+Y122+Y113</f>
        <v>255564.95285082932</v>
      </c>
      <c r="Z146" s="236">
        <f>Z141+Z122+Z113</f>
        <v>194750.7887552091</v>
      </c>
      <c r="AA146" s="236">
        <f>AA141+AA122+AA113</f>
        <v>131929.75724443342</v>
      </c>
    </row>
    <row r="147" spans="7:29" ht="15.75" hidden="1">
      <c r="G147" s="247">
        <f>G112+G121+G140+G130</f>
        <v>-12000</v>
      </c>
      <c r="H147" s="247">
        <f>H112+H121+H140+H130</f>
        <v>-14666.666666666666</v>
      </c>
      <c r="I147" s="247">
        <f>I112+I121+I140+I130</f>
        <v>-14666.666666666666</v>
      </c>
      <c r="J147" s="247">
        <f>J112+J121+J140+J130</f>
        <v>-43466.666666666664</v>
      </c>
      <c r="K147" s="247">
        <f>K112+K121+K140+K130</f>
        <v>-57866.666666666664</v>
      </c>
      <c r="L147" s="247">
        <f>L112+L121+L140+L130</f>
        <v>-59066.666666666672</v>
      </c>
      <c r="M147" s="247">
        <f>M112+M121+M140+M130</f>
        <v>-62666.666666666664</v>
      </c>
      <c r="N147" s="247">
        <f>N112+N121+N140+N130</f>
        <v>-66866.666666666657</v>
      </c>
      <c r="O147" s="247">
        <f>O112+O121+O140+O130</f>
        <v>-110616.82739567135</v>
      </c>
      <c r="P147" s="248">
        <f>P112+P121+P140+P130</f>
        <v>-115620.9826997285</v>
      </c>
      <c r="Q147" s="247">
        <f>Q112+Q121+Q140+Q130</f>
        <v>-118271.47512881956</v>
      </c>
      <c r="R147" s="247">
        <f>R112+R121+R140+R130</f>
        <v>-123969.8338080706</v>
      </c>
      <c r="S147" s="247">
        <f>S112+S121+S140+S130</f>
        <v>-129717.63832373693</v>
      </c>
      <c r="T147" s="247">
        <f>T112+T121+T140+T130</f>
        <v>-135516.52038842024</v>
      </c>
      <c r="U147" s="247">
        <f>U112+U121+U140+U130</f>
        <v>-141768.16556123813</v>
      </c>
      <c r="V147" s="247">
        <f>V112+V121+V140+V130</f>
        <v>-148474.31502475898</v>
      </c>
      <c r="W147" s="247">
        <f>W112+W121+W140+W130</f>
        <v>-155370.10075390936</v>
      </c>
      <c r="X147" s="247">
        <f>X112+X121+X140+X130</f>
        <v>-124790.71407878836</v>
      </c>
      <c r="Y147" s="247">
        <f>Y112+Y121+Y140+Y130</f>
        <v>-128471.40764338838</v>
      </c>
      <c r="Z147" s="247">
        <f>Z112+Z121+Z140+Z130</f>
        <v>-132814.16409562019</v>
      </c>
      <c r="AA147" s="247">
        <f>AA112+AA121+AA140+AA130</f>
        <v>-136621.03151077568</v>
      </c>
      <c r="AB147" s="247">
        <f>AB112+AB121+AB140+AB130</f>
        <v>-117694.12555063126</v>
      </c>
      <c r="AC147" s="247">
        <f>AC112+AC121+AC140+AC130</f>
        <v>-67035.631693802075</v>
      </c>
    </row>
    <row r="148" spans="7:27" ht="15.75" hidden="1">
      <c r="G148" s="236">
        <f>G10</f>
        <v>-12000</v>
      </c>
      <c r="H148" s="236">
        <f>H10</f>
        <v>-14666.666666666666</v>
      </c>
      <c r="I148" s="236">
        <f>I10</f>
        <v>-14666.666666666666</v>
      </c>
      <c r="J148" s="236">
        <f>J10</f>
        <v>-43466.666666666664</v>
      </c>
      <c r="K148" s="236">
        <f>K10</f>
        <v>-57866.666666666664</v>
      </c>
      <c r="L148" s="236">
        <f>L10</f>
        <v>-59066.666666666672</v>
      </c>
      <c r="M148" s="236">
        <f>M10</f>
        <v>-62666.666666666664</v>
      </c>
      <c r="N148" s="236">
        <f>N10</f>
        <v>-66866.666666666657</v>
      </c>
      <c r="O148" s="236">
        <f>O10</f>
        <v>-114152.34961726867</v>
      </c>
      <c r="P148" s="237">
        <f>P10</f>
        <v>-119273.17715463853</v>
      </c>
      <c r="Q148" s="236">
        <f>Q10</f>
        <v>-122044.19200074162</v>
      </c>
      <c r="R148" s="236">
        <f>R10</f>
        <v>-127867.05033676609</v>
      </c>
      <c r="S148" s="236">
        <f>S10</f>
        <v>-133743.46299787937</v>
      </c>
      <c r="T148" s="236">
        <f>T10</f>
        <v>-139675.19727680937</v>
      </c>
      <c r="U148" s="236">
        <f>U10</f>
        <v>-146064.0787869441</v>
      </c>
      <c r="V148" s="236">
        <f>V10</f>
        <v>-152911.99338691324</v>
      </c>
      <c r="W148" s="236">
        <f>W10</f>
        <v>-159954.22250201472</v>
      </c>
      <c r="X148" s="236">
        <f>X10</f>
        <v>-129526.1118445812</v>
      </c>
      <c r="Y148" s="236">
        <f>Y10</f>
        <v>-133363.07353545236</v>
      </c>
      <c r="Z148" s="236">
        <f>Z10</f>
        <v>-137867.2549621223</v>
      </c>
      <c r="AA148" s="236">
        <f>AA10</f>
        <v>-141840.87437587234</v>
      </c>
    </row>
    <row r="149" spans="5:27" ht="15.75" hidden="1">
      <c r="E149" s="247">
        <f>SUM(G149:AA149)</f>
        <v>56259.862365077672</v>
      </c>
      <c r="G149" s="247">
        <f>G147-G148</f>
        <v>0</v>
      </c>
      <c r="H149" s="247">
        <f>H147-H148</f>
        <v>0</v>
      </c>
      <c r="I149" s="247">
        <f>I147-I148</f>
        <v>0</v>
      </c>
      <c r="J149" s="247">
        <f>J147-J148</f>
        <v>0</v>
      </c>
      <c r="K149" s="247">
        <f>K147-K148</f>
        <v>0</v>
      </c>
      <c r="L149" s="247">
        <f>L147-L148</f>
        <v>0</v>
      </c>
      <c r="M149" s="247">
        <f>M147-M148</f>
        <v>0</v>
      </c>
      <c r="N149" s="247">
        <f>N147-N148</f>
        <v>0</v>
      </c>
      <c r="O149" s="247">
        <f>O147-O148</f>
        <v>3535.522221597319</v>
      </c>
      <c r="P149" s="248">
        <f>P147-P148</f>
        <v>3652.1944549100299</v>
      </c>
      <c r="Q149" s="247">
        <f>Q147-Q148</f>
        <v>3772.7168719220645</v>
      </c>
      <c r="R149" s="247">
        <f>R147-R148</f>
        <v>3897.2165286954842</v>
      </c>
      <c r="S149" s="247">
        <f>S147-S148</f>
        <v>4025.8246741424373</v>
      </c>
      <c r="T149" s="247">
        <f>T147-T148</f>
        <v>4158.6768883891345</v>
      </c>
      <c r="U149" s="247">
        <f>U147-U148</f>
        <v>4295.9132257059682</v>
      </c>
      <c r="V149" s="247">
        <f>V147-V148</f>
        <v>4437.6783621542563</v>
      </c>
      <c r="W149" s="247">
        <f>W147-W148</f>
        <v>4584.1217481053609</v>
      </c>
      <c r="X149" s="247">
        <f>X147-X148</f>
        <v>4735.3977657928481</v>
      </c>
      <c r="Y149" s="247">
        <f>Y147-Y148</f>
        <v>4891.6658920639893</v>
      </c>
      <c r="Z149" s="247">
        <f>Z147-Z148</f>
        <v>5053.0908665021125</v>
      </c>
      <c r="AA149" s="247">
        <f>AA147-AA148</f>
        <v>5219.8428650966671</v>
      </c>
    </row>
    <row r="150" spans="5:27" ht="15.75" hidden="1">
      <c r="E150" s="245">
        <f>E26-E47</f>
        <v>0</v>
      </c>
      <c r="F150" s="245">
        <f>F26-F47</f>
        <v>0</v>
      </c>
      <c r="G150" s="245">
        <f>G26-G47</f>
        <v>0</v>
      </c>
      <c r="H150" s="245">
        <f>H26-H47</f>
        <v>0</v>
      </c>
      <c r="I150" s="245">
        <f>I26-I47</f>
        <v>1.2514647096395493E-09</v>
      </c>
      <c r="J150" s="245">
        <f>J26-J47</f>
        <v>-221.62491971232521</v>
      </c>
      <c r="K150" s="245">
        <f>K26-K47</f>
        <v>-667.09100826781651</v>
      </c>
      <c r="L150" s="245">
        <f>L26-L47</f>
        <v>-1117.0117573763491</v>
      </c>
      <c r="M150" s="245">
        <f>M26-M47</f>
        <v>-1571.4317129677802</v>
      </c>
      <c r="N150" s="245">
        <f>N26-N47</f>
        <v>-2030.3958655707975</v>
      </c>
      <c r="O150" s="245">
        <f>O26-O47</f>
        <v>-2239.6727564579924</v>
      </c>
      <c r="P150" s="246">
        <f>P26-P47</f>
        <v>-2101.6536382894119</v>
      </c>
      <c r="Q150" s="245">
        <f>Q26-Q47</f>
        <v>-1981.1312228644601</v>
      </c>
      <c r="R150" s="245">
        <f>R26-R47</f>
        <v>-1856.6315677304665</v>
      </c>
      <c r="S150" s="245">
        <f>S26-S47</f>
        <v>-1728.0234239770653</v>
      </c>
      <c r="T150" s="245">
        <f>T26-T47</f>
        <v>-1595.171211479792</v>
      </c>
      <c r="U150" s="245">
        <f>U26-U47</f>
        <v>-1457.9348759701243</v>
      </c>
      <c r="V150" s="245">
        <f>V26-V47</f>
        <v>-1316.1697413886213</v>
      </c>
      <c r="W150" s="245">
        <f>W26-W47</f>
        <v>-1169.7263573659438</v>
      </c>
      <c r="X150" s="245">
        <f>X26-X47</f>
        <v>-1018.4503416705084</v>
      </c>
      <c r="Y150" s="245">
        <f>Y26-Y47</f>
        <v>-862.18221745712071</v>
      </c>
      <c r="Z150" s="245">
        <f>Z26-Z47</f>
        <v>-700.75724514469766</v>
      </c>
      <c r="AA150" s="245">
        <f>AA26-AA47</f>
        <v>-534.00524874596522</v>
      </c>
    </row>
    <row r="151" spans="4:4" ht="15.75" hidden="1">
      <c r="D151" s="245">
        <f>SUM(E150:W150)</f>
        <v>-21053.670059417695</v>
      </c>
    </row>
    <row r="152" ht="15.75" hidden="1"/>
    <row r="153" spans="1:1" ht="15.75" hidden="1">
      <c r="A153" s="244" t="s">
        <v>179</v>
      </c>
    </row>
    <row r="154" spans="1:27" ht="15.75" hidden="1">
      <c r="A154" s="231" t="s">
        <v>177</v>
      </c>
      <c r="E154" s="236">
        <f>SUM(H154:AA154)</f>
        <v>8016100.0135080721</v>
      </c>
      <c r="F154" s="236"/>
      <c r="G154" s="236"/>
      <c r="H154" s="236">
        <f>-((H120+H121)/(1+$B$116)^(H116-$G$116))*(H116-$G$116)</f>
        <v>0</v>
      </c>
      <c r="I154" s="236">
        <f>-((I120+I121)/(1+$B$116)^(I116-$G$116))*(I116-$G$116)</f>
        <v>0</v>
      </c>
      <c r="J154" s="236">
        <f>-((J120+J121)/(1+$B$116)^(J116-$G$116))*(J116-$G$116)</f>
        <v>0</v>
      </c>
      <c r="K154" s="236">
        <f>-((K120+K121)/(1+$B$116)^(K116-$G$116))*(K116-$G$116)</f>
        <v>1315.4809452060299</v>
      </c>
      <c r="L154" s="236">
        <f>-((L120+L121)/(1+$B$116)^(L116-$G$116))*(L116-$G$116)</f>
        <v>25997.194411696568</v>
      </c>
      <c r="M154" s="236">
        <f>-((M120+M121)/(1+$B$116)^(M116-$G$116))*(M116-$G$116)</f>
        <v>75066.483018743922</v>
      </c>
      <c r="N154" s="236">
        <f>-((N120+N121)/(1+$B$116)^(N116-$G$116))*(N116-$G$116)</f>
        <v>121765.83561789415</v>
      </c>
      <c r="O154" s="236">
        <f>-((O120+O121)/(1+$B$116)^(O116-$G$116))*(O116-$G$116)</f>
        <v>421242.46237385005</v>
      </c>
      <c r="P154" s="237">
        <f>-((P120+P121)/(1+$B$116)^(P116-$G$116))*(P116-$G$116)</f>
        <v>465313.49005114345</v>
      </c>
      <c r="Q154" s="236">
        <f>-((Q120+Q121)/(1+$B$116)^(Q116-$G$116))*(Q116-$G$116)</f>
        <v>500498.53721753636</v>
      </c>
      <c r="R154" s="236">
        <f>-((R120+R121)/(1+$B$116)^(R116-$G$116))*(R116-$G$116)</f>
        <v>532960.68822777341</v>
      </c>
      <c r="S154" s="236">
        <f>-((S120+S121)/(1+$B$116)^(S116-$G$116))*(S116-$G$116)</f>
        <v>562838.00569684792</v>
      </c>
      <c r="T154" s="236">
        <f>-((T120+T121)/(1+$B$116)^(T116-$G$116))*(T116-$G$116)</f>
        <v>590262.51000798843</v>
      </c>
      <c r="U154" s="236">
        <f>-((U120+U121)/(1+$B$116)^(U116-$G$116))*(U116-$G$116)</f>
        <v>615360.42446286685</v>
      </c>
      <c r="V154" s="236">
        <f>-((V120+V121)/(1+$B$116)^(V116-$G$116))*(V116-$G$116)</f>
        <v>638252.4109350713</v>
      </c>
      <c r="W154" s="236">
        <f>-((W120+W121)/(1+$B$116)^(W116-$G$116))*(W116-$G$116)</f>
        <v>659053.79638342338</v>
      </c>
      <c r="X154" s="236">
        <f>-((X120+X121)/(1+$B$116)^(X116-$G$116))*(X116-$G$116)</f>
        <v>677874.79056862276</v>
      </c>
      <c r="Y154" s="236">
        <f>-((Y120+Y121)/(1+$B$116)^(Y116-$G$116))*(Y116-$G$116)</f>
        <v>694820.69530409493</v>
      </c>
      <c r="Z154" s="236">
        <f>-((Z120+Z121)/(1+$B$116)^(Z116-$G$116))*(Z116-$G$116)</f>
        <v>709992.10555973998</v>
      </c>
      <c r="AA154" s="236">
        <f>-((AA120+AA121)/(1+$B$116)^(AA116-$G$116))*(AA116-$G$116)</f>
        <v>723485.10272557207</v>
      </c>
    </row>
    <row r="155" spans="1:27" ht="15.75" hidden="1">
      <c r="A155" s="231" t="s">
        <v>176</v>
      </c>
      <c r="E155" s="236">
        <f>SUM(H155:AA155)</f>
        <v>610313.85381714208</v>
      </c>
      <c r="F155" s="236"/>
      <c r="G155" s="236"/>
      <c r="H155" s="236">
        <f>-((H120+H121)/(1+$B$116)^(H116-$G$116))</f>
        <v>0</v>
      </c>
      <c r="I155" s="236">
        <f>-((I120+I121)/(1+$B$116)^(I116-$G$116))</f>
        <v>0</v>
      </c>
      <c r="J155" s="236">
        <f>-((J120+J121)/(1+$B$116)^(J116-$G$116))</f>
        <v>0</v>
      </c>
      <c r="K155" s="236">
        <f>-((K120+K121)/(1+$B$116)^(K116-$G$116))</f>
        <v>328.87023630150748</v>
      </c>
      <c r="L155" s="236">
        <f>-((L120+L121)/(1+$B$116)^(L116-$G$116))</f>
        <v>5199.4388823393138</v>
      </c>
      <c r="M155" s="236">
        <f>-((M120+M121)/(1+$B$116)^(M116-$G$116))</f>
        <v>12511.080503123987</v>
      </c>
      <c r="N155" s="236">
        <f>-((N120+N121)/(1+$B$116)^(N116-$G$116))</f>
        <v>17395.119373984879</v>
      </c>
      <c r="O155" s="236">
        <f>-((O120+O121)/(1+$B$116)^(O116-$G$116))</f>
        <v>52655.307796731257</v>
      </c>
      <c r="P155" s="237">
        <f>-((P120+P121)/(1+$B$116)^(P116-$G$116))</f>
        <v>51701.498894571494</v>
      </c>
      <c r="Q155" s="236">
        <f>-((Q120+Q121)/(1+$B$116)^(Q116-$G$116))</f>
        <v>50049.853721753636</v>
      </c>
      <c r="R155" s="236">
        <f>-((R120+R121)/(1+$B$116)^(R116-$G$116))</f>
        <v>48450.971657070309</v>
      </c>
      <c r="S155" s="236">
        <f>-((S120+S121)/(1+$B$116)^(S116-$G$116))</f>
        <v>46903.167141403996</v>
      </c>
      <c r="T155" s="236">
        <f>-((T120+T121)/(1+$B$116)^(T116-$G$116))</f>
        <v>45404.808462152956</v>
      </c>
      <c r="U155" s="236">
        <f>-((U120+U121)/(1+$B$116)^(U116-$G$116))</f>
        <v>43954.316033061921</v>
      </c>
      <c r="V155" s="236">
        <f>-((V120+V121)/(1+$B$116)^(V116-$G$116))</f>
        <v>42550.160729004754</v>
      </c>
      <c r="W155" s="236">
        <f>-((W120+W121)/(1+$B$116)^(W116-$G$116))</f>
        <v>41190.862273963961</v>
      </c>
      <c r="X155" s="236">
        <f>-((X120+X121)/(1+$B$116)^(X116-$G$116))</f>
        <v>39874.98768050722</v>
      </c>
      <c r="Y155" s="236">
        <f>-((Y120+Y121)/(1+$B$116)^(Y116-$G$116))</f>
        <v>38601.149739116387</v>
      </c>
      <c r="Z155" s="236">
        <f>-((Z120+Z121)/(1+$B$116)^(Z116-$G$116))</f>
        <v>37368.005555775788</v>
      </c>
      <c r="AA155" s="236">
        <f>-((AA120+AA121)/(1+$B$116)^(AA116-$G$116))</f>
        <v>36174.255136278603</v>
      </c>
    </row>
    <row r="156" spans="1:1" ht="15.75" hidden="1">
      <c r="A156" s="243">
        <f>E154/E155</f>
        <v>13.134389729763203</v>
      </c>
    </row>
    <row r="157" ht="15.75" hidden="1"/>
    <row r="158" spans="1:1" ht="15.75" hidden="1">
      <c r="A158" s="244" t="s">
        <v>178</v>
      </c>
    </row>
    <row r="159" spans="1:27" ht="15.75" hidden="1">
      <c r="A159" s="231" t="s">
        <v>177</v>
      </c>
      <c r="E159" s="236">
        <f>SUM(H159:AA159)</f>
        <v>5709758.3536071312</v>
      </c>
      <c r="F159" s="236"/>
      <c r="G159" s="236"/>
      <c r="H159" s="236">
        <f>-((H111+H112)/(1+$B$107)^(H107-$G$107))*(H107-$G$107)</f>
        <v>16474.890297415892</v>
      </c>
      <c r="I159" s="236">
        <f>-((I111+I112)/(1+$B$107)^(I107-$G$107))*(I107-$G$107)</f>
        <v>35372.976899877111</v>
      </c>
      <c r="J159" s="236">
        <f>-((J111+J112)/(1+$B$107)^(J107-$G$107))*(J107-$G$107)</f>
        <v>131853.78533321078</v>
      </c>
      <c r="K159" s="236">
        <f>-((K111+K112)/(1+$B$107)^(K107-$G$107))*(K107-$G$107)</f>
        <v>172544.5556768933</v>
      </c>
      <c r="L159" s="236">
        <f>-((L111+L112)/(1+$B$107)^(L107-$G$107))*(L107-$G$107)</f>
        <v>211507.89319106276</v>
      </c>
      <c r="M159" s="236">
        <f>-((M111+M112)/(1+$B$107)^(M107-$G$107))*(M107-$G$107)</f>
        <v>254889.60017028096</v>
      </c>
      <c r="N159" s="236">
        <f>-((N111+N112)/(1+$B$107)^(N107-$G$107))*(N107-$G$107)</f>
        <v>297948.95298734144</v>
      </c>
      <c r="O159" s="236">
        <f>-((O111+O112)/(1+$B$107)^(O107-$G$107))*(O107-$G$107)</f>
        <v>324746.82577204675</v>
      </c>
      <c r="P159" s="237">
        <f>-((P111+P112)/(1+$B$107)^(P107-$G$107))*(P107-$G$107)</f>
        <v>365468.35164690361</v>
      </c>
      <c r="Q159" s="236">
        <f>-((Q111+Q112)/(1+$B$107)^(Q107-$G$107))*(Q107-$G$107)</f>
        <v>414710.67402012611</v>
      </c>
      <c r="R159" s="236">
        <f>-((R111+R112)/(1+$B$107)^(R107-$G$107))*(R107-$G$107)</f>
        <v>443987.81179792224</v>
      </c>
      <c r="S159" s="236">
        <f>-((S111+S112)/(1+$B$107)^(S107-$G$107))*(S107-$G$107)</f>
        <v>492361.18889399886</v>
      </c>
      <c r="T159" s="236">
        <f>-((T111+T112)/(1+$B$107)^(T107-$G$107))*(T107-$G$107)</f>
        <v>529022.84904136427</v>
      </c>
      <c r="U159" s="236">
        <f>-((U111+U112)/(1+$B$107)^(U107-$G$107))*(U107-$G$107)</f>
        <v>635012.56491463154</v>
      </c>
      <c r="V159" s="236">
        <f>-((V111+V112)/(1+$B$107)^(V107-$G$107))*(V107-$G$107)</f>
        <v>669387.04404678266</v>
      </c>
      <c r="W159" s="236">
        <f>-((W111+W112)/(1+$B$107)^(W107-$G$107))*(W107-$G$107)</f>
        <v>714468.38891727221</v>
      </c>
      <c r="X159" s="236">
        <f>-((X111+X112)/(1+$B$107)^(X107-$G$107))*(X107-$G$107)</f>
        <v>0</v>
      </c>
      <c r="Y159" s="236">
        <f>-((Y111+Y112)/(1+$B$107)^(Y107-$G$107))*(Y107-$G$107)</f>
        <v>0</v>
      </c>
      <c r="Z159" s="236">
        <f>-((Z111+Z112)/(1+$B$107)^(Z107-$G$107))*(Z107-$G$107)</f>
        <v>0</v>
      </c>
      <c r="AA159" s="236">
        <f>-((AA111+AA112)/(1+$B$107)^(AA107-$G$107))*(AA107-$G$107)</f>
        <v>0</v>
      </c>
    </row>
    <row r="160" spans="1:27" ht="15.75" hidden="1">
      <c r="A160" s="231" t="s">
        <v>176</v>
      </c>
      <c r="E160" s="236">
        <f>SUM(H160:AA160)</f>
        <v>627992.91982837499</v>
      </c>
      <c r="F160" s="236"/>
      <c r="G160" s="236"/>
      <c r="H160" s="236">
        <f>-((H111+H112)/(1+$B$107)^(H107-$G$107))</f>
        <v>16474.890297415892</v>
      </c>
      <c r="I160" s="236">
        <f>-((I111+I112)/(1+$B$107)^(I107-$G$107))</f>
        <v>17686.488449938555</v>
      </c>
      <c r="J160" s="236">
        <f>-((J111+J112)/(1+$B$107)^(J107-$G$107))</f>
        <v>43951.261777736931</v>
      </c>
      <c r="K160" s="236">
        <f>-((K111+K112)/(1+$B$107)^(K107-$G$107))</f>
        <v>43136.138919223326</v>
      </c>
      <c r="L160" s="236">
        <f>-((L111+L112)/(1+$B$107)^(L107-$G$107))</f>
        <v>42301.578638212552</v>
      </c>
      <c r="M160" s="236">
        <f>-((M111+M112)/(1+$B$107)^(M107-$G$107))</f>
        <v>42481.600028380162</v>
      </c>
      <c r="N160" s="236">
        <f>-((N111+N112)/(1+$B$107)^(N107-$G$107))</f>
        <v>42564.136141048773</v>
      </c>
      <c r="O160" s="236">
        <f>-((O111+O112)/(1+$B$107)^(O107-$G$107))</f>
        <v>40593.353221505844</v>
      </c>
      <c r="P160" s="237">
        <f>-((P111+P112)/(1+$B$107)^(P107-$G$107))</f>
        <v>40607.594627433733</v>
      </c>
      <c r="Q160" s="236">
        <f>-((Q111+Q112)/(1+$B$107)^(Q107-$G$107))</f>
        <v>41471.06740201261</v>
      </c>
      <c r="R160" s="236">
        <f>-((R111+R112)/(1+$B$107)^(R107-$G$107))</f>
        <v>40362.528345265659</v>
      </c>
      <c r="S160" s="236">
        <f>-((S111+S112)/(1+$B$107)^(S107-$G$107))</f>
        <v>41030.099074499907</v>
      </c>
      <c r="T160" s="236">
        <f>-((T111+T112)/(1+$B$107)^(T107-$G$107))</f>
        <v>40694.065310874175</v>
      </c>
      <c r="U160" s="236">
        <f>-((U111+U112)/(1+$B$107)^(U107-$G$107))</f>
        <v>45358.040351045107</v>
      </c>
      <c r="V160" s="236">
        <f>-((V111+V112)/(1+$B$107)^(V107-$G$107))</f>
        <v>44625.802936452179</v>
      </c>
      <c r="W160" s="236">
        <f>-((W111+W112)/(1+$B$107)^(W107-$G$107))</f>
        <v>44654.274307329513</v>
      </c>
      <c r="X160" s="236">
        <f>-((X111+X112)/(1+$B$107)^(X107-$G$107))</f>
        <v>0</v>
      </c>
      <c r="Y160" s="236">
        <f>-((Y111+Y112)/(1+$B$107)^(Y107-$G$107))</f>
        <v>0</v>
      </c>
      <c r="Z160" s="236">
        <f>-((Z111+Z112)/(1+$B$107)^(Z107-$G$107))</f>
        <v>0</v>
      </c>
      <c r="AA160" s="236">
        <f>-((AA111+AA112)/(1+$B$107)^(AA107-$G$107))</f>
        <v>0</v>
      </c>
    </row>
    <row r="161" spans="1:1" ht="15.75" hidden="1">
      <c r="A161" s="243">
        <f>E159/E160</f>
        <v>9.0920744061375061</v>
      </c>
    </row>
    <row r="162" ht="15.75" hidden="1"/>
    <row r="163" spans="6:9" ht="15.75" hidden="1">
      <c r="F163" s="242">
        <v>41967</v>
      </c>
      <c r="H163" s="231" t="s">
        <v>175</v>
      </c>
      <c r="I163" s="231" t="s">
        <v>174</v>
      </c>
    </row>
    <row r="164" spans="6:12" ht="15.75" hidden="1">
      <c r="F164" s="231" t="s">
        <v>173</v>
      </c>
      <c r="H164" s="231">
        <v>8.3599999999999994</v>
      </c>
      <c r="I164" s="240">
        <v>0.0063</v>
      </c>
      <c r="J164" s="231" t="s">
        <v>172</v>
      </c>
      <c r="L164" s="241">
        <f>A156</f>
        <v>13.134389729763203</v>
      </c>
    </row>
    <row r="165" spans="6:12" ht="15.75" hidden="1">
      <c r="F165" s="231" t="s">
        <v>171</v>
      </c>
      <c r="H165" s="231">
        <v>15.970000000000001</v>
      </c>
      <c r="I165" s="240">
        <v>0.013100000000000001</v>
      </c>
      <c r="J165" s="231" t="s">
        <v>170</v>
      </c>
      <c r="L165" s="240">
        <f>((I165-I164)/(H165-H164))*(L164-H164)+I164</f>
        <v>0.010566208956950037</v>
      </c>
    </row>
    <row r="166" ht="15.75" hidden="1"/>
    <row r="167" spans="8:9" ht="15.75" hidden="1">
      <c r="H167" s="231" t="s">
        <v>169</v>
      </c>
      <c r="I167" s="231" t="s">
        <v>168</v>
      </c>
    </row>
    <row r="168" spans="6:9" ht="15.75" hidden="1">
      <c r="F168" s="231" t="s">
        <v>167</v>
      </c>
      <c r="H168" s="240">
        <v>0.0067999999999999996</v>
      </c>
      <c r="I168" s="240">
        <v>0.010200000000000001</v>
      </c>
    </row>
    <row r="169" spans="6:9" ht="15.75" hidden="1">
      <c r="F169" s="231" t="s">
        <v>166</v>
      </c>
      <c r="H169" s="240">
        <v>0.024</v>
      </c>
      <c r="I169" s="240">
        <v>0.021999999999999999</v>
      </c>
    </row>
    <row r="170" spans="6:9" ht="15.75" hidden="1">
      <c r="F170" s="231" t="s">
        <v>165</v>
      </c>
      <c r="H170" s="240">
        <f>H168+H169</f>
        <v>0.030800000000000001</v>
      </c>
      <c r="I170" s="240">
        <f>I168+I169</f>
        <v>0.032199999999999999</v>
      </c>
    </row>
    <row r="171" spans="7:8" ht="15.75" hidden="1">
      <c r="G171" s="236">
        <f>G138+G119+G110</f>
        <v>11790.700000000001</v>
      </c>
      <c r="H171" s="236">
        <f>H138+H119+H110</f>
        <v>22044.599999999999</v>
      </c>
    </row>
    <row r="172" ht="15.75" hidden="1"/>
    <row r="173" ht="15.75" hidden="1"/>
    <row r="174" spans="5:27" ht="15.75" hidden="1">
      <c r="E174" s="231" t="s">
        <v>164</v>
      </c>
      <c r="G174" s="238">
        <v>-164894</v>
      </c>
      <c r="H174" s="238">
        <v>-177350</v>
      </c>
      <c r="I174" s="238">
        <v>-244266.60000000001</v>
      </c>
      <c r="J174" s="238">
        <v>-84500</v>
      </c>
      <c r="K174" s="238">
        <v>-42000</v>
      </c>
      <c r="L174" s="238">
        <v>-18000</v>
      </c>
      <c r="M174" s="238">
        <v>-12000</v>
      </c>
      <c r="N174" s="238">
        <v>-12000</v>
      </c>
      <c r="O174" s="238">
        <v>-12000</v>
      </c>
      <c r="P174" s="239">
        <v>-12000</v>
      </c>
      <c r="Q174" s="238">
        <v>-12000</v>
      </c>
      <c r="R174" s="238">
        <v>-12000</v>
      </c>
      <c r="S174" s="238">
        <v>-12000</v>
      </c>
      <c r="T174" s="238">
        <v>-12000</v>
      </c>
      <c r="U174" s="238">
        <v>-12000</v>
      </c>
      <c r="V174" s="238">
        <v>-12000</v>
      </c>
      <c r="W174" s="238">
        <v>-12000</v>
      </c>
      <c r="X174" s="238">
        <v>-12000</v>
      </c>
      <c r="Y174" s="238">
        <v>-12000</v>
      </c>
      <c r="Z174" s="238">
        <v>-12000</v>
      </c>
      <c r="AA174" s="238">
        <v>-12000</v>
      </c>
    </row>
    <row r="175" spans="7:27" ht="15.75" hidden="1">
      <c r="G175" s="238">
        <v>-243400</v>
      </c>
      <c r="H175" s="238">
        <v>-211000</v>
      </c>
      <c r="I175" s="238">
        <v>-105000</v>
      </c>
      <c r="J175" s="238">
        <v>-85000</v>
      </c>
      <c r="K175" s="238">
        <v>-1000</v>
      </c>
      <c r="L175" s="238">
        <v>-13500</v>
      </c>
      <c r="M175" s="238">
        <v>-13500</v>
      </c>
      <c r="N175" s="238">
        <v>-9500</v>
      </c>
      <c r="O175" s="238">
        <v>-9500</v>
      </c>
      <c r="P175" s="239">
        <v>-9500</v>
      </c>
      <c r="Q175" s="238">
        <v>-9500</v>
      </c>
      <c r="R175" s="238">
        <v>-9500</v>
      </c>
      <c r="S175" s="238">
        <v>-9500</v>
      </c>
      <c r="T175" s="238">
        <v>-9500</v>
      </c>
      <c r="U175" s="238">
        <v>-9500</v>
      </c>
      <c r="V175" s="238">
        <v>-9500</v>
      </c>
      <c r="W175" s="238">
        <v>-9500</v>
      </c>
      <c r="X175" s="238">
        <v>-9500</v>
      </c>
      <c r="Y175" s="238">
        <v>-9500</v>
      </c>
      <c r="Z175" s="238">
        <v>-9500</v>
      </c>
      <c r="AA175" s="238">
        <v>-9500</v>
      </c>
    </row>
    <row r="176" spans="5:16" ht="15.75" hidden="1">
      <c r="E176" s="231" t="s">
        <v>163</v>
      </c>
      <c r="G176" s="236">
        <f>G12</f>
        <v>-87602</v>
      </c>
      <c r="H176" s="236">
        <f>H12</f>
        <v>-84981</v>
      </c>
      <c r="I176" s="236">
        <f>I12</f>
        <v>-93513</v>
      </c>
      <c r="J176" s="236">
        <f>J12</f>
        <v>-117392</v>
      </c>
      <c r="K176" s="236">
        <f>K12</f>
        <v>-170312.5</v>
      </c>
      <c r="L176" s="236">
        <f>L12</f>
        <v>-125497.5</v>
      </c>
      <c r="M176" s="236">
        <f>M12</f>
        <v>-27000</v>
      </c>
      <c r="N176" s="236">
        <f>N12</f>
        <v>-27000</v>
      </c>
      <c r="O176" s="236">
        <f>O12</f>
        <v>-12000</v>
      </c>
      <c r="P176" s="237">
        <f>P12</f>
        <v>-12000</v>
      </c>
    </row>
    <row r="177" spans="7:16" ht="15.75" hidden="1">
      <c r="G177" s="236">
        <f>G13</f>
        <v>-242000</v>
      </c>
      <c r="H177" s="236">
        <f>H13</f>
        <v>-270000</v>
      </c>
      <c r="I177" s="236">
        <f>I13</f>
        <v>-120195</v>
      </c>
      <c r="J177" s="236">
        <f>J13</f>
        <v>-111730</v>
      </c>
      <c r="K177" s="236">
        <f>K13</f>
        <v>-239600</v>
      </c>
      <c r="L177" s="236">
        <f>L13</f>
        <v>-310400</v>
      </c>
      <c r="M177" s="236">
        <f>M13</f>
        <v>-300400</v>
      </c>
      <c r="N177" s="236">
        <f>N13</f>
        <v>-244900</v>
      </c>
      <c r="O177" s="236">
        <f>O13</f>
        <v>-80500</v>
      </c>
      <c r="P177" s="237">
        <f>P13</f>
        <v>-9500</v>
      </c>
    </row>
    <row r="178" ht="15.75" hidden="1"/>
    <row r="179" spans="7:19" ht="15.75" hidden="1">
      <c r="G179" s="236">
        <f>G174-G12</f>
        <v>-77292</v>
      </c>
      <c r="H179" s="236">
        <f>H174-H12</f>
        <v>-92369</v>
      </c>
      <c r="I179" s="236">
        <f>I174-I12</f>
        <v>-150753.60000000001</v>
      </c>
      <c r="J179" s="236">
        <f>J174-J12</f>
        <v>32892</v>
      </c>
      <c r="K179" s="236">
        <f>K174-K12</f>
        <v>128312.5</v>
      </c>
      <c r="L179" s="236">
        <f>L174-L12</f>
        <v>107497.5</v>
      </c>
      <c r="M179" s="236">
        <f>M174-M12</f>
        <v>15000</v>
      </c>
      <c r="N179" s="236">
        <f>N174-N12</f>
        <v>15000</v>
      </c>
      <c r="O179" s="236">
        <f>O174-O12</f>
        <v>0</v>
      </c>
      <c r="P179" s="237">
        <f>P174-P12</f>
        <v>0</v>
      </c>
      <c r="Q179" s="236">
        <f>Q174-Q12</f>
        <v>0</v>
      </c>
      <c r="R179" s="236">
        <f>R174-R12</f>
        <v>0</v>
      </c>
      <c r="S179" s="236">
        <f>S174-S12</f>
        <v>0</v>
      </c>
    </row>
    <row r="180" spans="7:19" ht="15.75" hidden="1">
      <c r="G180" s="236">
        <f>G175-G13</f>
        <v>-1400</v>
      </c>
      <c r="H180" s="236">
        <f>H175-H13</f>
        <v>59000</v>
      </c>
      <c r="I180" s="236">
        <f>I175-I13</f>
        <v>15195</v>
      </c>
      <c r="J180" s="236">
        <f>J175-J13</f>
        <v>26730</v>
      </c>
      <c r="K180" s="236">
        <f>K175-K13</f>
        <v>238600</v>
      </c>
      <c r="L180" s="236">
        <f>L175-L13</f>
        <v>296900</v>
      </c>
      <c r="M180" s="236">
        <f>M175-M13</f>
        <v>286900</v>
      </c>
      <c r="N180" s="236">
        <f>N175-N13</f>
        <v>235400</v>
      </c>
      <c r="O180" s="236">
        <f>O175-O13</f>
        <v>71000</v>
      </c>
      <c r="P180" s="237">
        <f>P175-P13</f>
        <v>0</v>
      </c>
      <c r="Q180" s="236">
        <f>Q175-Q13</f>
        <v>0</v>
      </c>
      <c r="R180" s="236">
        <f>R175-R13</f>
        <v>0</v>
      </c>
      <c r="S180" s="236">
        <f>S175-S13</f>
        <v>0</v>
      </c>
    </row>
    <row r="181" ht="15.75" hidden="1"/>
    <row r="182" ht="15.75" hidden="1"/>
    <row r="183" ht="15.75" hidden="1"/>
    <row r="184" ht="15.75" hidden="1"/>
    <row r="185" ht="15.75" hidden="1"/>
    <row r="186" ht="15.75" hidden="1"/>
    <row r="187" ht="15.75" hidden="1"/>
    <row r="188" ht="15.75" hidden="1"/>
    <row r="189" ht="15.75" hidden="1"/>
    <row r="190" ht="15.75" hidden="1"/>
    <row r="191" ht="16.5" thickBot="1"/>
    <row r="192" spans="1:3" ht="16.5" thickBot="1">
      <c r="A192" s="235" t="s">
        <v>162</v>
      </c>
      <c r="B192" s="234" t="s">
        <v>159</v>
      </c>
      <c r="C192" s="233">
        <f>IF(B192="כן",1,0)</f>
        <v>1</v>
      </c>
    </row>
    <row r="193" spans="1:3" ht="16.5" thickBot="1">
      <c r="A193" s="235" t="s">
        <v>161</v>
      </c>
      <c r="B193" s="234" t="s">
        <v>159</v>
      </c>
      <c r="C193" s="233">
        <f>IF(B193="כן",1,0)</f>
        <v>1</v>
      </c>
    </row>
    <row r="194" spans="1:3" ht="16.5" thickBot="1">
      <c r="A194" s="235" t="s">
        <v>160</v>
      </c>
      <c r="B194" s="234" t="s">
        <v>157</v>
      </c>
      <c r="C194" s="233">
        <f>IF(B194="כן",1,IF(B194="לא",0,0.5))</f>
        <v>0.5</v>
      </c>
    </row>
    <row r="196" spans="1:1" ht="15.75">
      <c r="A196" s="233" t="s">
        <v>159</v>
      </c>
    </row>
    <row r="197" spans="1:1" ht="15.75">
      <c r="A197" s="233" t="s">
        <v>158</v>
      </c>
    </row>
    <row r="198" spans="1:1" ht="15.75">
      <c r="A198" s="231" t="s">
        <v>157</v>
      </c>
    </row>
  </sheetData>
  <mergeCells count="11">
    <mergeCell ref="E18:E20"/>
    <mergeCell ref="A1:AA1"/>
    <mergeCell ref="A5:AA5"/>
    <mergeCell ref="J18:J20"/>
    <mergeCell ref="K18:K20"/>
    <mergeCell ref="A55:AA55"/>
    <mergeCell ref="A32:AA32"/>
    <mergeCell ref="L18:L20"/>
    <mergeCell ref="H18:I18"/>
    <mergeCell ref="G18:G20"/>
    <mergeCell ref="F18:F20"/>
  </mergeCells>
  <dataValidations count="3">
    <dataValidation type="list" allowBlank="1" showInputMessage="1" showErrorMessage="1" sqref="B194">
      <formula1>$A$196:$A$198</formula1>
    </dataValidation>
    <dataValidation type="list" allowBlank="1" showInputMessage="1" showErrorMessage="1" sqref="B192:B193">
      <formula1>$A$196:$A$197</formula1>
    </dataValidation>
    <dataValidation type="list" allowBlank="1" showInputMessage="1" showErrorMessage="1" sqref="B2">
      <formula1>$AF$1:$AF$2</formula1>
    </dataValidation>
  </dataValidations>
  <pageMargins left="0.7" right="0.7" top="0.75" bottom="0.75" header="0.3" footer="0.3"/>
  <pageSetup orientation="portrait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ריכוז תעריף איגודן</vt:lpstr>
      <vt:lpstr>תוספת השקעות חדשות</vt:lpstr>
      <vt:lpstr>עלויות המטש</vt:lpstr>
      <vt:lpstr>עלויות ההולכה</vt:lpstr>
      <vt:lpstr>ניתוח פעילות מאוחד לפני השקעות 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