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workbookProtection workbookPassword="83C1" lockStructure="1"/>
  <bookViews>
    <workbookView showSheetTabs="0" xWindow="120" yWindow="120" windowWidth="12120" windowHeight="8325" activeTab="3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45621"/>
</workbook>
</file>

<file path=xl/calcChain.xml><?xml version="1.0" encoding="utf-8"?>
<calcChain xmlns="http://schemas.openxmlformats.org/spreadsheetml/2006/main">
  <c r="C21" i="58" l="1"/>
  <c r="C20" i="58"/>
  <c r="D13" i="54" l="1"/>
  <c r="D9" i="54"/>
  <c r="D33" i="56"/>
  <c r="D34" i="56"/>
  <c r="D25" i="56"/>
  <c r="D26" i="56"/>
  <c r="D79" i="54" l="1"/>
  <c r="D77" i="54"/>
  <c r="L41" i="60" l="1"/>
  <c r="D27" i="60" l="1"/>
  <c r="D24" i="60"/>
  <c r="D16" i="60"/>
  <c r="D17" i="54" l="1"/>
  <c r="F77" i="54" l="1"/>
  <c r="F41" i="54" l="1"/>
  <c r="F13" i="54"/>
  <c r="M10" i="58" l="1"/>
  <c r="F36" i="54" l="1"/>
  <c r="F33" i="56" l="1"/>
  <c r="F25" i="56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I16" i="59"/>
  <c r="M16" i="59" s="1"/>
  <c r="M315" i="59" s="1"/>
  <c r="I17" i="59"/>
  <c r="E359" i="65" s="1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57" i="65"/>
  <c r="L357" i="65" s="1"/>
  <c r="E360" i="65"/>
  <c r="L360" i="65" s="1"/>
  <c r="E364" i="65"/>
  <c r="I364" i="65"/>
  <c r="E225" i="65"/>
  <c r="L225" i="65" s="1"/>
  <c r="E223" i="65"/>
  <c r="J223" i="65" s="1"/>
  <c r="E222" i="65"/>
  <c r="L222" i="65" s="1"/>
  <c r="E221" i="65"/>
  <c r="E220" i="65"/>
  <c r="J220" i="65" s="1"/>
  <c r="E219" i="65"/>
  <c r="J219" i="65" s="1"/>
  <c r="E218" i="65"/>
  <c r="L218" i="65" s="1"/>
  <c r="E217" i="65"/>
  <c r="E215" i="65"/>
  <c r="J215" i="65" s="1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 s="1"/>
  <c r="Z20" i="61" s="1"/>
  <c r="Z318" i="61" s="1"/>
  <c r="T21" i="61"/>
  <c r="X21" i="61" s="1"/>
  <c r="Z21" i="61" s="1"/>
  <c r="Z319" i="61" s="1"/>
  <c r="T22" i="61"/>
  <c r="X22" i="61" s="1"/>
  <c r="T23" i="61"/>
  <c r="X23" i="61" s="1"/>
  <c r="T24" i="61"/>
  <c r="X24" i="61" s="1"/>
  <c r="T25" i="61"/>
  <c r="X25" i="61" s="1"/>
  <c r="Z25" i="61" s="1"/>
  <c r="Z323" i="61" s="1"/>
  <c r="T26" i="61"/>
  <c r="X26" i="61" s="1"/>
  <c r="T27" i="61"/>
  <c r="X27" i="61" s="1"/>
  <c r="Z27" i="61" s="1"/>
  <c r="Z325" i="61" s="1"/>
  <c r="T28" i="61"/>
  <c r="X28" i="61" s="1"/>
  <c r="T29" i="61"/>
  <c r="X29" i="61" s="1"/>
  <c r="Z29" i="61" s="1"/>
  <c r="Z327" i="61" s="1"/>
  <c r="T30" i="61"/>
  <c r="T329" i="61" s="1"/>
  <c r="T31" i="61"/>
  <c r="X31" i="61" s="1"/>
  <c r="T32" i="61"/>
  <c r="X32" i="61" s="1"/>
  <c r="T33" i="61"/>
  <c r="X33" i="61" s="1"/>
  <c r="Z33" i="61" s="1"/>
  <c r="Z331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313" i="61" s="1"/>
  <c r="Y16" i="61"/>
  <c r="Y314" i="61" s="1"/>
  <c r="Y17" i="61"/>
  <c r="Y315" i="61" s="1"/>
  <c r="Y18" i="61"/>
  <c r="Y316" i="61" s="1"/>
  <c r="Y19" i="61"/>
  <c r="Y20" i="61"/>
  <c r="Y318" i="61" s="1"/>
  <c r="Y21" i="61"/>
  <c r="Y319" i="61" s="1"/>
  <c r="Y22" i="61"/>
  <c r="Y320" i="61" s="1"/>
  <c r="Y23" i="61"/>
  <c r="Y321" i="61" s="1"/>
  <c r="Y24" i="61"/>
  <c r="Y322" i="61" s="1"/>
  <c r="Y25" i="61"/>
  <c r="Y323" i="61" s="1"/>
  <c r="Y26" i="61"/>
  <c r="Y324" i="61" s="1"/>
  <c r="Y27" i="61"/>
  <c r="Y325" i="61" s="1"/>
  <c r="Y28" i="61"/>
  <c r="Y326" i="61" s="1"/>
  <c r="Y29" i="61"/>
  <c r="Y327" i="61" s="1"/>
  <c r="Y30" i="61"/>
  <c r="Y328" i="61" s="1"/>
  <c r="Y31" i="61"/>
  <c r="Y329" i="61" s="1"/>
  <c r="Y32" i="61"/>
  <c r="Y330" i="61" s="1"/>
  <c r="Y33" i="61"/>
  <c r="Y331" i="61" s="1"/>
  <c r="Y34" i="61"/>
  <c r="Y332" i="61" s="1"/>
  <c r="Y35" i="61"/>
  <c r="Y333" i="61" s="1"/>
  <c r="Y36" i="61"/>
  <c r="Y334" i="61" s="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E400" i="65"/>
  <c r="I399" i="65"/>
  <c r="E399" i="65"/>
  <c r="J399" i="65" s="1"/>
  <c r="I398" i="65"/>
  <c r="E398" i="65"/>
  <c r="I397" i="65"/>
  <c r="E397" i="65"/>
  <c r="I396" i="65"/>
  <c r="E396" i="65"/>
  <c r="E395" i="65"/>
  <c r="E394" i="65"/>
  <c r="I393" i="65"/>
  <c r="E393" i="65"/>
  <c r="L393" i="65" s="1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J383" i="65" s="1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E180" i="65"/>
  <c r="J180" i="65" s="1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6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69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L399" i="65"/>
  <c r="J379" i="65"/>
  <c r="D232" i="65"/>
  <c r="L179" i="65"/>
  <c r="L171" i="65"/>
  <c r="J15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324" i="54" s="1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 s="1"/>
  <c r="E206" i="65"/>
  <c r="J206" i="65" s="1"/>
  <c r="D80" i="54"/>
  <c r="I16" i="65" s="1"/>
  <c r="F23" i="56"/>
  <c r="F30" i="56" s="1"/>
  <c r="F39" i="56"/>
  <c r="F50" i="56" s="1"/>
  <c r="D45" i="56" s="1"/>
  <c r="E66" i="65" s="1"/>
  <c r="C16" i="55"/>
  <c r="C25" i="55" s="1"/>
  <c r="C30" i="55" s="1"/>
  <c r="C342" i="55" s="1"/>
  <c r="D23" i="56"/>
  <c r="D30" i="56" s="1"/>
  <c r="D39" i="56"/>
  <c r="D55" i="56"/>
  <c r="I95" i="65" s="1"/>
  <c r="H37" i="57"/>
  <c r="E85" i="65" s="1"/>
  <c r="J37" i="57"/>
  <c r="E86" i="65" s="1"/>
  <c r="L37" i="57"/>
  <c r="E87" i="65" s="1"/>
  <c r="P8" i="57"/>
  <c r="P312" i="57" s="1"/>
  <c r="P9" i="57"/>
  <c r="P10" i="57"/>
  <c r="P314" i="57" s="1"/>
  <c r="P11" i="57"/>
  <c r="P315" i="57" s="1"/>
  <c r="P12" i="57"/>
  <c r="P13" i="57"/>
  <c r="P14" i="57"/>
  <c r="P318" i="57" s="1"/>
  <c r="P15" i="57"/>
  <c r="P319" i="57" s="1"/>
  <c r="P16" i="57"/>
  <c r="P17" i="57"/>
  <c r="P18" i="57"/>
  <c r="P322" i="57" s="1"/>
  <c r="P19" i="57"/>
  <c r="P323" i="57" s="1"/>
  <c r="P20" i="57"/>
  <c r="P324" i="57" s="1"/>
  <c r="P21" i="57"/>
  <c r="P22" i="57"/>
  <c r="P326" i="57" s="1"/>
  <c r="P23" i="57"/>
  <c r="P327" i="57" s="1"/>
  <c r="P24" i="57"/>
  <c r="P25" i="57"/>
  <c r="P26" i="57"/>
  <c r="P330" i="57" s="1"/>
  <c r="P27" i="57"/>
  <c r="P331" i="57" s="1"/>
  <c r="P28" i="57"/>
  <c r="P332" i="57" s="1"/>
  <c r="P29" i="57"/>
  <c r="P30" i="57"/>
  <c r="P334" i="57" s="1"/>
  <c r="P31" i="57"/>
  <c r="P335" i="57" s="1"/>
  <c r="P32" i="57"/>
  <c r="P336" i="57" s="1"/>
  <c r="P33" i="57"/>
  <c r="P337" i="57" s="1"/>
  <c r="P34" i="57"/>
  <c r="P338" i="57" s="1"/>
  <c r="P35" i="57"/>
  <c r="P339" i="57" s="1"/>
  <c r="P36" i="57"/>
  <c r="P340" i="57" s="1"/>
  <c r="N37" i="57"/>
  <c r="E88" i="65" s="1"/>
  <c r="R8" i="57"/>
  <c r="R312" i="57" s="1"/>
  <c r="R9" i="57"/>
  <c r="R313" i="57" s="1"/>
  <c r="R10" i="57"/>
  <c r="R11" i="57"/>
  <c r="R12" i="57"/>
  <c r="R13" i="57"/>
  <c r="R317" i="57" s="1"/>
  <c r="R14" i="57"/>
  <c r="R318" i="57" s="1"/>
  <c r="R15" i="57"/>
  <c r="R319" i="57" s="1"/>
  <c r="R16" i="57"/>
  <c r="R320" i="57" s="1"/>
  <c r="R17" i="57"/>
  <c r="R321" i="57" s="1"/>
  <c r="R18" i="57"/>
  <c r="R322" i="57" s="1"/>
  <c r="R19" i="57"/>
  <c r="R323" i="57" s="1"/>
  <c r="R20" i="57"/>
  <c r="R324" i="57" s="1"/>
  <c r="R21" i="57"/>
  <c r="R325" i="57" s="1"/>
  <c r="R22" i="57"/>
  <c r="R326" i="57" s="1"/>
  <c r="R23" i="57"/>
  <c r="R327" i="57" s="1"/>
  <c r="R24" i="57"/>
  <c r="R328" i="57" s="1"/>
  <c r="R25" i="57"/>
  <c r="R329" i="57" s="1"/>
  <c r="R26" i="57"/>
  <c r="R330" i="57" s="1"/>
  <c r="R27" i="57"/>
  <c r="R331" i="57" s="1"/>
  <c r="R28" i="57"/>
  <c r="R332" i="57" s="1"/>
  <c r="R29" i="57"/>
  <c r="R333" i="57" s="1"/>
  <c r="R30" i="57"/>
  <c r="R31" i="57"/>
  <c r="R335" i="57" s="1"/>
  <c r="R32" i="57"/>
  <c r="R336" i="57" s="1"/>
  <c r="R33" i="57"/>
  <c r="R34" i="57"/>
  <c r="R35" i="57"/>
  <c r="R339" i="57" s="1"/>
  <c r="R36" i="57"/>
  <c r="R34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M32" i="58" s="1"/>
  <c r="M334" i="58" s="1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E20" i="65"/>
  <c r="I395" i="65"/>
  <c r="I394" i="65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D12" i="54"/>
  <c r="D324" i="54" s="1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36" i="60" s="1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W336" i="61"/>
  <c r="V336" i="61"/>
  <c r="U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W334" i="61"/>
  <c r="V334" i="61"/>
  <c r="U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W333" i="61"/>
  <c r="V333" i="61"/>
  <c r="U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W330" i="61"/>
  <c r="V330" i="61"/>
  <c r="U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W328" i="61"/>
  <c r="V328" i="61"/>
  <c r="U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W325" i="61"/>
  <c r="V325" i="61"/>
  <c r="U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W324" i="61"/>
  <c r="V324" i="61"/>
  <c r="U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W321" i="61"/>
  <c r="V321" i="61"/>
  <c r="U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W320" i="61"/>
  <c r="V320" i="61"/>
  <c r="U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W319" i="61"/>
  <c r="V319" i="61"/>
  <c r="U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3" i="58"/>
  <c r="I325" i="58" s="1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28" i="58" s="1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341" i="58" s="1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H337" i="58"/>
  <c r="F337" i="58"/>
  <c r="E15" i="58"/>
  <c r="E31" i="58" s="1"/>
  <c r="E333" i="58" s="1"/>
  <c r="E23" i="58"/>
  <c r="D337" i="58"/>
  <c r="C23" i="58"/>
  <c r="B337" i="58"/>
  <c r="N334" i="58"/>
  <c r="L334" i="58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L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H311" i="58"/>
  <c r="G311" i="58"/>
  <c r="F311" i="58"/>
  <c r="E311" i="58"/>
  <c r="D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Q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Q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Q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Q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N324" i="60" s="1"/>
  <c r="L350" i="60"/>
  <c r="D45" i="60"/>
  <c r="F350" i="60" s="1"/>
  <c r="E350" i="60"/>
  <c r="H350" i="60"/>
  <c r="J45" i="60"/>
  <c r="P49" i="60"/>
  <c r="P48" i="60"/>
  <c r="P352" i="60" s="1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325" i="60" s="1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M325" i="60"/>
  <c r="L325" i="60"/>
  <c r="K325" i="60"/>
  <c r="J325" i="60"/>
  <c r="I325" i="60"/>
  <c r="F325" i="60"/>
  <c r="E325" i="60"/>
  <c r="D325" i="60"/>
  <c r="C325" i="60"/>
  <c r="B325" i="60"/>
  <c r="O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E354" i="56"/>
  <c r="B354" i="56"/>
  <c r="G353" i="56"/>
  <c r="E353" i="56"/>
  <c r="B353" i="56"/>
  <c r="G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B349" i="56"/>
  <c r="G348" i="56"/>
  <c r="F348" i="56"/>
  <c r="E348" i="56"/>
  <c r="D348" i="56"/>
  <c r="B348" i="56"/>
  <c r="G347" i="56"/>
  <c r="F347" i="56"/>
  <c r="E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I72" i="65" l="1"/>
  <c r="J218" i="65"/>
  <c r="E317" i="58"/>
  <c r="T324" i="61"/>
  <c r="X324" i="61"/>
  <c r="T334" i="61"/>
  <c r="L51" i="65"/>
  <c r="H8" i="65"/>
  <c r="J372" i="65"/>
  <c r="L400" i="65"/>
  <c r="K51" i="65"/>
  <c r="M328" i="58"/>
  <c r="K28" i="58"/>
  <c r="K330" i="58" s="1"/>
  <c r="T322" i="61"/>
  <c r="T325" i="61"/>
  <c r="T328" i="61"/>
  <c r="X328" i="61"/>
  <c r="H88" i="65"/>
  <c r="H378" i="65"/>
  <c r="L180" i="65"/>
  <c r="T320" i="61"/>
  <c r="X320" i="61"/>
  <c r="T319" i="61"/>
  <c r="T311" i="61"/>
  <c r="T318" i="61"/>
  <c r="T321" i="61"/>
  <c r="T333" i="61"/>
  <c r="K32" i="58"/>
  <c r="K334" i="58" s="1"/>
  <c r="V10" i="57"/>
  <c r="V314" i="57" s="1"/>
  <c r="J371" i="65"/>
  <c r="J22" i="65"/>
  <c r="L215" i="65"/>
  <c r="M12" i="59"/>
  <c r="M311" i="59" s="1"/>
  <c r="L166" i="65"/>
  <c r="F49" i="56"/>
  <c r="J13" i="65"/>
  <c r="D59" i="65"/>
  <c r="D23" i="65"/>
  <c r="D254" i="65"/>
  <c r="I79" i="65"/>
  <c r="J23" i="65"/>
  <c r="J204" i="65"/>
  <c r="J360" i="65"/>
  <c r="P10" i="60"/>
  <c r="P315" i="60" s="1"/>
  <c r="D342" i="56"/>
  <c r="D50" i="56"/>
  <c r="D353" i="56" s="1"/>
  <c r="L172" i="65"/>
  <c r="J376" i="65"/>
  <c r="L373" i="65"/>
  <c r="J366" i="65"/>
  <c r="Z31" i="61"/>
  <c r="Z329" i="61" s="1"/>
  <c r="X330" i="61"/>
  <c r="I28" i="58"/>
  <c r="I330" i="58" s="1"/>
  <c r="L372" i="65"/>
  <c r="V36" i="57"/>
  <c r="V340" i="57" s="1"/>
  <c r="T336" i="61"/>
  <c r="X336" i="61"/>
  <c r="X36" i="57"/>
  <c r="X340" i="57" s="1"/>
  <c r="X32" i="57"/>
  <c r="X336" i="57" s="1"/>
  <c r="X8" i="57"/>
  <c r="X312" i="57" s="1"/>
  <c r="H17" i="65"/>
  <c r="D31" i="65"/>
  <c r="D130" i="65"/>
  <c r="D313" i="65"/>
  <c r="L366" i="65"/>
  <c r="L223" i="65"/>
  <c r="B313" i="54"/>
  <c r="R314" i="57"/>
  <c r="T330" i="61"/>
  <c r="H24" i="65"/>
  <c r="E34" i="55"/>
  <c r="I34" i="55" s="1"/>
  <c r="I348" i="55" s="1"/>
  <c r="F325" i="56"/>
  <c r="E12" i="55"/>
  <c r="I12" i="55" s="1"/>
  <c r="I324" i="55" s="1"/>
  <c r="E21" i="55"/>
  <c r="I21" i="55" s="1"/>
  <c r="I333" i="55" s="1"/>
  <c r="F7" i="54"/>
  <c r="F319" i="54" s="1"/>
  <c r="P51" i="60"/>
  <c r="P355" i="60" s="1"/>
  <c r="V8" i="57"/>
  <c r="V312" i="57" s="1"/>
  <c r="X9" i="57"/>
  <c r="X313" i="57" s="1"/>
  <c r="L19" i="65"/>
  <c r="D44" i="65"/>
  <c r="D151" i="65"/>
  <c r="J176" i="65"/>
  <c r="H181" i="65"/>
  <c r="D393" i="65"/>
  <c r="K26" i="65"/>
  <c r="E358" i="65"/>
  <c r="J358" i="65" s="1"/>
  <c r="P15" i="60"/>
  <c r="P320" i="60" s="1"/>
  <c r="P25" i="60"/>
  <c r="P330" i="60" s="1"/>
  <c r="J168" i="65"/>
  <c r="X319" i="61"/>
  <c r="L398" i="65"/>
  <c r="T315" i="61"/>
  <c r="T307" i="61"/>
  <c r="L159" i="65"/>
  <c r="L394" i="65"/>
  <c r="I71" i="65"/>
  <c r="I74" i="65" s="1"/>
  <c r="I310" i="59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I46" i="55" s="1"/>
  <c r="I360" i="55" s="1"/>
  <c r="E49" i="55"/>
  <c r="E363" i="55" s="1"/>
  <c r="E14" i="55"/>
  <c r="I14" i="55" s="1"/>
  <c r="I326" i="55" s="1"/>
  <c r="E19" i="55"/>
  <c r="I19" i="55" s="1"/>
  <c r="I331" i="55" s="1"/>
  <c r="E23" i="55"/>
  <c r="I23" i="55" s="1"/>
  <c r="I335" i="55" s="1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L11" i="65"/>
  <c r="D17" i="65"/>
  <c r="H22" i="65"/>
  <c r="D24" i="65"/>
  <c r="G3" i="65"/>
  <c r="D341" i="65" s="1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82" i="65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D9" i="65"/>
  <c r="D19" i="65"/>
  <c r="D22" i="65"/>
  <c r="L170" i="65"/>
  <c r="J210" i="65"/>
  <c r="K53" i="65"/>
  <c r="J401" i="65"/>
  <c r="L388" i="65"/>
  <c r="E17" i="58"/>
  <c r="E319" i="58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L183" i="65"/>
  <c r="J187" i="65"/>
  <c r="C32" i="58"/>
  <c r="C334" i="58" s="1"/>
  <c r="C34" i="58"/>
  <c r="C336" i="58" s="1"/>
  <c r="I34" i="65"/>
  <c r="L34" i="65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I75" i="65"/>
  <c r="I78" i="65" s="1"/>
  <c r="F41" i="56"/>
  <c r="F333" i="56"/>
  <c r="C44" i="55"/>
  <c r="C51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F53" i="54"/>
  <c r="F366" i="54" s="1"/>
  <c r="I63" i="65"/>
  <c r="K22" i="65"/>
  <c r="N31" i="60"/>
  <c r="N336" i="60" s="1"/>
  <c r="N22" i="60"/>
  <c r="N327" i="60" s="1"/>
  <c r="J43" i="60"/>
  <c r="E408" i="65" s="1"/>
  <c r="F43" i="60"/>
  <c r="F348" i="60" s="1"/>
  <c r="J17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61" i="65"/>
  <c r="H323" i="60"/>
  <c r="P29" i="60"/>
  <c r="P334" i="60" s="1"/>
  <c r="P12" i="60"/>
  <c r="P317" i="60" s="1"/>
  <c r="J411" i="65"/>
  <c r="K55" i="65"/>
  <c r="L16" i="65"/>
  <c r="K17" i="65"/>
  <c r="L27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I37" i="65"/>
  <c r="L189" i="65"/>
  <c r="L207" i="65"/>
  <c r="J225" i="65"/>
  <c r="D354" i="65"/>
  <c r="M319" i="58"/>
  <c r="J11" i="65"/>
  <c r="K11" i="65"/>
  <c r="Z10" i="61"/>
  <c r="Z308" i="61" s="1"/>
  <c r="X309" i="61"/>
  <c r="Z34" i="61"/>
  <c r="Z332" i="61" s="1"/>
  <c r="X333" i="61"/>
  <c r="Z26" i="61"/>
  <c r="Z324" i="61" s="1"/>
  <c r="X325" i="61"/>
  <c r="P39" i="60"/>
  <c r="P344" i="60" s="1"/>
  <c r="P338" i="60"/>
  <c r="Z22" i="61"/>
  <c r="Z320" i="61" s="1"/>
  <c r="X321" i="61"/>
  <c r="Z18" i="61"/>
  <c r="Z316" i="61" s="1"/>
  <c r="X317" i="61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H15" i="65"/>
  <c r="H16" i="65"/>
  <c r="H21" i="65"/>
  <c r="H23" i="65"/>
  <c r="H25" i="65"/>
  <c r="H29" i="65"/>
  <c r="H33" i="65"/>
  <c r="D38" i="65"/>
  <c r="D41" i="65"/>
  <c r="H44" i="65"/>
  <c r="D47" i="65"/>
  <c r="D53" i="65"/>
  <c r="D66" i="65"/>
  <c r="H69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9" i="65"/>
  <c r="D182" i="65"/>
  <c r="D188" i="65"/>
  <c r="D199" i="65"/>
  <c r="D228" i="65"/>
  <c r="D233" i="65"/>
  <c r="D239" i="65"/>
  <c r="D245" i="65"/>
  <c r="D250" i="65"/>
  <c r="D262" i="65"/>
  <c r="D274" i="65"/>
  <c r="D279" i="65"/>
  <c r="D284" i="65"/>
  <c r="D292" i="65"/>
  <c r="D297" i="65"/>
  <c r="D303" i="65"/>
  <c r="D309" i="65"/>
  <c r="D314" i="65"/>
  <c r="D320" i="65"/>
  <c r="D326" i="65"/>
  <c r="D331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221" i="65"/>
  <c r="D174" i="65"/>
  <c r="D63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D53" i="54"/>
  <c r="D366" i="54" s="1"/>
  <c r="L23" i="65"/>
  <c r="K43" i="65"/>
  <c r="X22" i="57"/>
  <c r="X326" i="57" s="1"/>
  <c r="I62" i="65"/>
  <c r="L18" i="65"/>
  <c r="J12" i="65"/>
  <c r="H48" i="65"/>
  <c r="D62" i="65"/>
  <c r="H64" i="65"/>
  <c r="H67" i="65"/>
  <c r="H72" i="65"/>
  <c r="H77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81" i="65"/>
  <c r="D185" i="65"/>
  <c r="D190" i="65"/>
  <c r="D224" i="65"/>
  <c r="D231" i="65"/>
  <c r="D236" i="65"/>
  <c r="D242" i="65"/>
  <c r="D248" i="65"/>
  <c r="D253" i="65"/>
  <c r="D276" i="65"/>
  <c r="D282" i="65"/>
  <c r="D289" i="65"/>
  <c r="D294" i="65"/>
  <c r="D300" i="65"/>
  <c r="D306" i="65"/>
  <c r="D311" i="65"/>
  <c r="D318" i="65"/>
  <c r="D323" i="65"/>
  <c r="D328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D56" i="65"/>
  <c r="D358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26" i="65"/>
  <c r="D30" i="65"/>
  <c r="H34" i="65"/>
  <c r="D39" i="65"/>
  <c r="H41" i="65"/>
  <c r="H47" i="65"/>
  <c r="D64" i="65"/>
  <c r="H7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76" i="65"/>
  <c r="D184" i="65"/>
  <c r="D189" i="65"/>
  <c r="D211" i="65"/>
  <c r="D223" i="65"/>
  <c r="D229" i="65"/>
  <c r="D235" i="65"/>
  <c r="D240" i="65"/>
  <c r="D246" i="65"/>
  <c r="D252" i="65"/>
  <c r="D258" i="65"/>
  <c r="D275" i="65"/>
  <c r="D280" i="65"/>
  <c r="D288" i="65"/>
  <c r="D293" i="65"/>
  <c r="D298" i="65"/>
  <c r="D305" i="65"/>
  <c r="D310" i="65"/>
  <c r="D315" i="65"/>
  <c r="D322" i="65"/>
  <c r="D327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J368" i="65"/>
  <c r="L370" i="65"/>
  <c r="J391" i="65"/>
  <c r="D348" i="65"/>
  <c r="F352" i="56" l="1"/>
  <c r="D44" i="56"/>
  <c r="D206" i="65"/>
  <c r="D171" i="65"/>
  <c r="D207" i="65"/>
  <c r="D157" i="65"/>
  <c r="D85" i="65"/>
  <c r="D200" i="65"/>
  <c r="D268" i="65"/>
  <c r="D203" i="65"/>
  <c r="D168" i="65"/>
  <c r="D270" i="65"/>
  <c r="D166" i="65"/>
  <c r="D212" i="65"/>
  <c r="D342" i="65"/>
  <c r="D222" i="65"/>
  <c r="H86" i="65"/>
  <c r="D336" i="65"/>
  <c r="D159" i="65"/>
  <c r="D263" i="65"/>
  <c r="D218" i="65"/>
  <c r="D155" i="65"/>
  <c r="H61" i="65"/>
  <c r="D345" i="65"/>
  <c r="H11" i="65"/>
  <c r="D170" i="65"/>
  <c r="D217" i="65"/>
  <c r="D346" i="65"/>
  <c r="D337" i="65"/>
  <c r="D267" i="65"/>
  <c r="D215" i="65"/>
  <c r="D177" i="65"/>
  <c r="H80" i="65"/>
  <c r="D198" i="65"/>
  <c r="D261" i="65"/>
  <c r="E360" i="55"/>
  <c r="K34" i="55"/>
  <c r="K348" i="55" s="1"/>
  <c r="E335" i="55"/>
  <c r="K21" i="55"/>
  <c r="K333" i="55" s="1"/>
  <c r="I13" i="55"/>
  <c r="I325" i="55" s="1"/>
  <c r="I85" i="65"/>
  <c r="K85" i="65" s="1"/>
  <c r="E75" i="65"/>
  <c r="J78" i="65" s="1"/>
  <c r="I65" i="65"/>
  <c r="J85" i="65"/>
  <c r="E334" i="55"/>
  <c r="E324" i="55"/>
  <c r="E323" i="55"/>
  <c r="D339" i="65"/>
  <c r="D201" i="65"/>
  <c r="D163" i="65"/>
  <c r="H81" i="65"/>
  <c r="D265" i="65"/>
  <c r="D219" i="65"/>
  <c r="D173" i="65"/>
  <c r="D75" i="65"/>
  <c r="D178" i="65"/>
  <c r="D260" i="65"/>
  <c r="D257" i="65"/>
  <c r="D210" i="65"/>
  <c r="D161" i="65"/>
  <c r="H75" i="65"/>
  <c r="D266" i="65"/>
  <c r="D175" i="65"/>
  <c r="D214" i="65"/>
  <c r="D333" i="65"/>
  <c r="D195" i="65"/>
  <c r="D160" i="65"/>
  <c r="H76" i="65"/>
  <c r="D259" i="65"/>
  <c r="D213" i="65"/>
  <c r="D165" i="65"/>
  <c r="H85" i="65"/>
  <c r="H10" i="65"/>
  <c r="D79" i="65"/>
  <c r="D196" i="65"/>
  <c r="D264" i="65"/>
  <c r="D205" i="65"/>
  <c r="H9" i="65"/>
  <c r="D220" i="65"/>
  <c r="D167" i="65"/>
  <c r="H79" i="65"/>
  <c r="H66" i="65"/>
  <c r="D340" i="65"/>
  <c r="D202" i="65"/>
  <c r="D158" i="65"/>
  <c r="D204" i="65"/>
  <c r="D334" i="65"/>
  <c r="D194" i="65"/>
  <c r="H63" i="65"/>
  <c r="D86" i="65"/>
  <c r="D269" i="65"/>
  <c r="D179" i="65"/>
  <c r="H13" i="65"/>
  <c r="D335" i="65"/>
  <c r="D197" i="65"/>
  <c r="D162" i="65"/>
  <c r="D208" i="65"/>
  <c r="D338" i="65"/>
  <c r="D60" i="65"/>
  <c r="H65" i="65"/>
  <c r="F353" i="56"/>
  <c r="F51" i="56"/>
  <c r="I66" i="65"/>
  <c r="E79" i="65"/>
  <c r="J82" i="65" s="1"/>
  <c r="I86" i="65"/>
  <c r="K12" i="55"/>
  <c r="K324" i="55" s="1"/>
  <c r="K22" i="55"/>
  <c r="K334" i="55" s="1"/>
  <c r="M30" i="58"/>
  <c r="I9" i="58" s="1"/>
  <c r="E326" i="55"/>
  <c r="E333" i="55"/>
  <c r="L358" i="65"/>
  <c r="K14" i="55"/>
  <c r="K326" i="55" s="1"/>
  <c r="I24" i="55"/>
  <c r="I336" i="55" s="1"/>
  <c r="E336" i="55"/>
  <c r="E364" i="55"/>
  <c r="I29" i="55"/>
  <c r="I341" i="55" s="1"/>
  <c r="J353" i="65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J34" i="65"/>
  <c r="L87" i="65"/>
  <c r="K34" i="65"/>
  <c r="E30" i="58"/>
  <c r="E332" i="58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I92" i="65"/>
  <c r="I94" i="65" s="1"/>
  <c r="E71" i="65"/>
  <c r="J74" i="65" s="1"/>
  <c r="J87" i="65"/>
  <c r="F28" i="54"/>
  <c r="K40" i="55"/>
  <c r="K354" i="55" s="1"/>
  <c r="K32" i="55"/>
  <c r="K346" i="55" s="1"/>
  <c r="E39" i="55"/>
  <c r="I39" i="55" s="1"/>
  <c r="I353" i="55" s="1"/>
  <c r="J31" i="65"/>
  <c r="E30" i="55"/>
  <c r="I30" i="55" s="1"/>
  <c r="K30" i="55" s="1"/>
  <c r="K342" i="55" s="1"/>
  <c r="E354" i="55"/>
  <c r="E35" i="55"/>
  <c r="B373" i="54"/>
  <c r="E346" i="55"/>
  <c r="F55" i="54"/>
  <c r="I9" i="65" s="1"/>
  <c r="L350" i="65"/>
  <c r="J354" i="65"/>
  <c r="L354" i="65"/>
  <c r="D343" i="65"/>
  <c r="D164" i="65"/>
  <c r="D172" i="65"/>
  <c r="D209" i="65"/>
  <c r="D180" i="65"/>
  <c r="Z30" i="61"/>
  <c r="Z328" i="61" s="1"/>
  <c r="X329" i="61"/>
  <c r="J348" i="60"/>
  <c r="N43" i="60"/>
  <c r="N348" i="60" s="1"/>
  <c r="E89" i="65"/>
  <c r="E60" i="65"/>
  <c r="F344" i="56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K28" i="55"/>
  <c r="K340" i="55" s="1"/>
  <c r="I28" i="55"/>
  <c r="I340" i="55" s="1"/>
  <c r="E340" i="55"/>
  <c r="V37" i="57"/>
  <c r="V341" i="57" s="1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L408" i="65"/>
  <c r="J408" i="65"/>
  <c r="J46" i="65"/>
  <c r="K46" i="65"/>
  <c r="L46" i="65"/>
  <c r="D344" i="56"/>
  <c r="E59" i="65"/>
  <c r="G330" i="58"/>
  <c r="G30" i="58"/>
  <c r="C9" i="58" s="1"/>
  <c r="X37" i="57"/>
  <c r="X318" i="57"/>
  <c r="D28" i="54"/>
  <c r="D338" i="54"/>
  <c r="J10" i="65"/>
  <c r="P22" i="60"/>
  <c r="P327" i="60" s="1"/>
  <c r="I68" i="65" l="1"/>
  <c r="I70" i="65" s="1"/>
  <c r="D347" i="56"/>
  <c r="D46" i="56"/>
  <c r="E65" i="65"/>
  <c r="J65" i="65" s="1"/>
  <c r="D49" i="56"/>
  <c r="L85" i="65"/>
  <c r="K13" i="55"/>
  <c r="K325" i="55" s="1"/>
  <c r="K45" i="55"/>
  <c r="K359" i="55" s="1"/>
  <c r="K29" i="55"/>
  <c r="K341" i="55" s="1"/>
  <c r="M332" i="58"/>
  <c r="K78" i="65"/>
  <c r="L78" i="65"/>
  <c r="E361" i="55"/>
  <c r="L82" i="65"/>
  <c r="Z39" i="61"/>
  <c r="J423" i="65" s="1"/>
  <c r="K82" i="65"/>
  <c r="E63" i="65"/>
  <c r="F354" i="56"/>
  <c r="I61" i="65"/>
  <c r="E182" i="65"/>
  <c r="I311" i="58"/>
  <c r="I181" i="65"/>
  <c r="K181" i="65" s="1"/>
  <c r="I15" i="58"/>
  <c r="K86" i="65"/>
  <c r="L86" i="65"/>
  <c r="J86" i="65"/>
  <c r="I155" i="65"/>
  <c r="C311" i="58"/>
  <c r="C15" i="58"/>
  <c r="E157" i="65"/>
  <c r="L66" i="65"/>
  <c r="K66" i="65"/>
  <c r="J66" i="65"/>
  <c r="K37" i="55"/>
  <c r="K351" i="55" s="1"/>
  <c r="K33" i="55"/>
  <c r="K347" i="55" s="1"/>
  <c r="K47" i="55"/>
  <c r="K361" i="55" s="1"/>
  <c r="K49" i="55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L54" i="65"/>
  <c r="K54" i="65"/>
  <c r="J54" i="65"/>
  <c r="K50" i="65"/>
  <c r="J50" i="65"/>
  <c r="L50" i="65"/>
  <c r="L94" i="65"/>
  <c r="K94" i="65"/>
  <c r="J94" i="65"/>
  <c r="L65" i="65" l="1"/>
  <c r="E61" i="65"/>
  <c r="D349" i="56"/>
  <c r="K65" i="65"/>
  <c r="E67" i="65"/>
  <c r="D352" i="56"/>
  <c r="I89" i="65"/>
  <c r="I91" i="65" s="1"/>
  <c r="D51" i="56"/>
  <c r="K423" i="65"/>
  <c r="Z337" i="61"/>
  <c r="L423" i="65"/>
  <c r="L181" i="65"/>
  <c r="J181" i="65"/>
  <c r="I317" i="58"/>
  <c r="I17" i="58"/>
  <c r="I31" i="58"/>
  <c r="I333" i="58" s="1"/>
  <c r="I35" i="58"/>
  <c r="I337" i="58" s="1"/>
  <c r="L157" i="65"/>
  <c r="J157" i="65"/>
  <c r="C31" i="58"/>
  <c r="C333" i="58" s="1"/>
  <c r="C17" i="58"/>
  <c r="C35" i="58"/>
  <c r="C337" i="58" s="1"/>
  <c r="C317" i="58"/>
  <c r="J182" i="65"/>
  <c r="L182" i="65"/>
  <c r="L61" i="65"/>
  <c r="K61" i="65"/>
  <c r="J61" i="65"/>
  <c r="L63" i="65"/>
  <c r="J63" i="65"/>
  <c r="K63" i="65"/>
  <c r="K16" i="55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E8" i="65"/>
  <c r="D5" i="54"/>
  <c r="D342" i="54"/>
  <c r="J95" i="65"/>
  <c r="L95" i="65"/>
  <c r="K95" i="65"/>
  <c r="K155" i="65"/>
  <c r="J155" i="65"/>
  <c r="L155" i="65"/>
  <c r="L64" i="65"/>
  <c r="K64" i="65"/>
  <c r="J64" i="65"/>
  <c r="D354" i="56" l="1"/>
  <c r="E62" i="65"/>
  <c r="L91" i="65"/>
  <c r="J91" i="65"/>
  <c r="K91" i="65"/>
  <c r="L70" i="65"/>
  <c r="K70" i="65"/>
  <c r="J70" i="65"/>
  <c r="C319" i="58"/>
  <c r="C30" i="58"/>
  <c r="C332" i="58" s="1"/>
  <c r="I319" i="58"/>
  <c r="I30" i="58"/>
  <c r="I332" i="58" s="1"/>
  <c r="K9" i="65"/>
  <c r="J9" i="65"/>
  <c r="L9" i="65"/>
  <c r="G371" i="55"/>
  <c r="I14" i="65"/>
  <c r="I369" i="55"/>
  <c r="I57" i="55"/>
  <c r="I371" i="55" s="1"/>
  <c r="E371" i="55"/>
  <c r="J8" i="65"/>
  <c r="K8" i="65"/>
  <c r="L8" i="65"/>
  <c r="K62" i="65" l="1"/>
  <c r="L62" i="65"/>
  <c r="J62" i="65"/>
  <c r="L14" i="65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<sst xmlns="http://schemas.openxmlformats.org/spreadsheetml/2006/main" count="1911" uniqueCount="995">
  <si>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</si>
  <si>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</si>
  <si>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</si>
  <si>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</si>
  <si>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</si>
  <si>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</si>
  <si>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</si>
  <si>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</si>
  <si>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</si>
  <si>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</si>
  <si>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</si>
  <si>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</si>
  <si>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</si>
  <si>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</si>
  <si>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</si>
  <si>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</si>
  <si>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</si>
  <si>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</si>
  <si>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</si>
  <si>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</si>
  <si>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</si>
  <si>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</si>
  <si>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</si>
  <si>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</si>
  <si>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</si>
  <si>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</si>
  <si>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</si>
  <si>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</si>
  <si>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</si>
  <si>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</si>
  <si>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</si>
  <si>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</si>
  <si>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</si>
  <si>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</si>
  <si>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</si>
  <si>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</si>
  <si>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</si>
  <si>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</si>
  <si>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</si>
  <si>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</si>
  <si>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</si>
  <si>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</si>
  <si>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</si>
  <si>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</si>
  <si>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</si>
  <si>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</si>
  <si>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</si>
  <si>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</si>
  <si>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</si>
  <si>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</si>
  <si>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</si>
  <si>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</si>
  <si>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</si>
  <si>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</si>
  <si>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</si>
  <si>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</si>
  <si>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</si>
  <si>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</si>
  <si>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</si>
  <si>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</si>
  <si>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</si>
  <si>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</si>
  <si>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</si>
  <si>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</si>
  <si>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</si>
  <si>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</si>
  <si>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</si>
  <si>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</si>
  <si>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</si>
  <si>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</si>
  <si>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</si>
  <si>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</si>
  <si>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</si>
  <si>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</si>
  <si>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</si>
  <si>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</si>
  <si>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</si>
  <si>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</si>
  <si>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</si>
  <si>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</si>
  <si>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</si>
  <si>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</si>
  <si>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</si>
  <si>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</si>
  <si>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</si>
  <si>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</si>
  <si>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</si>
  <si>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</si>
  <si>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</si>
  <si>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</si>
  <si>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</si>
  <si>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</si>
  <si>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</si>
  <si>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</si>
  <si>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</si>
  <si>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</si>
  <si>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</si>
  <si>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</si>
  <si>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</si>
  <si>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</si>
  <si>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</si>
  <si>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</si>
  <si>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</si>
  <si>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</si>
  <si>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</si>
  <si>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</si>
  <si>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</si>
  <si>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</si>
  <si>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</si>
  <si>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</si>
  <si>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</si>
  <si>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</si>
  <si>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</si>
  <si>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</si>
  <si>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</si>
  <si>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</si>
  <si>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</si>
  <si>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</si>
  <si>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</si>
  <si>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</si>
  <si>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</si>
  <si>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</si>
  <si>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</si>
  <si>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</si>
  <si>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</si>
  <si>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</si>
  <si>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</si>
  <si>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</si>
  <si>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</si>
  <si>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</si>
  <si>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</si>
  <si>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</si>
  <si>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</si>
  <si>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</si>
  <si>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</si>
  <si>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</si>
  <si>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</si>
  <si>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</si>
  <si>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</si>
  <si>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</si>
  <si>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</si>
  <si>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</si>
  <si>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</si>
  <si>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</si>
  <si>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</si>
  <si>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</si>
  <si>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</si>
  <si>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</si>
  <si>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</si>
  <si>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</si>
  <si>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</si>
  <si>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</si>
  <si>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</si>
  <si>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</si>
  <si>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</si>
  <si>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</si>
  <si>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</si>
  <si>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</si>
  <si>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</si>
  <si>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</si>
  <si>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</si>
  <si>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</si>
  <si>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</si>
  <si>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</si>
  <si>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</si>
  <si>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</si>
  <si>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</si>
  <si>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</si>
  <si>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</si>
  <si>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</si>
  <si>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</si>
  <si>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</si>
  <si>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</si>
  <si>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</si>
  <si>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</si>
  <si>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</si>
  <si>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</si>
  <si>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</si>
  <si>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</si>
  <si>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</si>
  <si>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</si>
  <si>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</si>
  <si>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</si>
  <si>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</si>
  <si>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</si>
  <si>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</si>
  <si>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</si>
  <si>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</si>
  <si>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</si>
  <si>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</si>
  <si>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</si>
  <si>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</si>
  <si>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</si>
  <si>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</si>
  <si>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</si>
  <si>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</si>
  <si>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</si>
  <si>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</si>
  <si>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</si>
  <si>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</si>
  <si>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</si>
  <si>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</si>
  <si>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</si>
  <si>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</si>
  <si>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</si>
  <si>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</si>
  <si>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</si>
  <si>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</si>
  <si>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</si>
  <si>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</si>
  <si>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</si>
  <si>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</si>
  <si>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</si>
  <si>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</si>
  <si>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</si>
  <si>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</si>
  <si>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</si>
  <si>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</si>
  <si>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</si>
  <si>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</si>
  <si>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</si>
  <si>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</si>
  <si>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</si>
  <si>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</si>
  <si>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</si>
  <si>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</si>
  <si>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</si>
  <si>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</si>
  <si>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</si>
  <si>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</si>
  <si>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</si>
  <si>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</si>
  <si>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</si>
  <si>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</si>
  <si>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</si>
  <si>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</si>
  <si>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</si>
  <si>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</si>
  <si>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</si>
  <si>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</si>
  <si>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</si>
  <si>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</si>
  <si>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</si>
  <si>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</si>
  <si>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</si>
  <si>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</si>
  <si>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</si>
  <si>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</si>
  <si>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</si>
  <si>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</si>
  <si>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</si>
  <si>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</si>
  <si>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</si>
  <si>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</si>
  <si>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</si>
  <si>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</si>
  <si>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</si>
  <si>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</si>
  <si>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</si>
  <si>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</si>
  <si>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</si>
  <si>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</si>
  <si>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</si>
  <si>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</si>
  <si>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</si>
  <si>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</si>
  <si>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</si>
  <si>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</si>
  <si>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</si>
  <si>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</si>
  <si>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</si>
  <si>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</si>
  <si>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</si>
  <si>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</si>
  <si>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</si>
  <si>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</si>
  <si>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</si>
  <si>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</si>
  <si>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</si>
  <si>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</si>
  <si>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</si>
  <si>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</si>
  <si>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</si>
  <si>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</si>
  <si>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</si>
  <si>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</si>
  <si>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</si>
  <si>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</si>
  <si>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</si>
  <si>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</si>
  <si>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</si>
  <si>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</si>
  <si>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</si>
  <si>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</si>
  <si>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</si>
  <si>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</si>
  <si>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</si>
  <si>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</si>
  <si>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</si>
  <si>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</si>
  <si>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</si>
  <si>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</si>
  <si>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</si>
  <si>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</si>
  <si>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</si>
  <si>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</si>
  <si>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</si>
  <si>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</si>
  <si>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</si>
  <si>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</si>
  <si>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</si>
  <si>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</si>
  <si>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</si>
  <si>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</si>
  <si>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</si>
  <si>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</si>
  <si>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</si>
  <si>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</si>
  <si>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</si>
  <si>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</si>
  <si>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</si>
  <si>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</si>
  <si>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</si>
  <si>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</si>
  <si>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</si>
  <si>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</si>
  <si>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</si>
  <si>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</si>
  <si>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</si>
  <si>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</si>
  <si>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</si>
  <si>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</si>
  <si>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</si>
  <si>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</si>
  <si>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</si>
  <si>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</si>
  <si>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</si>
  <si>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</si>
  <si>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</si>
  <si>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</si>
  <si>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</si>
  <si>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</si>
  <si>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</si>
  <si>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</si>
  <si>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</si>
  <si>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</si>
  <si>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</si>
  <si>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</si>
  <si>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</si>
  <si>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</si>
  <si>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</si>
  <si>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</si>
  <si>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</si>
  <si>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</si>
  <si>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</si>
  <si>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</si>
  <si>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</si>
  <si>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</si>
  <si>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</si>
  <si>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</si>
  <si>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</si>
  <si>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</si>
  <si>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</si>
  <si>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</si>
  <si>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</si>
  <si>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</si>
  <si>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</si>
  <si>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</si>
  <si>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</si>
  <si>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</si>
  <si>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</si>
  <si>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</si>
  <si>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</si>
  <si>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</si>
  <si>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</si>
  <si>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</si>
  <si>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</si>
  <si>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</si>
  <si>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</si>
  <si>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</si>
  <si>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</si>
  <si>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</si>
  <si>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</si>
  <si>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</si>
  <si>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</si>
  <si>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</si>
  <si>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</si>
  <si>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</si>
  <si>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</si>
  <si>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</si>
  <si>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</si>
  <si>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</si>
  <si>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</si>
  <si>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</si>
  <si>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</si>
  <si>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</si>
  <si>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</si>
  <si>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</si>
  <si>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</si>
  <si>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</si>
  <si>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</si>
  <si>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</si>
  <si>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</si>
  <si>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</si>
  <si>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</si>
  <si>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</si>
  <si>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</si>
  <si>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</si>
  <si>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</si>
  <si>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</si>
  <si>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</si>
  <si>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</si>
  <si>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</si>
  <si>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</si>
  <si>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</si>
  <si>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</si>
  <si>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</si>
  <si>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</si>
  <si>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</si>
  <si>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</si>
  <si>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</si>
  <si>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</si>
  <si>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</si>
  <si>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</si>
  <si>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</si>
  <si>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</si>
  <si>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</si>
  <si>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</si>
  <si>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</si>
  <si>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</si>
  <si>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</si>
  <si>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</si>
  <si>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</si>
  <si>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</si>
  <si>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</si>
  <si>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</si>
  <si>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</si>
  <si>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</si>
  <si>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</si>
  <si>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</si>
  <si>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</si>
  <si>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</si>
  <si>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</si>
  <si>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</si>
  <si>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</si>
  <si>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</si>
  <si>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</si>
  <si>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</si>
  <si>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</si>
  <si>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</si>
  <si>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</si>
  <si>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</si>
  <si>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</si>
  <si>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</si>
  <si>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</si>
  <si>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</si>
  <si>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</si>
  <si>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</si>
  <si>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</si>
  <si>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</si>
  <si>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</si>
  <si>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</si>
  <si>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</si>
  <si>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</si>
  <si>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</si>
  <si>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</si>
  <si>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</si>
  <si>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</si>
  <si>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</si>
  <si>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</si>
  <si>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</si>
  <si>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</si>
  <si>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</si>
  <si>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</si>
  <si>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</si>
  <si>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</si>
  <si>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</si>
  <si>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</si>
  <si>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</si>
  <si>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</si>
  <si>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</si>
  <si>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</si>
  <si>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</si>
  <si>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</si>
  <si>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</si>
  <si>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</si>
  <si>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</si>
  <si>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</si>
  <si>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</si>
  <si>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</si>
  <si>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</si>
  <si>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</si>
  <si>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</si>
  <si>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</si>
  <si>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</si>
  <si>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</si>
  <si>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</si>
  <si>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</si>
  <si>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</si>
  <si>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</si>
  <si>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</si>
  <si>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</si>
  <si>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</si>
  <si>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</si>
  <si>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</si>
  <si>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</si>
  <si>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</si>
  <si>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</si>
  <si>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</si>
  <si>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</si>
  <si>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</si>
  <si>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</si>
  <si>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</si>
  <si>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</si>
  <si>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</si>
  <si>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</si>
  <si>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</si>
  <si>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</si>
  <si>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</si>
  <si>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</si>
  <si>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</si>
  <si>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</si>
  <si>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</si>
  <si>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</si>
  <si>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</si>
  <si>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</si>
  <si>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</si>
  <si>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</si>
  <si>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</si>
  <si>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</si>
  <si>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</si>
  <si>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</si>
  <si>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</si>
  <si>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</si>
  <si>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</si>
  <si>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</si>
  <si>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</si>
  <si>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</si>
  <si>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</si>
  <si>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</si>
  <si>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</si>
  <si>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</si>
  <si>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</si>
  <si>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</si>
  <si>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</si>
  <si>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</si>
  <si>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</si>
  <si>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</si>
  <si>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</si>
  <si>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</si>
  <si>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</si>
  <si>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</si>
  <si>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</si>
  <si>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</si>
  <si>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</si>
  <si>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</si>
  <si>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</si>
  <si>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</si>
  <si>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</si>
  <si>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</si>
  <si>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</si>
  <si>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</si>
  <si>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</si>
  <si>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</si>
  <si>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</si>
  <si>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</si>
  <si>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</si>
  <si>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</si>
  <si>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</si>
  <si>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</si>
  <si>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</si>
  <si>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</si>
  <si>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</si>
  <si>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</si>
  <si>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</si>
  <si>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</si>
  <si>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</si>
  <si>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</si>
  <si>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</si>
  <si>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</si>
  <si>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</si>
  <si>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</si>
  <si>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</si>
  <si>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</si>
  <si>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</si>
  <si>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</si>
  <si>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</si>
  <si>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</si>
  <si>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</si>
  <si>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</si>
  <si>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</si>
  <si>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</si>
  <si>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</si>
  <si>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</si>
  <si>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</si>
  <si>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</si>
  <si>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</si>
  <si>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</si>
  <si>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</si>
  <si>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</si>
  <si>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</si>
  <si>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</si>
  <si>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</si>
  <si>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</si>
  <si>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</si>
  <si>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</si>
  <si>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</si>
  <si>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</si>
  <si>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</si>
  <si>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</si>
  <si>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</si>
  <si>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</si>
  <si>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</si>
  <si>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</si>
  <si>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</si>
  <si>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</si>
  <si>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</si>
  <si>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</si>
  <si>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</si>
  <si>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</si>
  <si>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</si>
  <si>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</si>
  <si>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</si>
  <si>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</si>
  <si>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</si>
  <si>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</si>
  <si>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</si>
  <si>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</si>
  <si>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</si>
  <si>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</si>
  <si>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</si>
  <si>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</si>
  <si>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</si>
  <si>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</si>
  <si>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</si>
  <si>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</si>
  <si>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</si>
  <si>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</si>
  <si>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</si>
  <si>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</si>
  <si>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</si>
  <si>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</si>
  <si>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</si>
  <si>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</si>
  <si>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</si>
  <si>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</si>
  <si>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</si>
  <si>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</si>
  <si>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</si>
  <si>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</si>
  <si>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</si>
  <si>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</si>
  <si>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</si>
  <si>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</si>
  <si>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</si>
  <si>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</si>
  <si>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</si>
  <si>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</si>
  <si>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</si>
  <si>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</si>
  <si>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</si>
  <si>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</si>
  <si>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</si>
  <si>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</si>
  <si>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</si>
  <si>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</si>
  <si>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</si>
  <si>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</si>
  <si>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</si>
  <si>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</si>
  <si>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</si>
  <si>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</si>
  <si>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</si>
  <si>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</si>
  <si>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</si>
  <si>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</si>
  <si>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</si>
  <si>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</si>
  <si>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</si>
  <si>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</si>
  <si>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</si>
  <si>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</si>
  <si>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</si>
  <si>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</si>
  <si>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</si>
  <si>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</si>
  <si>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</si>
  <si>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</si>
  <si>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</si>
  <si>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</si>
  <si>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</si>
  <si>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</si>
  <si>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</si>
  <si>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</si>
  <si>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</si>
  <si>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</si>
  <si>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</si>
  <si>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</si>
  <si>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</si>
  <si>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</si>
  <si>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</si>
  <si>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</si>
  <si>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</si>
  <si>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</si>
  <si>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</si>
  <si>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</si>
  <si>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</si>
  <si>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</si>
  <si>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</si>
  <si>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</si>
  <si>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</si>
  <si>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</si>
  <si>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</si>
  <si>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</si>
  <si>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</si>
  <si>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</si>
  <si>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</si>
  <si>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</si>
  <si>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</si>
  <si>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</si>
  <si>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</si>
  <si>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</si>
  <si>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</si>
  <si>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</si>
  <si>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</si>
  <si>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</si>
  <si>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</si>
  <si>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</si>
  <si>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</si>
  <si>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</si>
  <si>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</si>
  <si>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</si>
  <si>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</si>
  <si>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</si>
  <si>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</si>
  <si>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</si>
  <si>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</si>
  <si>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</si>
  <si>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</si>
  <si>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</si>
  <si>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</si>
  <si>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</si>
  <si>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</si>
  <si>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</si>
  <si>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</si>
  <si>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</si>
  <si>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</si>
  <si>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</si>
  <si>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</si>
  <si>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</si>
  <si>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</si>
  <si>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</si>
  <si>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</si>
  <si>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</si>
  <si>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</si>
  <si>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</si>
  <si>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</si>
  <si>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</si>
  <si>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</si>
  <si>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</si>
  <si>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</si>
  <si>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</si>
  <si>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</si>
  <si>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</si>
  <si>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</si>
  <si>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</si>
  <si>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</si>
  <si>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</si>
  <si>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</si>
  <si>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</si>
  <si>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</si>
  <si>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</si>
  <si>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</si>
  <si>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</si>
  <si>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</si>
  <si>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</si>
  <si>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</si>
  <si>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</si>
  <si>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</si>
  <si>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</si>
  <si>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</si>
  <si>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</si>
  <si>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</si>
  <si>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</si>
  <si>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</si>
  <si>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</si>
  <si>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</si>
  <si>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</si>
  <si>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</si>
  <si>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</si>
  <si>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</si>
  <si>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</si>
  <si>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</si>
  <si>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</si>
  <si>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</si>
  <si>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</si>
  <si>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</si>
  <si>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</si>
  <si>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</si>
  <si>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</si>
  <si>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</si>
  <si>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</si>
  <si>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</si>
  <si>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</si>
  <si>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</si>
  <si>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</si>
  <si>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</si>
  <si>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</si>
  <si>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</si>
  <si>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</si>
  <si>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</si>
  <si>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</si>
  <si>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</si>
  <si>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</si>
  <si>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</si>
  <si>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</si>
  <si>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</si>
  <si>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</si>
  <si>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</si>
  <si>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</si>
  <si>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</si>
  <si>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</si>
  <si>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</si>
  <si>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</si>
  <si>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</si>
  <si>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</si>
  <si>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</si>
  <si>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</si>
  <si>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</si>
  <si>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</si>
  <si>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</si>
  <si>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</si>
  <si>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</si>
  <si>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</si>
  <si>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</si>
  <si>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</si>
  <si>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</si>
  <si>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</si>
  <si>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</si>
  <si>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</si>
  <si>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</si>
  <si>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</si>
  <si>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</si>
  <si>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</si>
  <si>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</si>
  <si>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</si>
  <si>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</si>
  <si>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</si>
  <si>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</si>
  <si>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</si>
  <si>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</si>
  <si>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</si>
  <si>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</si>
  <si>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</si>
  <si>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</si>
  <si>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</si>
  <si>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</si>
  <si>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</si>
  <si>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</si>
  <si>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</si>
  <si>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</si>
  <si>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</si>
  <si>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</si>
  <si>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</si>
  <si>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</si>
  <si>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</si>
  <si>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</si>
  <si>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</si>
  <si>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</si>
  <si>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</si>
  <si>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</si>
  <si>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</si>
  <si>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</si>
  <si>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</si>
  <si>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</si>
  <si>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</si>
  <si>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</si>
  <si>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</si>
  <si>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</si>
  <si>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</si>
  <si>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</si>
  <si>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</si>
  <si>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</si>
  <si>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</si>
  <si>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</si>
  <si>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</si>
  <si>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</si>
  <si>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</si>
  <si>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</si>
  <si>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</si>
  <si>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</si>
  <si>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</si>
  <si>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</si>
  <si>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</si>
  <si>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</si>
  <si>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</si>
  <si>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</si>
  <si>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</si>
  <si>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</si>
  <si>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</si>
  <si>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</si>
  <si>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</si>
  <si>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</si>
  <si>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</si>
  <si>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</si>
  <si>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</si>
  <si>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</si>
  <si>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</si>
  <si>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</si>
  <si>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</si>
  <si>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</si>
  <si>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</si>
  <si>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</si>
  <si>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</si>
  <si>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</si>
  <si>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</si>
  <si>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</si>
  <si>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</si>
  <si>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</si>
  <si>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</si>
  <si>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</si>
  <si>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</si>
  <si>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</si>
  <si>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</si>
  <si>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</si>
  <si>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</si>
  <si>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</si>
  <si>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</si>
  <si>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</si>
  <si>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</si>
  <si>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</si>
  <si>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</si>
  <si>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</si>
  <si>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</si>
  <si>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</si>
  <si>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</si>
  <si>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</si>
  <si>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</si>
  <si>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</si>
  <si>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</si>
  <si>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</si>
  <si>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</si>
  <si>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</si>
  <si>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</si>
  <si>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</si>
  <si>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</si>
  <si>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</si>
  <si>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</si>
  <si>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</si>
  <si>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</si>
  <si>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</si>
  <si>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</si>
  <si>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</si>
  <si>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</si>
  <si>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</si>
  <si>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</si>
  <si>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</si>
  <si>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</si>
  <si>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</si>
  <si>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</si>
  <si>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</si>
  <si>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</si>
  <si>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</si>
  <si>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</si>
  <si>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</si>
  <si>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</si>
  <si>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</si>
  <si>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</si>
  <si>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</si>
  <si>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</si>
  <si>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</si>
  <si>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</si>
  <si>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</si>
  <si>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</si>
  <si>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</si>
  <si>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</si>
  <si>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עובד מושאל</t>
  </si>
  <si>
    <t>אין</t>
  </si>
  <si>
    <t>לא היה</t>
  </si>
  <si>
    <t>יועץ משפטי</t>
  </si>
  <si>
    <t>מהנדס</t>
  </si>
  <si>
    <t>מנהל מחלקת חינוך</t>
  </si>
  <si>
    <t>מורה תיכון</t>
  </si>
  <si>
    <t>סמנכ"ל</t>
  </si>
  <si>
    <t>23382369</t>
  </si>
  <si>
    <t>23423411</t>
  </si>
  <si>
    <t>23173107</t>
  </si>
  <si>
    <t>27596469</t>
  </si>
  <si>
    <t>24788341</t>
  </si>
  <si>
    <t>23173487</t>
  </si>
  <si>
    <t>53731147</t>
  </si>
  <si>
    <t>מנהל מחלקה</t>
  </si>
  <si>
    <t>36437374</t>
  </si>
  <si>
    <t>57619827</t>
  </si>
  <si>
    <t>עובדים מושאלים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</si>
</sst>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59" x14ac:knownFonts="1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8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165" fontId="1" fillId="6" borderId="2" xfId="17" applyFont="1" applyProtection="1">
      <protection locked="0"/>
    </xf>
    <xf numFmtId="165" fontId="1" fillId="6" borderId="2" xfId="17" applyFont="1">
      <protection locked="0"/>
    </xf>
    <xf numFmtId="49" fontId="1" fillId="6" borderId="2" xfId="17" applyNumberFormat="1" applyFont="1" applyProtection="1">
      <protection locked="0"/>
    </xf>
    <xf numFmtId="165" fontId="1" fillId="6" borderId="0" xfId="17" applyFont="1" applyBorder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16" fillId="7" borderId="7" xfId="18" applyBorder="1">
      <alignment horizontal="right" vertical="center" readingOrder="2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6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ColWidth="9.140625"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90" t="s">
        <v>584</v>
      </c>
      <c r="B4" s="590"/>
      <c r="C4" s="590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91" t="s">
        <v>578</v>
      </c>
      <c r="G6" s="592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81" zoomScaleNormal="115" workbookViewId="0">
      <selection activeCell="C11" sqref="C11"/>
    </sheetView>
  </sheetViews>
  <sheetFormatPr defaultColWidth="9.140625"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3" t="s">
        <v>506</v>
      </c>
      <c r="C6" s="594"/>
      <c r="D6" s="594"/>
      <c r="E6" s="594"/>
      <c r="F6" s="594"/>
      <c r="G6" s="594"/>
      <c r="H6" s="595"/>
      <c r="I6" s="111"/>
    </row>
    <row r="7" spans="1:9" ht="10.5" customHeight="1" x14ac:dyDescent="0.2">
      <c r="A7" s="110"/>
      <c r="B7" s="596"/>
      <c r="C7" s="596"/>
      <c r="D7" s="596"/>
      <c r="E7" s="596"/>
      <c r="F7" s="596"/>
      <c r="G7" s="596"/>
      <c r="H7" s="597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ColWidth="9.140625"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4, שנת 2018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12</v>
      </c>
    </row>
    <row r="4" spans="1:15" ht="17.25" customHeight="1" thickTop="1" x14ac:dyDescent="0.2">
      <c r="A4" s="600" t="s">
        <v>584</v>
      </c>
      <c r="B4" s="600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31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דצמבר</v>
      </c>
    </row>
    <row r="6" spans="1:15" ht="18" customHeight="1" x14ac:dyDescent="0.2">
      <c r="A6" s="43"/>
      <c r="B6" s="601" t="s">
        <v>737</v>
      </c>
      <c r="C6" s="602"/>
      <c r="D6" s="602"/>
      <c r="E6" s="602"/>
      <c r="F6" s="602"/>
      <c r="G6" s="602"/>
      <c r="H6" s="602"/>
      <c r="I6" s="603"/>
      <c r="J6" s="44"/>
    </row>
    <row r="7" spans="1:15" x14ac:dyDescent="0.2">
      <c r="A7" s="43"/>
      <c r="B7" s="604"/>
      <c r="C7" s="605"/>
      <c r="D7" s="605"/>
      <c r="E7" s="605"/>
      <c r="F7" s="605"/>
      <c r="G7" s="605"/>
      <c r="H7" s="605"/>
      <c r="I7" s="606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07" t="s">
        <v>738</v>
      </c>
      <c r="C9" s="598"/>
      <c r="D9" s="608" t="s">
        <v>974</v>
      </c>
      <c r="E9" s="609"/>
      <c r="F9" s="609"/>
      <c r="G9" s="609"/>
      <c r="H9" s="610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11" t="s">
        <v>739</v>
      </c>
      <c r="C11" s="598"/>
      <c r="D11" s="168">
        <v>2018</v>
      </c>
      <c r="E11" s="164"/>
      <c r="F11" s="598" t="s">
        <v>740</v>
      </c>
      <c r="G11" s="598"/>
      <c r="H11" s="598"/>
      <c r="I11" s="599"/>
      <c r="J11" s="44"/>
    </row>
    <row r="12" spans="1:15" ht="6.95" customHeight="1" x14ac:dyDescent="0.2">
      <c r="A12" s="43"/>
      <c r="B12" s="166"/>
      <c r="C12" s="164"/>
      <c r="D12" s="164"/>
      <c r="E12" s="164"/>
      <c r="F12" s="598"/>
      <c r="G12" s="598"/>
      <c r="H12" s="598"/>
      <c r="I12" s="599"/>
      <c r="J12" s="44"/>
    </row>
    <row r="13" spans="1:15" x14ac:dyDescent="0.2">
      <c r="A13" s="43"/>
      <c r="B13" s="611" t="s">
        <v>590</v>
      </c>
      <c r="C13" s="598"/>
      <c r="D13" s="169">
        <f>D11-1</f>
        <v>2017</v>
      </c>
      <c r="E13" s="164"/>
      <c r="F13" s="598" t="s">
        <v>740</v>
      </c>
      <c r="G13" s="598"/>
      <c r="H13" s="598"/>
      <c r="I13" s="599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11" t="s">
        <v>741</v>
      </c>
      <c r="C15" s="598"/>
      <c r="D15" s="169">
        <f>D11-2</f>
        <v>2016</v>
      </c>
      <c r="E15" s="164"/>
      <c r="F15" s="598" t="s">
        <v>740</v>
      </c>
      <c r="G15" s="598"/>
      <c r="H15" s="598"/>
      <c r="I15" s="599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11" t="s">
        <v>742</v>
      </c>
      <c r="C17" s="598"/>
      <c r="D17" s="164">
        <v>1.01</v>
      </c>
      <c r="E17" s="164"/>
      <c r="F17" s="598" t="s">
        <v>743</v>
      </c>
      <c r="G17" s="598"/>
      <c r="H17" s="598"/>
      <c r="I17" s="599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11" t="s">
        <v>744</v>
      </c>
      <c r="C19" s="598"/>
      <c r="D19" s="164">
        <v>31.12</v>
      </c>
      <c r="E19" s="164"/>
      <c r="F19" s="598" t="s">
        <v>743</v>
      </c>
      <c r="G19" s="598"/>
      <c r="H19" s="598"/>
      <c r="I19" s="599"/>
      <c r="J19" s="44"/>
    </row>
    <row r="20" spans="1:10" x14ac:dyDescent="0.2">
      <c r="A20" s="43"/>
      <c r="B20" s="166" t="s">
        <v>745</v>
      </c>
      <c r="C20" s="164"/>
      <c r="D20" s="170">
        <v>4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14" t="s">
        <v>975</v>
      </c>
      <c r="E22" s="615"/>
      <c r="F22" s="616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612" t="s">
        <v>832</v>
      </c>
      <c r="H30" s="613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G30:H30"/>
    <mergeCell ref="B19:C19"/>
    <mergeCell ref="F19:I19"/>
    <mergeCell ref="D22:F22"/>
    <mergeCell ref="B15:C15"/>
    <mergeCell ref="F15:I15"/>
    <mergeCell ref="B17:C17"/>
    <mergeCell ref="F17:I17"/>
    <mergeCell ref="F13:I13"/>
    <mergeCell ref="A4:B4"/>
    <mergeCell ref="B6:I7"/>
    <mergeCell ref="B9:C9"/>
    <mergeCell ref="D9:H9"/>
    <mergeCell ref="B11:C11"/>
    <mergeCell ref="F11:I11"/>
    <mergeCell ref="F12:I12"/>
    <mergeCell ref="B13:C13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tabSelected="1" zoomScale="75" zoomScaleNormal="75" workbookViewId="0"/>
  </sheetViews>
  <sheetFormatPr defaultColWidth="9.140625"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7">
        <f>'הגדרות כלליות'!D6</f>
        <v>0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2018</v>
      </c>
      <c r="G3" s="283">
        <f>ShanaKodemet</f>
        <v>2017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8" t="s">
        <v>910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286"/>
      <c r="N4" s="281"/>
    </row>
    <row r="5" spans="1:16" ht="15.75" x14ac:dyDescent="0.2">
      <c r="A5" s="287"/>
      <c r="B5" s="619" t="s">
        <v>911</v>
      </c>
      <c r="C5" s="619"/>
      <c r="D5" s="619"/>
      <c r="E5" s="619"/>
      <c r="F5" s="619"/>
      <c r="G5" s="619"/>
      <c r="H5" s="619"/>
      <c r="I5" s="619"/>
      <c r="J5" s="619" t="s">
        <v>912</v>
      </c>
      <c r="K5" s="619"/>
      <c r="L5" s="619"/>
      <c r="M5" s="288"/>
      <c r="N5" s="281"/>
    </row>
    <row r="6" spans="1:16" ht="12" customHeight="1" x14ac:dyDescent="0.2">
      <c r="A6" s="289"/>
      <c r="B6" s="621" t="s">
        <v>913</v>
      </c>
      <c r="C6" s="621"/>
      <c r="D6" s="621"/>
      <c r="E6" s="622"/>
      <c r="F6" s="623" t="s">
        <v>914</v>
      </c>
      <c r="G6" s="621"/>
      <c r="H6" s="621"/>
      <c r="I6" s="622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2018</v>
      </c>
      <c r="E8" s="298">
        <f>'תמצית מאזן'!D30</f>
        <v>64696</v>
      </c>
      <c r="F8" s="299" t="s">
        <v>920</v>
      </c>
      <c r="G8" s="296" t="s">
        <v>921</v>
      </c>
      <c r="H8" s="449">
        <f>$F$3</f>
        <v>2018</v>
      </c>
      <c r="I8" s="298">
        <f>'תמצית מאזן'!D55</f>
        <v>64696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2017</v>
      </c>
      <c r="E9" s="298">
        <f>'תמצית מאזן'!F30</f>
        <v>65821</v>
      </c>
      <c r="F9" s="302" t="s">
        <v>920</v>
      </c>
      <c r="G9" s="296" t="s">
        <v>921</v>
      </c>
      <c r="H9" s="449">
        <f>$G$3</f>
        <v>2017</v>
      </c>
      <c r="I9" s="298">
        <f>'תמצית מאזן'!F55</f>
        <v>65821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2018</v>
      </c>
      <c r="E10" s="298">
        <f>'תמצית מאזן'!D17</f>
        <v>8746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2017</v>
      </c>
      <c r="I10" s="298">
        <f>IF(E10&lt;&gt;0,IF('תמצית מאזן'!F20&lt;&gt;0,'תמצית מאזן'!F20,'תמצית מאזן'!F47*(-1)),0)</f>
        <v>8746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2018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2017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2018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2018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2017</v>
      </c>
      <c r="E13" s="298">
        <f>'תמצית מאזן'!F18</f>
        <v>-26</v>
      </c>
      <c r="F13" s="302" t="s">
        <v>920</v>
      </c>
      <c r="G13" s="296" t="s">
        <v>929</v>
      </c>
      <c r="H13" s="449">
        <f>$G$3</f>
        <v>2017</v>
      </c>
      <c r="I13" s="298">
        <f>'תמצית מאזן'!F66</f>
        <v>26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2018</v>
      </c>
      <c r="E14" s="298">
        <f>'תמצית מאזן'!D19</f>
        <v>-85</v>
      </c>
      <c r="F14" s="302" t="s">
        <v>933</v>
      </c>
      <c r="G14" s="296" t="s">
        <v>934</v>
      </c>
      <c r="H14" s="449">
        <f>$F$3</f>
        <v>2018</v>
      </c>
      <c r="I14" s="298">
        <f>IF(E14&lt;&gt;0,'תקציב רגיל'!G57*(-1),0)</f>
        <v>-85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2018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2018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2018</v>
      </c>
      <c r="E16" s="298">
        <f>'תמצית מאזן'!D41</f>
        <v>4321</v>
      </c>
      <c r="F16" s="302" t="s">
        <v>920</v>
      </c>
      <c r="G16" s="296" t="s">
        <v>639</v>
      </c>
      <c r="H16" s="449">
        <f>$F$3</f>
        <v>2018</v>
      </c>
      <c r="I16" s="298">
        <f>'תמצית מאזן'!D80</f>
        <v>4321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2017</v>
      </c>
      <c r="E17" s="298">
        <f>'תמצית מאזן'!F41</f>
        <v>3855</v>
      </c>
      <c r="F17" s="302" t="s">
        <v>920</v>
      </c>
      <c r="G17" s="296" t="s">
        <v>639</v>
      </c>
      <c r="H17" s="449">
        <f>ShanaKodemet</f>
        <v>2017</v>
      </c>
      <c r="I17" s="298">
        <f>'תמצית מאזן'!F80</f>
        <v>3855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2018</v>
      </c>
      <c r="E18" s="298">
        <f>'תמצית מאזן'!D59</f>
        <v>7774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2017</v>
      </c>
      <c r="E19" s="298">
        <f>'תמצית מאזן'!F59</f>
        <v>8234.9189999999999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2018</v>
      </c>
      <c r="E20" s="298">
        <f>'תמצית מאזן'!D38</f>
        <v>0</v>
      </c>
      <c r="F20" s="302" t="s">
        <v>947</v>
      </c>
      <c r="G20" s="296" t="s">
        <v>948</v>
      </c>
      <c r="H20" s="449">
        <f>$F$3</f>
        <v>2018</v>
      </c>
      <c r="I20" s="298">
        <f>'גבייה וחייבים'!C24</f>
        <v>0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2018</v>
      </c>
      <c r="E21" s="298">
        <f>'תמצית מאזן'!D14</f>
        <v>28160</v>
      </c>
      <c r="F21" s="302" t="s">
        <v>920</v>
      </c>
      <c r="G21" s="296" t="s">
        <v>616</v>
      </c>
      <c r="H21" s="449">
        <f>$F$3</f>
        <v>2018</v>
      </c>
      <c r="I21" s="298">
        <f>'תמצית מאזן'!D43</f>
        <v>28160</v>
      </c>
      <c r="J21" s="306" t="str">
        <f>IF($E21=$I21,"תקין",0)</f>
        <v>תקין</v>
      </c>
      <c r="K21" s="536">
        <f>IF($E21=$I21,0,$E21-$I21)</f>
        <v>0</v>
      </c>
      <c r="L21" s="307">
        <f>IF($E21=$I21,0,$P$21)</f>
        <v>0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2017</v>
      </c>
      <c r="E22" s="298">
        <f>'תמצית מאזן'!F14</f>
        <v>28159</v>
      </c>
      <c r="F22" s="302" t="s">
        <v>920</v>
      </c>
      <c r="G22" s="296" t="s">
        <v>616</v>
      </c>
      <c r="H22" s="449">
        <f>ShanaKodemet</f>
        <v>2017</v>
      </c>
      <c r="I22" s="298">
        <f>'תמצית מאזן'!F43</f>
        <v>28159</v>
      </c>
      <c r="J22" s="306" t="str">
        <f>IF($E22=$I22,"תקין",0)</f>
        <v>תקין</v>
      </c>
      <c r="K22" s="536">
        <f>IF($E22=$I22,0,$E22-$I22)</f>
        <v>0</v>
      </c>
      <c r="L22" s="307">
        <f>IF($E22=$I22,0,$P$22)</f>
        <v>0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2018</v>
      </c>
      <c r="E23" s="298">
        <f>'תמצית מאזן'!D20</f>
        <v>8661</v>
      </c>
      <c r="F23" s="302" t="s">
        <v>920</v>
      </c>
      <c r="G23" s="296" t="s">
        <v>620</v>
      </c>
      <c r="H23" s="449">
        <f>$F$3</f>
        <v>2018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2017</v>
      </c>
      <c r="E24" s="298">
        <f>'תמצית מאזן'!F20</f>
        <v>8746</v>
      </c>
      <c r="F24" s="302" t="s">
        <v>920</v>
      </c>
      <c r="G24" s="296" t="s">
        <v>620</v>
      </c>
      <c r="H24" s="449">
        <f>ShanaKodemet</f>
        <v>2017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2018</v>
      </c>
      <c r="E25" s="298">
        <f>'תמצית מאזן'!D82</f>
        <v>5500</v>
      </c>
      <c r="F25" s="302" t="s">
        <v>920</v>
      </c>
      <c r="G25" s="296" t="s">
        <v>955</v>
      </c>
      <c r="H25" s="449">
        <f>$F$3</f>
        <v>2018</v>
      </c>
      <c r="I25" s="298">
        <f>'תמצית מאזן'!D36</f>
        <v>25217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2018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2018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2017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2018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4" t="s">
        <v>959</v>
      </c>
      <c r="C28" s="624"/>
      <c r="D28" s="624"/>
      <c r="E28" s="624"/>
      <c r="F28" s="624"/>
      <c r="G28" s="624"/>
      <c r="H28" s="624"/>
      <c r="I28" s="624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2018</v>
      </c>
      <c r="E29" s="310">
        <f>'תקציב רגיל'!C30</f>
        <v>166855</v>
      </c>
      <c r="F29" s="302" t="s">
        <v>933</v>
      </c>
      <c r="G29" s="296" t="s">
        <v>961</v>
      </c>
      <c r="H29" s="449">
        <f>$F$3</f>
        <v>2018</v>
      </c>
      <c r="I29" s="298">
        <f>'תקציב רגיל'!C55</f>
        <v>166855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2018</v>
      </c>
      <c r="E30" s="310">
        <f>'תקציב רגיל'!C55</f>
        <v>166855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2018</v>
      </c>
      <c r="E31" s="310">
        <f>'תקציב רגיל'!C30</f>
        <v>166855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2018</v>
      </c>
      <c r="E32" s="298">
        <f>'תקציב רגיל'!$G$11</f>
        <v>31043</v>
      </c>
      <c r="F32" s="302" t="s">
        <v>966</v>
      </c>
      <c r="G32" s="314" t="s">
        <v>787</v>
      </c>
      <c r="H32" s="450">
        <f>$F$3</f>
        <v>2018</v>
      </c>
      <c r="I32" s="316">
        <f>'גבייה וחייבים'!C25</f>
        <v>25226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2018</v>
      </c>
      <c r="I33" s="320">
        <f>'גבייה וחייבים'!C16</f>
        <v>5817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2018</v>
      </c>
      <c r="I34" s="322">
        <f>I32+I33</f>
        <v>31043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2018</v>
      </c>
      <c r="E35" s="316">
        <f>'תקציב רגיל'!$G$12</f>
        <v>508</v>
      </c>
      <c r="F35" s="302" t="s">
        <v>966</v>
      </c>
      <c r="G35" s="314" t="s">
        <v>787</v>
      </c>
      <c r="H35" s="450">
        <f>$F$3</f>
        <v>2018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2018</v>
      </c>
      <c r="I36" s="327">
        <f>'גבייה וחייבים'!I16</f>
        <v>508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508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2018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2018</v>
      </c>
      <c r="I38" s="316">
        <f>'גבייה וחייבים'!C25</f>
        <v>25226</v>
      </c>
      <c r="J38" s="324"/>
      <c r="K38" s="543"/>
      <c r="L38" s="325"/>
      <c r="M38" s="326"/>
      <c r="N38" s="281"/>
    </row>
    <row r="39" spans="1:16" x14ac:dyDescent="0.2">
      <c r="A39" s="479"/>
      <c r="B39" s="323" t="s">
        <v>920</v>
      </c>
      <c r="C39" s="323" t="s">
        <v>971</v>
      </c>
      <c r="D39" s="329">
        <f>$F$3</f>
        <v>2018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2018</v>
      </c>
      <c r="I39" s="316">
        <f>'גבייה וחייבים'!C16</f>
        <v>5817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2018</v>
      </c>
      <c r="E40" s="316">
        <f>'תקציב רגיל'!G11</f>
        <v>31043</v>
      </c>
      <c r="F40" s="302" t="s">
        <v>966</v>
      </c>
      <c r="G40" s="314" t="s">
        <v>787</v>
      </c>
      <c r="H40" s="450">
        <f>$F$3</f>
        <v>2018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2018</v>
      </c>
      <c r="E41" s="316">
        <f>'תקציב רגיל'!G12</f>
        <v>508</v>
      </c>
      <c r="F41" s="302" t="s">
        <v>966</v>
      </c>
      <c r="G41" s="314" t="s">
        <v>785</v>
      </c>
      <c r="H41" s="450">
        <f>$F$3</f>
        <v>2018</v>
      </c>
      <c r="I41" s="316">
        <f>'גבייה וחייבים'!I16</f>
        <v>508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31551</v>
      </c>
      <c r="F42" s="302" t="s">
        <v>767</v>
      </c>
      <c r="G42" s="314"/>
      <c r="H42" s="450"/>
      <c r="I42" s="322">
        <f>SUM(I38:I41)</f>
        <v>31551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2018</v>
      </c>
      <c r="E43" s="316">
        <f>'תקציב רגיל'!G29</f>
        <v>16445</v>
      </c>
      <c r="F43" s="302" t="s">
        <v>933</v>
      </c>
      <c r="G43" s="314" t="s">
        <v>0</v>
      </c>
      <c r="H43" s="450">
        <f>$F$3</f>
        <v>2018</v>
      </c>
      <c r="I43" s="316">
        <f>'תקציב רגיל'!G54</f>
        <v>16401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2018</v>
      </c>
      <c r="E44" s="316">
        <f>'תקציב רגיל'!G29</f>
        <v>16445</v>
      </c>
      <c r="F44" s="302" t="s">
        <v>966</v>
      </c>
      <c r="G44" s="472" t="s">
        <v>11</v>
      </c>
      <c r="H44" s="450">
        <f>$F$3</f>
        <v>2018</v>
      </c>
      <c r="I44" s="316">
        <f>'גבייה וחייבים'!C13</f>
        <v>-59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2018</v>
      </c>
      <c r="I45" s="316">
        <f>'גבייה וחייבים'!C21</f>
        <v>-16386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-16445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2018</v>
      </c>
      <c r="E47" s="316">
        <f>'שכר ומשרות'!L43</f>
        <v>80856</v>
      </c>
      <c r="F47" s="302" t="s">
        <v>933</v>
      </c>
      <c r="G47" s="314" t="s">
        <v>663</v>
      </c>
      <c r="H47" s="450">
        <f>$F$3</f>
        <v>2018</v>
      </c>
      <c r="I47" s="316">
        <f>'תקציב רגיל'!G32</f>
        <v>20932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2018</v>
      </c>
      <c r="I48" s="316">
        <f>'תקציב רגיל'!G37</f>
        <v>53540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2018</v>
      </c>
      <c r="I49" s="320">
        <f>'תקציב רגיל'!G40</f>
        <v>6112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80584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2018</v>
      </c>
      <c r="E51" s="320">
        <f>'תקציב רגיל'!G45</f>
        <v>1117</v>
      </c>
      <c r="F51" s="332"/>
      <c r="G51" s="333"/>
      <c r="H51" s="444"/>
      <c r="I51" s="320"/>
      <c r="J51" s="337" t="str">
        <f>IF('תמצית מאזן'!$D$59&lt;&gt;'בדיקות הצלבה'!$I$3,IF('בדיקות הצלבה'!$E$51&gt;0,'בדיקות הצלבה'!$B$3,0),'בדיקות הצלבה'!$E$3)</f>
        <v>תקין</v>
      </c>
      <c r="K51" s="545">
        <f>IF('תמצית מאזן'!$D$59&lt;&gt;'בדיקות הצלבה'!$I$3,IF('בדיקות הצלבה'!$E$51&gt;0,0,0),'בדיקות הצלבה'!$E$3)</f>
        <v>0</v>
      </c>
      <c r="L51" s="339">
        <f>IF('תמצית מאזן'!$D$59&lt;&gt;'בדיקות הצלבה'!$I$3,IF('בדיקות הצלבה'!$E$51&gt;0,0,P51),'בדיקות הצלבה'!$E$3)</f>
        <v>0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2018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 t="s">
        <v>977</v>
      </c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2018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2018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2018</v>
      </c>
      <c r="E54" s="460">
        <f>'תקציב רגיל'!G32</f>
        <v>20932</v>
      </c>
      <c r="F54" s="332" t="s">
        <v>13</v>
      </c>
      <c r="G54" s="333" t="s">
        <v>480</v>
      </c>
      <c r="H54" s="444">
        <f>$F$3</f>
        <v>2018</v>
      </c>
      <c r="I54" s="320">
        <f>'שכר ומשרות'!L43-'שכר ומשרות'!L36-'שכר ומשרות'!L27-'שכר ומשרות'!L24</f>
        <v>21090</v>
      </c>
      <c r="J54" s="337" t="str">
        <f>IF(E54&lt;=I54,$B$3,"")</f>
        <v>תקין</v>
      </c>
      <c r="K54" s="545" t="str">
        <f>IF($E$54&lt;=$I$54,"",$E$54-$I$54)</f>
        <v/>
      </c>
      <c r="L54" s="339" t="str">
        <f>IF($E$54&lt;=$I$54,"",$P$54)</f>
        <v/>
      </c>
      <c r="M54" s="557"/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2018</v>
      </c>
      <c r="E55" s="460">
        <f>'תקציב רגיל'!G37</f>
        <v>53540</v>
      </c>
      <c r="F55" s="442" t="s">
        <v>13</v>
      </c>
      <c r="G55" s="461" t="s">
        <v>482</v>
      </c>
      <c r="H55" s="444">
        <f>$F$3</f>
        <v>2018</v>
      </c>
      <c r="I55" s="320">
        <f>'שכר ומשרות'!L24</f>
        <v>53654</v>
      </c>
      <c r="J55" s="337" t="str">
        <f>IF(E55&lt;=I55,$B$3,"")</f>
        <v>תקין</v>
      </c>
      <c r="K55" s="545" t="str">
        <f>IF($E$55&lt;=$I$55,"",$E$55-$I$55)</f>
        <v/>
      </c>
      <c r="L55" s="339" t="str">
        <f>IF($E$55&lt;=$I$55,"",$P$55)</f>
        <v/>
      </c>
      <c r="M55" s="557"/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2018</v>
      </c>
      <c r="E56" s="460">
        <f>'תקציב רגיל'!G40</f>
        <v>6112</v>
      </c>
      <c r="F56" s="442" t="s">
        <v>13</v>
      </c>
      <c r="G56" s="461" t="s">
        <v>484</v>
      </c>
      <c r="H56" s="444">
        <f>$F$3</f>
        <v>2018</v>
      </c>
      <c r="I56" s="320">
        <f>'שכר ומשרות'!L27</f>
        <v>6112</v>
      </c>
      <c r="J56" s="337" t="str">
        <f>IF(E56&lt;=I56,$B$3,"")</f>
        <v>תקין</v>
      </c>
      <c r="K56" s="545" t="str">
        <f>IF($E$56&lt;=$I$56,"",$E$56-$I$56)</f>
        <v/>
      </c>
      <c r="L56" s="339" t="str">
        <f>IF($E$56&lt;=$I$56,"",$P$56)</f>
        <v/>
      </c>
      <c r="M56" s="557"/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5" t="s">
        <v>19</v>
      </c>
      <c r="C58" s="625"/>
      <c r="D58" s="625"/>
      <c r="E58" s="625"/>
      <c r="F58" s="625"/>
      <c r="G58" s="625"/>
      <c r="H58" s="625"/>
      <c r="I58" s="625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2018</v>
      </c>
      <c r="E59" s="346">
        <f>תברים!D$41</f>
        <v>-1164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2017</v>
      </c>
      <c r="E60" s="316">
        <f>תברים!F$41</f>
        <v>-2946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2018</v>
      </c>
      <c r="E61" s="316">
        <f>תברים!D46</f>
        <v>-5670</v>
      </c>
      <c r="F61" s="302" t="s">
        <v>20</v>
      </c>
      <c r="G61" s="314" t="s">
        <v>24</v>
      </c>
      <c r="H61" s="450">
        <f>$G$3</f>
        <v>2017</v>
      </c>
      <c r="I61" s="316">
        <f>תברים!F51</f>
        <v>-5670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2018</v>
      </c>
      <c r="E62" s="316">
        <f>תברים!D51</f>
        <v>-6834</v>
      </c>
      <c r="F62" s="302" t="s">
        <v>20</v>
      </c>
      <c r="G62" s="314" t="s">
        <v>879</v>
      </c>
      <c r="H62" s="450">
        <f>$F$3</f>
        <v>2018</v>
      </c>
      <c r="I62" s="316">
        <f>תברים!D55</f>
        <v>-6834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2017</v>
      </c>
      <c r="E63" s="316">
        <f>תברים!F51</f>
        <v>-5670</v>
      </c>
      <c r="F63" s="349" t="s">
        <v>20</v>
      </c>
      <c r="G63" s="314" t="s">
        <v>879</v>
      </c>
      <c r="H63" s="450">
        <f>$G$3</f>
        <v>2017</v>
      </c>
      <c r="I63" s="316">
        <f>תברים!F55</f>
        <v>-5670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2018</v>
      </c>
      <c r="E64" s="316">
        <f>תברים!D55</f>
        <v>-6834</v>
      </c>
      <c r="F64" s="349" t="s">
        <v>20</v>
      </c>
      <c r="G64" s="314" t="s">
        <v>27</v>
      </c>
      <c r="H64" s="450">
        <f>$F$3</f>
        <v>2018</v>
      </c>
      <c r="I64" s="316">
        <f>'ריכוז תברים'!X37</f>
        <v>-6834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2018</v>
      </c>
      <c r="E65" s="316">
        <f>תברים!D44</f>
        <v>62518</v>
      </c>
      <c r="F65" s="314" t="s">
        <v>20</v>
      </c>
      <c r="G65" s="314" t="s">
        <v>30</v>
      </c>
      <c r="H65" s="450">
        <f>$G$3</f>
        <v>2017</v>
      </c>
      <c r="I65" s="316">
        <f>תברים!F49</f>
        <v>62518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2018</v>
      </c>
      <c r="E66" s="316">
        <f>תברים!D45</f>
        <v>68188</v>
      </c>
      <c r="F66" s="314" t="s">
        <v>20</v>
      </c>
      <c r="G66" s="314" t="s">
        <v>33</v>
      </c>
      <c r="H66" s="450">
        <f>$G$3</f>
        <v>2017</v>
      </c>
      <c r="I66" s="316">
        <f>תברים!F50</f>
        <v>68188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2018</v>
      </c>
      <c r="E67" s="316">
        <f>תברים!D49</f>
        <v>64647</v>
      </c>
      <c r="F67" s="302" t="s">
        <v>20</v>
      </c>
      <c r="G67" s="314" t="s">
        <v>866</v>
      </c>
      <c r="H67" s="450">
        <f>$F$3</f>
        <v>2018</v>
      </c>
      <c r="I67" s="316">
        <f>תברים!D30</f>
        <v>14161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2018</v>
      </c>
      <c r="I68" s="316">
        <f>תברים!D44</f>
        <v>62518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2018</v>
      </c>
      <c r="I69" s="316">
        <f>תברים!D57</f>
        <v>12032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64647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2018</v>
      </c>
      <c r="E71" s="316">
        <f>תברים!D50</f>
        <v>71481</v>
      </c>
      <c r="F71" s="302" t="s">
        <v>20</v>
      </c>
      <c r="G71" s="314" t="s">
        <v>874</v>
      </c>
      <c r="H71" s="450">
        <f>$F$3</f>
        <v>2018</v>
      </c>
      <c r="I71" s="316">
        <f>תברים!D39</f>
        <v>15325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2018</v>
      </c>
      <c r="I72" s="316">
        <f>תברים!D45</f>
        <v>68188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2018</v>
      </c>
      <c r="I73" s="316">
        <f>תברים!D58</f>
        <v>12032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71481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2017</v>
      </c>
      <c r="E75" s="316">
        <f>תברים!F49</f>
        <v>62518</v>
      </c>
      <c r="F75" s="302" t="s">
        <v>20</v>
      </c>
      <c r="G75" s="314" t="s">
        <v>866</v>
      </c>
      <c r="H75" s="450">
        <f>$G$3</f>
        <v>2017</v>
      </c>
      <c r="I75" s="316">
        <f>תברים!F30</f>
        <v>11845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2017</v>
      </c>
      <c r="I76" s="316">
        <f>תברים!F44</f>
        <v>57793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2017</v>
      </c>
      <c r="I77" s="316">
        <f>תברים!F57</f>
        <v>7120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62518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2017</v>
      </c>
      <c r="E79" s="316">
        <f>תברים!F50</f>
        <v>68188</v>
      </c>
      <c r="F79" s="302" t="s">
        <v>20</v>
      </c>
      <c r="G79" s="314" t="s">
        <v>874</v>
      </c>
      <c r="H79" s="450">
        <f>$G$3</f>
        <v>2017</v>
      </c>
      <c r="I79" s="316">
        <f>תברים!F39</f>
        <v>14791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2017</v>
      </c>
      <c r="I80" s="316">
        <f>תברים!F45</f>
        <v>60517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2017</v>
      </c>
      <c r="I81" s="316">
        <f>תברים!F58</f>
        <v>7120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68188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20" t="s">
        <v>41</v>
      </c>
      <c r="C84" s="620"/>
      <c r="D84" s="620"/>
      <c r="E84" s="620"/>
      <c r="F84" s="620"/>
      <c r="G84" s="620"/>
      <c r="H84" s="620"/>
      <c r="I84" s="620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2017</v>
      </c>
      <c r="E85" s="346">
        <f>'ריכוז תברים'!H37</f>
        <v>62518</v>
      </c>
      <c r="F85" s="299" t="s">
        <v>20</v>
      </c>
      <c r="G85" s="347" t="s">
        <v>30</v>
      </c>
      <c r="H85" s="451">
        <f>$G$3</f>
        <v>2017</v>
      </c>
      <c r="I85" s="346">
        <f>תברים!F49</f>
        <v>62518</v>
      </c>
      <c r="J85" s="363" t="str">
        <f>IF(E85=I85,$B$3,"")</f>
        <v>תקין</v>
      </c>
      <c r="K85" s="550" t="str">
        <f>IF(E85=I85,"",E85-I85)</f>
        <v/>
      </c>
      <c r="L85" s="364" t="str">
        <f>IF($E$85=$I$85,"",P85)</f>
        <v/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2017</v>
      </c>
      <c r="E86" s="316">
        <f>'ריכוז תברים'!J37</f>
        <v>68188</v>
      </c>
      <c r="F86" s="302" t="s">
        <v>20</v>
      </c>
      <c r="G86" s="314" t="s">
        <v>33</v>
      </c>
      <c r="H86" s="450">
        <f>$G$3</f>
        <v>2017</v>
      </c>
      <c r="I86" s="316">
        <f>תברים!F50</f>
        <v>68188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2018</v>
      </c>
      <c r="E87" s="316">
        <f>'ריכוז תברים'!L37</f>
        <v>14161</v>
      </c>
      <c r="F87" s="302" t="s">
        <v>20</v>
      </c>
      <c r="G87" s="314" t="s">
        <v>866</v>
      </c>
      <c r="H87" s="450">
        <f>$F$3</f>
        <v>2018</v>
      </c>
      <c r="I87" s="316">
        <f>תברים!D30</f>
        <v>14161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2018</v>
      </c>
      <c r="E88" s="316">
        <f>'ריכוז תברים'!N37</f>
        <v>15325</v>
      </c>
      <c r="F88" s="302" t="s">
        <v>20</v>
      </c>
      <c r="G88" s="314" t="s">
        <v>874</v>
      </c>
      <c r="H88" s="450">
        <f>$F$3</f>
        <v>2018</v>
      </c>
      <c r="I88" s="316">
        <f>תברים!D39</f>
        <v>15325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2018</v>
      </c>
      <c r="E89" s="316">
        <f>'ריכוז תברים'!P37</f>
        <v>76679</v>
      </c>
      <c r="F89" s="302" t="s">
        <v>20</v>
      </c>
      <c r="G89" s="314" t="s">
        <v>30</v>
      </c>
      <c r="H89" s="450">
        <f>$F$3</f>
        <v>2018</v>
      </c>
      <c r="I89" s="316">
        <f>תברים!D49</f>
        <v>64647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2018</v>
      </c>
      <c r="I90" s="316">
        <f>תברים!D57</f>
        <v>12032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76679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2018</v>
      </c>
      <c r="E92" s="316">
        <f>'ריכוז תברים'!R37</f>
        <v>83513</v>
      </c>
      <c r="F92" s="302" t="s">
        <v>20</v>
      </c>
      <c r="G92" s="314" t="s">
        <v>33</v>
      </c>
      <c r="H92" s="450">
        <f>$F$3</f>
        <v>2018</v>
      </c>
      <c r="I92" s="316">
        <f>תברים!D50</f>
        <v>71481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2018</v>
      </c>
      <c r="I93" s="316">
        <f>תברים!D58</f>
        <v>12032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83513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2018</v>
      </c>
      <c r="E95" s="316">
        <f>'ריכוז תברים'!X37</f>
        <v>-6834</v>
      </c>
      <c r="F95" s="302" t="s">
        <v>20</v>
      </c>
      <c r="G95" s="314" t="s">
        <v>879</v>
      </c>
      <c r="H95" s="450">
        <f>$F$3</f>
        <v>2018</v>
      </c>
      <c r="I95" s="316">
        <f>תברים!D55</f>
        <v>-6834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2018</v>
      </c>
      <c r="E96" s="316">
        <f>'ריכוז תברים'!D8</f>
        <v>2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2018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2018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2018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2018</v>
      </c>
      <c r="E100" s="316">
        <f>'ריכוז תברים'!D12</f>
        <v>1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2018</v>
      </c>
      <c r="E101" s="316">
        <f>'ריכוז תברים'!D13</f>
        <v>2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2018</v>
      </c>
      <c r="E102" s="316">
        <f>'ריכוז תברים'!D14</f>
        <v>7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2018</v>
      </c>
      <c r="E103" s="316">
        <f>'ריכוז תברים'!D15</f>
        <v>42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2018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2018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2018</v>
      </c>
      <c r="E106" s="316">
        <f>'ריכוז תברים'!D18</f>
        <v>5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2018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2018</v>
      </c>
      <c r="E108" s="316">
        <f>'ריכוז תברים'!D20</f>
        <v>1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2018</v>
      </c>
      <c r="E109" s="316">
        <f>'ריכוז תברים'!D21</f>
        <v>42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2018</v>
      </c>
      <c r="E110" s="316">
        <f>'ריכוז תברים'!D22</f>
        <v>20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2018</v>
      </c>
      <c r="E111" s="316">
        <f>'ריכוז תברים'!D23</f>
        <v>2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2018</v>
      </c>
      <c r="E112" s="316">
        <f>'ריכוז תברים'!D24</f>
        <v>2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2018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2018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2018</v>
      </c>
      <c r="E115" s="316">
        <f>'ריכוז תברים'!D27</f>
        <v>1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2018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2018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2018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2018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2018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2018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2018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2018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2018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2018</v>
      </c>
      <c r="E125" s="320">
        <f>'ריכוז תברים'!F8</f>
        <v>956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2018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2018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2018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2018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2018</v>
      </c>
      <c r="E130" s="320">
        <f>'ריכוז תברים'!F13</f>
        <v>438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2018</v>
      </c>
      <c r="E131" s="320">
        <f>'ריכוז תברים'!F14</f>
        <v>5896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2018</v>
      </c>
      <c r="E132" s="320">
        <f>'ריכוז תברים'!F15</f>
        <v>25179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2018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2018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2018</v>
      </c>
      <c r="E135" s="320">
        <f>'ריכוז תברים'!F18</f>
        <v>12225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2018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2018</v>
      </c>
      <c r="E137" s="320">
        <f>'ריכוז תברים'!F20</f>
        <v>248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2018</v>
      </c>
      <c r="E138" s="320">
        <f>'ריכוז תברים'!F21</f>
        <v>89517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2018</v>
      </c>
      <c r="E139" s="320">
        <f>'ריכוז תברים'!F22</f>
        <v>38900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2018</v>
      </c>
      <c r="E140" s="320">
        <f>'ריכוז תברים'!F23</f>
        <v>1065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2018</v>
      </c>
      <c r="E141" s="320">
        <f>'ריכוז תברים'!F24</f>
        <v>1326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2018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2018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2018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2018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2018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2018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2018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2018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2018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2018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2018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2018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9" t="s">
        <v>117</v>
      </c>
      <c r="C154" s="619"/>
      <c r="D154" s="619"/>
      <c r="E154" s="619"/>
      <c r="F154" s="619"/>
      <c r="G154" s="619"/>
      <c r="H154" s="619"/>
      <c r="I154" s="619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2017</v>
      </c>
      <c r="E155" s="346">
        <f>'גבייה וחייבים'!G30</f>
        <v>174861</v>
      </c>
      <c r="F155" s="299" t="s">
        <v>118</v>
      </c>
      <c r="G155" s="347" t="s">
        <v>120</v>
      </c>
      <c r="H155" s="450">
        <f>$F$3</f>
        <v>2018</v>
      </c>
      <c r="I155" s="346">
        <f>'גבייה וחייבים'!C9</f>
        <v>174861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2018</v>
      </c>
      <c r="E156" s="316">
        <f>'גבייה וחייבים'!C19</f>
        <v>31788</v>
      </c>
      <c r="F156" s="302" t="s">
        <v>123</v>
      </c>
      <c r="G156" s="314" t="s">
        <v>124</v>
      </c>
      <c r="H156" s="450">
        <f>$F$3</f>
        <v>2018</v>
      </c>
      <c r="I156" s="316">
        <f>(((ארנונה!O19+ארנונה!O22)/4)*'הגדרות כלליות'!D17)</f>
        <v>13306.284642500001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2017</v>
      </c>
      <c r="E157" s="316">
        <f>'גבייה וחייבים'!$C$9</f>
        <v>174861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2017</v>
      </c>
      <c r="E158" s="316">
        <f>'גבייה וחייבים'!$C$19</f>
        <v>31788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2017</v>
      </c>
      <c r="E159" s="316">
        <f>'גבייה וחייבים'!$C$25</f>
        <v>25226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2017</v>
      </c>
      <c r="E160" s="316">
        <f>'גבייה וחייבים'!$C$16</f>
        <v>5817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2017</v>
      </c>
      <c r="E161" s="316">
        <f>'גבייה וחייבים'!$C$10</f>
        <v>-2712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2017</v>
      </c>
      <c r="E162" s="316">
        <f>'גבייה וחייבים'!$C$12</f>
        <v>10623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2017</v>
      </c>
      <c r="E163" s="316">
        <f>'גבייה וחייבים'!$C$20</f>
        <v>17963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2017</v>
      </c>
      <c r="E164" s="316">
        <f>'גבייה וחייבים'!$C$21</f>
        <v>-16386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2017</v>
      </c>
      <c r="E165" s="316">
        <f>'גבייה וחייבים'!$E$9</f>
        <v>169983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2017</v>
      </c>
      <c r="E166" s="316">
        <f>'גבייה וחייבים'!$E$19</f>
        <v>29189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2017</v>
      </c>
      <c r="E167" s="316">
        <f>'גבייה וחייבים'!$E$25</f>
        <v>23830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2017</v>
      </c>
      <c r="E168" s="316">
        <f>'גבייה וחייבים'!$E$16</f>
        <v>6305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2017</v>
      </c>
      <c r="E169" s="316">
        <f>'גבייה וחייבים'!$E$10</f>
        <v>-5199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2017</v>
      </c>
      <c r="E170" s="316">
        <f>'גבייה וחייבים'!$E$12</f>
        <v>9206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2017</v>
      </c>
      <c r="E171" s="316">
        <f>'גבייה וחייבים'!$E$20</f>
        <v>19323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2017</v>
      </c>
      <c r="E172" s="316">
        <f>'גבייה וחייבים'!$E$21</f>
        <v>-16585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2017</v>
      </c>
      <c r="E173" s="316">
        <f>'גבייה וחייבים'!G9</f>
        <v>169983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2017</v>
      </c>
      <c r="E174" s="316">
        <f>'גבייה וחייבים'!G19</f>
        <v>29189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2017</v>
      </c>
      <c r="E175" s="316">
        <f>'גבייה וחייבים'!G25</f>
        <v>23830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2017</v>
      </c>
      <c r="E176" s="316">
        <f>'גבייה וחייבים'!G16</f>
        <v>6305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2017</v>
      </c>
      <c r="E177" s="316">
        <f>'גבייה וחייבים'!$G$10</f>
        <v>-5199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2017</v>
      </c>
      <c r="E178" s="316">
        <f>'גבייה וחייבים'!$G$12</f>
        <v>9206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2017</v>
      </c>
      <c r="E179" s="316">
        <f>'גבייה וחייבים'!$G$20</f>
        <v>19323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2017</v>
      </c>
      <c r="E180" s="316">
        <f>'גבייה וחייבים'!$G$21</f>
        <v>-16585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2017</v>
      </c>
      <c r="E181" s="316">
        <f>'גבייה וחייבים'!M30</f>
        <v>38364</v>
      </c>
      <c r="F181" s="302" t="s">
        <v>118</v>
      </c>
      <c r="G181" s="314" t="s">
        <v>161</v>
      </c>
      <c r="H181" s="450">
        <f>$F$3</f>
        <v>2018</v>
      </c>
      <c r="I181" s="316">
        <f>'גבייה וחייבים'!I9</f>
        <v>38364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2018</v>
      </c>
      <c r="E182" s="320">
        <f>'גבייה וחייבים'!$I$9</f>
        <v>38364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2018</v>
      </c>
      <c r="E183" s="320">
        <f>'גבייה וחייבים'!$I$10</f>
        <v>-561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2018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 t="s">
        <v>977</v>
      </c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2018</v>
      </c>
      <c r="E185" s="320">
        <f>'גבייה וחייבים'!$I$12</f>
        <v>2417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2018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 t="s">
        <v>977</v>
      </c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2018</v>
      </c>
      <c r="E187" s="320">
        <f>'גבייה וחייבים'!$I$16</f>
        <v>508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2018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 t="s">
        <v>977</v>
      </c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2018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 t="s">
        <v>977</v>
      </c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2018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 t="s">
        <v>977</v>
      </c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2018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 t="s">
        <v>977</v>
      </c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2018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 t="s">
        <v>977</v>
      </c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2017</v>
      </c>
      <c r="E194" s="320">
        <f>'גבייה וחייבים'!$K$9</f>
        <v>37540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2017</v>
      </c>
      <c r="E195" s="320">
        <f>'גבייה וחייבים'!$K$10</f>
        <v>-517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2017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 t="s">
        <v>977</v>
      </c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2017</v>
      </c>
      <c r="E197" s="320">
        <f>'גבייה וחייבים'!$K$12</f>
        <v>2119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2017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 t="s">
        <v>977</v>
      </c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2017</v>
      </c>
      <c r="E199" s="320">
        <f>'גבייה וחייבים'!$K$16</f>
        <v>778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2017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 t="s">
        <v>977</v>
      </c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2017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 t="s">
        <v>977</v>
      </c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2017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 t="s">
        <v>977</v>
      </c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2017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 t="s">
        <v>977</v>
      </c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2017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 t="s">
        <v>977</v>
      </c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2017</v>
      </c>
      <c r="E205" s="320">
        <f>'גבייה וחייבים'!$M$9</f>
        <v>37540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2017</v>
      </c>
      <c r="E206" s="320">
        <f>'גבייה וחייבים'!$M$10</f>
        <v>-517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2017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 t="s">
        <v>977</v>
      </c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2017</v>
      </c>
      <c r="E208" s="320">
        <f>'גבייה וחייבים'!$M$12</f>
        <v>2119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2017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 t="s">
        <v>977</v>
      </c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2017</v>
      </c>
      <c r="E210" s="320">
        <f>'גבייה וחייבים'!$M$16</f>
        <v>778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2017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 t="s">
        <v>977</v>
      </c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2017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 t="s">
        <v>977</v>
      </c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2017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 t="s">
        <v>977</v>
      </c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2017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 t="s">
        <v>977</v>
      </c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2017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 t="s">
        <v>977</v>
      </c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2017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>חסרים נתוני פחת מים שנה קודמת</v>
      </c>
      <c r="M217" s="556" t="s">
        <v>977</v>
      </c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2017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/>
      </c>
      <c r="K218" s="536"/>
      <c r="L218" s="313" t="str">
        <f>IF(OR($E218&lt;&gt;0,'הגדרות כלליות'!$D$20=1,'הגדרות כלליות'!$D$20=3,'הגדרות כלליות'!$G$24='בדיקות הצלבה'!$L$3),"",P218)</f>
        <v>חסרים נתוני פחת מים שנה קודמת</v>
      </c>
      <c r="M218" s="556" t="s">
        <v>977</v>
      </c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2017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/>
      </c>
      <c r="K219" s="536"/>
      <c r="L219" s="313" t="str">
        <f>IF(OR($E219&lt;&gt;0,'הגדרות כלליות'!$D$20=1,'הגדרות כלליות'!$D$20=3,'הגדרות כלליות'!$G$24='בדיקות הצלבה'!$L$3),"",P219)</f>
        <v>חסרים נתוני פחת מים שנה קודמת</v>
      </c>
      <c r="M219" s="556" t="s">
        <v>977</v>
      </c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2017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/>
      </c>
      <c r="K220" s="536"/>
      <c r="L220" s="313" t="str">
        <f>IF(OR($E220&lt;&gt;0,'הגדרות כלליות'!$D$20=1,'הגדרות כלליות'!$D$20=3,'הגדרות כלליות'!$G$24='בדיקות הצלבה'!$L$3),"",P220)</f>
        <v>חסרים נתוני סה"כ פחת מים שנה קודמת</v>
      </c>
      <c r="M220" s="556" t="s">
        <v>977</v>
      </c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2017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/>
      </c>
      <c r="K221" s="536"/>
      <c r="L221" s="313" t="str">
        <f>IF(OR($E221&lt;&gt;0,'הגדרות כלליות'!$D$20=1,'הגדרות כלליות'!$D$20=3,'הגדרות כלליות'!$G$24='בדיקות הצלבה'!$L$3),"",P221)</f>
        <v>חסרים נתוני סה"כ פחת מים שנה קודמת</v>
      </c>
      <c r="M221" s="556" t="s">
        <v>977</v>
      </c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2017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/>
      </c>
      <c r="K222" s="536"/>
      <c r="L222" s="313" t="str">
        <f>IF(OR($E222&lt;&gt;0,'הגדרות כלליות'!$D$20=1,'הגדרות כלליות'!$D$20=3,'הגדרות כלליות'!$G$24='בדיקות הצלבה'!$L$3),"",P222)</f>
        <v>חסרים נתוני סה"כ פחת מים שנה קודמת</v>
      </c>
      <c r="M222" s="556" t="s">
        <v>977</v>
      </c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2018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/>
      </c>
      <c r="K223" s="536"/>
      <c r="L223" s="313" t="str">
        <f>IF(OR($E223&lt;&gt;0,'הגדרות כלליות'!$D$20=1,'הגדרות כלליות'!$D$20=3,'הגדרות כלליות'!$G$24='בדיקות הצלבה'!$L$3),"",P223)</f>
        <v>חסרים נתוני פחת מים שנה נוכחית</v>
      </c>
      <c r="M223" s="556" t="s">
        <v>977</v>
      </c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2018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/>
      </c>
      <c r="K224" s="536"/>
      <c r="L224" s="313" t="str">
        <f>IF(OR($E224&lt;&gt;0,'הגדרות כלליות'!$D$20=1,'הגדרות כלליות'!$D$20=3,'הגדרות כלליות'!$G$24='בדיקות הצלבה'!$L$3),"",P224)</f>
        <v>חסרים נתוני פחת מים שנה נוכחית</v>
      </c>
      <c r="M224" s="556" t="s">
        <v>977</v>
      </c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2018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/>
      </c>
      <c r="K225" s="536"/>
      <c r="L225" s="313" t="str">
        <f>IF(OR($E225&lt;&gt;0,'הגדרות כלליות'!$D$20=1,'הגדרות כלליות'!$D$20=3,'הגדרות כלליות'!$G$24='בדיקות הצלבה'!$L$3),"",P225)</f>
        <v>חסרים נתוני פחת מים שנה נוכחית</v>
      </c>
      <c r="M225" s="556" t="s">
        <v>977</v>
      </c>
      <c r="N225" s="281"/>
      <c r="P225" s="42" t="s">
        <v>210</v>
      </c>
    </row>
    <row r="226" spans="1:16" ht="15.75" x14ac:dyDescent="0.2">
      <c r="A226" s="358"/>
      <c r="B226" s="620" t="s">
        <v>213</v>
      </c>
      <c r="C226" s="620"/>
      <c r="D226" s="620"/>
      <c r="E226" s="620"/>
      <c r="F226" s="620"/>
      <c r="G226" s="620"/>
      <c r="H226" s="620"/>
      <c r="I226" s="620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2018</v>
      </c>
      <c r="E227" s="375">
        <f>ארנונה!$E$6</f>
        <v>120.16</v>
      </c>
      <c r="F227" s="376"/>
      <c r="G227" s="377"/>
      <c r="H227" s="453"/>
      <c r="I227" s="375"/>
      <c r="J227" s="363" t="str">
        <f>IF(OR(ארנונה!C6=0,ארנונה!E6&lt;&gt;0),$B$3,"")</f>
        <v>תקין</v>
      </c>
      <c r="K227" s="536"/>
      <c r="L227" s="364" t="str">
        <f>IF(OR(ארנונה!C6=0,ארנונה!E6&lt;&gt;0),"",P227)</f>
        <v/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2018</v>
      </c>
      <c r="E228" s="380">
        <f>ארנונה!$E$7</f>
        <v>384.95</v>
      </c>
      <c r="F228" s="381"/>
      <c r="G228" s="382"/>
      <c r="H228" s="453"/>
      <c r="I228" s="380"/>
      <c r="J228" s="311" t="str">
        <f>IF(OR(ארנונה!$C$7=0,ארנונה!$E$7&lt;&gt;0),$B$3,"")</f>
        <v>תקין</v>
      </c>
      <c r="K228" s="536"/>
      <c r="L228" s="312" t="str">
        <f>IF(OR(ארנונה!$C$7=0,ארנונה!$E$7&lt;&gt;0),"",P228)</f>
        <v/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2018</v>
      </c>
      <c r="E229" s="380">
        <f>ארנונה!$E$8</f>
        <v>1386.4</v>
      </c>
      <c r="F229" s="381"/>
      <c r="G229" s="382"/>
      <c r="H229" s="453"/>
      <c r="I229" s="380"/>
      <c r="J229" s="311" t="str">
        <f>IF(OR(ארנונה!$C$8=0,ארנונה!$E$8&lt;&gt;0),$B$3,"")</f>
        <v>תקין</v>
      </c>
      <c r="K229" s="536"/>
      <c r="L229" s="312" t="str">
        <f>IF(OR(ארנונה!$C$8=0,ארנונה!$E$8&lt;&gt;0),"",P229)</f>
        <v/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2018</v>
      </c>
      <c r="E230" s="380">
        <f>ארנונה!$E$9</f>
        <v>165.9</v>
      </c>
      <c r="F230" s="381"/>
      <c r="G230" s="382"/>
      <c r="H230" s="453"/>
      <c r="I230" s="380"/>
      <c r="J230" s="311" t="str">
        <f>IF(OR(ארנונה!$C$9=0,ארנונה!$E$9&lt;&gt;0),$B$3,"")</f>
        <v>תקין</v>
      </c>
      <c r="K230" s="536"/>
      <c r="L230" s="312" t="str">
        <f>IF(OR(ארנונה!$C$9=0,ארנונה!$E$9&lt;&gt;0),"",P230)</f>
        <v/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2018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2018</v>
      </c>
      <c r="E232" s="380">
        <f>ארנונה!$E$11</f>
        <v>223.83</v>
      </c>
      <c r="F232" s="381"/>
      <c r="G232" s="382"/>
      <c r="H232" s="453"/>
      <c r="I232" s="380"/>
      <c r="J232" s="311" t="str">
        <f>IF(OR(ארנונה!$C$11=0,ארנונה!$E$11&lt;&gt;0),$B$3,"")</f>
        <v>תקין</v>
      </c>
      <c r="K232" s="536"/>
      <c r="L232" s="312" t="str">
        <f>IF(OR(ארנונה!$C$11=0,ארנונה!$E$11&lt;&gt;0),"",P232)</f>
        <v/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2018</v>
      </c>
      <c r="E233" s="380">
        <f>ארנונה!$E$12</f>
        <v>0.67</v>
      </c>
      <c r="F233" s="381"/>
      <c r="G233" s="382"/>
      <c r="H233" s="453"/>
      <c r="I233" s="380"/>
      <c r="J233" s="311" t="str">
        <f>IF(OR(ארנונה!$C$12=0,ארנונה!$E$12&lt;&gt;0),$B$3,"")</f>
        <v>תקין</v>
      </c>
      <c r="K233" s="536"/>
      <c r="L233" s="312" t="str">
        <f>IF(OR(ארנונה!$C$12=0,ארנונה!$E$12&lt;&gt;0),"",P233)</f>
        <v/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2018</v>
      </c>
      <c r="E234" s="380">
        <f>ארנונה!$E$13</f>
        <v>55.84</v>
      </c>
      <c r="F234" s="381"/>
      <c r="G234" s="382"/>
      <c r="H234" s="453"/>
      <c r="I234" s="380"/>
      <c r="J234" s="311" t="str">
        <f>IF(OR(ארנונה!$C$13=0,ארנונה!$E$13&lt;&gt;0),$B$3,"")</f>
        <v>תקין</v>
      </c>
      <c r="K234" s="536"/>
      <c r="L234" s="312" t="str">
        <f>IF(OR(ארנונה!$C$13=0,ארנונה!$E$13&lt;&gt;0),"",P234)</f>
        <v/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2018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2018</v>
      </c>
      <c r="E236" s="380">
        <f>ארנונה!$E$15</f>
        <v>67.11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2018</v>
      </c>
      <c r="E237" s="380">
        <f>ארנונה!$E$16</f>
        <v>45.78</v>
      </c>
      <c r="F237" s="381"/>
      <c r="G237" s="382"/>
      <c r="H237" s="453"/>
      <c r="I237" s="380"/>
      <c r="J237" s="311" t="str">
        <f>IF(OR(ארנונה!$C$16=0,ארנונה!$E$16&lt;&gt;0),$B$3,"")</f>
        <v>תקין</v>
      </c>
      <c r="K237" s="536"/>
      <c r="L237" s="312" t="str">
        <f>IF(OR(ארנונה!$C$16=0,ארנונה!$E$16&lt;&gt;0),"",P237)</f>
        <v/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2018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2018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2018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2018</v>
      </c>
      <c r="E242" s="380">
        <f>ארנונה!$G$6</f>
        <v>34.68</v>
      </c>
      <c r="F242" s="381"/>
      <c r="G242" s="382"/>
      <c r="H242" s="453"/>
      <c r="I242" s="380"/>
      <c r="J242" s="311" t="str">
        <f>IF(OR(ארנונה!$C$6=0,ארנונה!$G$6&lt;&gt;0),$B$3,"")</f>
        <v>תקין</v>
      </c>
      <c r="K242" s="536"/>
      <c r="L242" s="312" t="str">
        <f>IF(OR(ארנונה!$C$6=0,ארנונה!$G$6&lt;&gt;0),"",P242)</f>
        <v/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2018</v>
      </c>
      <c r="E243" s="380">
        <f>ארנונה!$G$7</f>
        <v>68.08</v>
      </c>
      <c r="F243" s="381"/>
      <c r="G243" s="382"/>
      <c r="H243" s="453"/>
      <c r="I243" s="380"/>
      <c r="J243" s="311" t="str">
        <f>IF(OR(ארנונה!$C$7=0,ארנונה!$G$7&lt;&gt;0),$B$3,"")</f>
        <v>תקין</v>
      </c>
      <c r="K243" s="536"/>
      <c r="L243" s="312" t="str">
        <f>IF(OR(ארנונה!$C$7=0,ארנונה!$G$7&lt;&gt;0),"",P243)</f>
        <v/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2018</v>
      </c>
      <c r="E244" s="380">
        <f>ארנונה!$G$8</f>
        <v>462.96</v>
      </c>
      <c r="F244" s="381"/>
      <c r="G244" s="382"/>
      <c r="H244" s="453"/>
      <c r="I244" s="380"/>
      <c r="J244" s="311" t="str">
        <f>IF(OR(ארנונה!$C$8=0,ארנונה!$G$8&lt;&gt;0),$B$3,"")</f>
        <v>תקין</v>
      </c>
      <c r="K244" s="536"/>
      <c r="L244" s="312" t="str">
        <f>IF(OR(ארנונה!$C$8=0,ארנונה!$G$8&lt;&gt;0),"",P244)</f>
        <v/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2018</v>
      </c>
      <c r="E245" s="380">
        <f>ארנונה!$G$9</f>
        <v>24.82</v>
      </c>
      <c r="F245" s="381"/>
      <c r="G245" s="382"/>
      <c r="H245" s="453"/>
      <c r="I245" s="380"/>
      <c r="J245" s="311" t="str">
        <f>IF(OR(ארנונה!$C$9=0,ארנונה!$G$9&lt;&gt;0),$B$3,"")</f>
        <v>תקין</v>
      </c>
      <c r="K245" s="536"/>
      <c r="L245" s="312" t="str">
        <f>IF(OR(ארנונה!$C$9=0,ארנונה!$G$9&lt;&gt;0),"",P245)</f>
        <v/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2018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2018</v>
      </c>
      <c r="E247" s="380">
        <f>ארנונה!$G$11</f>
        <v>45.96</v>
      </c>
      <c r="F247" s="381"/>
      <c r="G247" s="382"/>
      <c r="H247" s="453"/>
      <c r="I247" s="380"/>
      <c r="J247" s="311" t="str">
        <f>IF(OR(ארנונה!$C$11=0,ארנונה!$G$11&lt;&gt;0),$B$3,"")</f>
        <v>תקין</v>
      </c>
      <c r="K247" s="536"/>
      <c r="L247" s="312" t="str">
        <f>IF(OR(ארנונה!$C$11=0,ארנונה!$G$11&lt;&gt;0),"",P247)</f>
        <v/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2018</v>
      </c>
      <c r="E248" s="380">
        <f>ארנונה!$G$12</f>
        <v>9.6290000000000004E-3</v>
      </c>
      <c r="F248" s="381"/>
      <c r="G248" s="382"/>
      <c r="H248" s="453"/>
      <c r="I248" s="380"/>
      <c r="J248" s="311" t="str">
        <f>IF(OR(ארנונה!$C$12=0,ארנונה!$G$12&lt;&gt;0),$B$3,"")</f>
        <v>תקין</v>
      </c>
      <c r="K248" s="536"/>
      <c r="L248" s="312" t="str">
        <f>IF(OR(ארנונה!$C$12=0,ארנונה!$G$12&lt;&gt;0),"",P248)</f>
        <v/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2018</v>
      </c>
      <c r="E249" s="380">
        <f>ארנונה!$G$13</f>
        <v>1.0961E-2</v>
      </c>
      <c r="F249" s="381"/>
      <c r="G249" s="382"/>
      <c r="H249" s="453"/>
      <c r="I249" s="380"/>
      <c r="J249" s="311" t="str">
        <f>IF(OR(ארנונה!$C$13=0,ארנונה!$G$13&lt;&gt;0),$B$3,"")</f>
        <v>תקין</v>
      </c>
      <c r="K249" s="536"/>
      <c r="L249" s="312" t="str">
        <f>IF(OR(ארנונה!$C$13=0,ארנונה!$G$13&lt;&gt;0),"",P249)</f>
        <v/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2018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2018</v>
      </c>
      <c r="E251" s="380">
        <f>ארנונה!$G$15</f>
        <v>1.42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2018</v>
      </c>
      <c r="E252" s="380">
        <f>ארנונה!$G$16</f>
        <v>0.34899999999999998</v>
      </c>
      <c r="F252" s="381"/>
      <c r="G252" s="382"/>
      <c r="H252" s="453"/>
      <c r="I252" s="380"/>
      <c r="J252" s="311" t="str">
        <f>IF(OR(ארנונה!$C$16=0,ארנונה!$G$16&lt;&gt;0),$B$3,"")</f>
        <v>תקין</v>
      </c>
      <c r="K252" s="536"/>
      <c r="L252" s="312" t="str">
        <f>IF(OR(ארנונה!$C$16=0,ארנונה!$G$16&lt;&gt;0),"",P252)</f>
        <v/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2018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2018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2018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2017</v>
      </c>
      <c r="E257" s="380">
        <f>ארנונה!$K$6</f>
        <v>35.70874132234632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2017</v>
      </c>
      <c r="E258" s="380">
        <f>ארנונה!$K$7</f>
        <v>75.759496345121903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2017</v>
      </c>
      <c r="E259" s="380">
        <f>ארנונה!$K$8</f>
        <v>554.98458376156213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2017</v>
      </c>
      <c r="E260" s="380">
        <f>ארנונה!$K$9</f>
        <v>60.502976552059287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2017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2017</v>
      </c>
      <c r="E262" s="380">
        <f>ארנונה!$K$11</f>
        <v>66.80100755667506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2017</v>
      </c>
      <c r="E263" s="385">
        <f>ארנונה!$K$12</f>
        <v>1.0016811431773607E-2</v>
      </c>
      <c r="F263" s="386"/>
      <c r="G263" s="387"/>
      <c r="H263" s="453"/>
      <c r="I263" s="385"/>
      <c r="J263" s="306" t="str">
        <f>IF(OR(ארנונה!$C$12=0,ארנונה!$K$12&lt;&gt;0),$B$3,"")</f>
        <v>תקין</v>
      </c>
      <c r="K263" s="536"/>
      <c r="L263" s="313" t="str">
        <f>IF(OR(ארנונה!$C$12=0,ארנונה!$K$12&lt;&gt;0),"",P263)</f>
        <v/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2017</v>
      </c>
      <c r="E264" s="385">
        <f>ארנונה!$K$13</f>
        <v>12.762202871758243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2017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2017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/>
      </c>
      <c r="K266" s="536"/>
      <c r="L266" s="313" t="str">
        <f>IF(OR(ארנונה!$C$15=0,ארנונה!$K$15&lt;&gt;0),"",P266)</f>
        <v>חסרים נתוני תעריף משוקלל שנה קודמת לחניונים</v>
      </c>
      <c r="M266" s="556" t="s">
        <v>978</v>
      </c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2017</v>
      </c>
      <c r="E267" s="385">
        <f>ארנונה!$K$16</f>
        <v>2.2596799804568217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2017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2017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2017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2018</v>
      </c>
      <c r="E272" s="390">
        <f>ארנונה!$O$6</f>
        <v>38842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2018</v>
      </c>
      <c r="E273" s="390">
        <f>ארנונה!$O$7</f>
        <v>9276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2018</v>
      </c>
      <c r="E274" s="390">
        <f>ארנונה!$O$8</f>
        <v>552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2018</v>
      </c>
      <c r="E275" s="390">
        <f>ארנונה!$O$9</f>
        <v>516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2018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2018</v>
      </c>
      <c r="E277" s="390">
        <f>ארנונה!$O$11</f>
        <v>1961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2018</v>
      </c>
      <c r="E278" s="390">
        <f>ארנונה!$O$12</f>
        <v>0.157</v>
      </c>
      <c r="F278" s="391"/>
      <c r="G278" s="392"/>
      <c r="H278" s="454"/>
      <c r="I278" s="390"/>
      <c r="J278" s="337" t="str">
        <f>IF(OR(ארנונה!$C$12=0,ארנונה!$O$12&lt;&gt;0),$B$3,"")</f>
        <v>תקין</v>
      </c>
      <c r="K278" s="545"/>
      <c r="L278" s="339" t="str">
        <f>IF(OR(ארנונה!$C$12=0,ארנונה!$O$12&lt;&gt;0),"",P278)</f>
        <v/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2018</v>
      </c>
      <c r="E279" s="390">
        <f>ארנונה!$O$13</f>
        <v>1141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2018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2018</v>
      </c>
      <c r="E281" s="390">
        <f>ארנונה!$O$15</f>
        <v>260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2018</v>
      </c>
      <c r="E282" s="390">
        <f>ארנונה!$O$16</f>
        <v>150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2018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2018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2018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2018</v>
      </c>
      <c r="E288" s="380">
        <f>ארנונה!$C$6</f>
        <v>1064439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2018</v>
      </c>
      <c r="E289" s="380">
        <f>ארנונה!$C$7</f>
        <v>119731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2018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2018</v>
      </c>
      <c r="E291" s="380">
        <f>ארנונה!$C$9</f>
        <v>8390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2018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2018</v>
      </c>
      <c r="E293" s="380">
        <f>ארנונה!$C$11</f>
        <v>28482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2018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2018</v>
      </c>
      <c r="E295" s="380">
        <f>ארנונה!$C$13</f>
        <v>85969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2018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2018</v>
      </c>
      <c r="E297" s="380">
        <f>ארנונה!$C$15</f>
        <v>10391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2018</v>
      </c>
      <c r="E298" s="380">
        <f>ארנונה!$C$16</f>
        <v>62832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2018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2018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2018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2018</v>
      </c>
      <c r="E303" s="380">
        <f>ארנונה!$E$6</f>
        <v>120.16</v>
      </c>
      <c r="F303" s="381"/>
      <c r="G303" s="382"/>
      <c r="H303" s="453"/>
      <c r="I303" s="380"/>
      <c r="J303" s="311" t="str">
        <f>IF(OR(ארנונה!$O$6=0,ארנונה!$E$6&lt;&gt;0),$B$3,"")</f>
        <v>תקין</v>
      </c>
      <c r="K303" s="536"/>
      <c r="L303" s="312" t="str">
        <f>IF(OR(ארנונה!$O$6=0,ארנונה!$E$6&lt;&gt;0),"",P303)</f>
        <v/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2018</v>
      </c>
      <c r="E304" s="380">
        <f>ארנונה!$E$7</f>
        <v>384.95</v>
      </c>
      <c r="F304" s="381"/>
      <c r="G304" s="382"/>
      <c r="H304" s="453"/>
      <c r="I304" s="380"/>
      <c r="J304" s="311" t="str">
        <f>IF(OR(ארנונה!$O$7=0,ארנונה!$E$7&lt;&gt;0),$B$3,"")</f>
        <v>תקין</v>
      </c>
      <c r="K304" s="536"/>
      <c r="L304" s="312" t="str">
        <f>IF(OR(ארנונה!$O$7=0,ארנונה!$E$7&lt;&gt;0),"",P304)</f>
        <v/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2018</v>
      </c>
      <c r="E305" s="380">
        <f>ארנונה!$E$8</f>
        <v>1386.4</v>
      </c>
      <c r="F305" s="381"/>
      <c r="G305" s="382"/>
      <c r="H305" s="453"/>
      <c r="I305" s="380"/>
      <c r="J305" s="311" t="str">
        <f>IF(OR(ארנונה!$O$8=0,ארנונה!$E$8&lt;&gt;0),$B$3,"")</f>
        <v>תקין</v>
      </c>
      <c r="K305" s="536"/>
      <c r="L305" s="312" t="str">
        <f>IF(OR(ארנונה!$O$8=0,ארנונה!$E$8&lt;&gt;0),"",P305)</f>
        <v/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2018</v>
      </c>
      <c r="E306" s="380">
        <f>ארנונה!$E$9</f>
        <v>165.9</v>
      </c>
      <c r="F306" s="381"/>
      <c r="G306" s="382"/>
      <c r="H306" s="453"/>
      <c r="I306" s="380"/>
      <c r="J306" s="311" t="str">
        <f>IF(OR(ארנונה!$O$9=0,ארנונה!$E$9&lt;&gt;0),$B$3,"")</f>
        <v>תקין</v>
      </c>
      <c r="K306" s="536"/>
      <c r="L306" s="312" t="str">
        <f>IF(OR(ארנונה!$O$9=0,ארנונה!$E$9&lt;&gt;0),"",P306)</f>
        <v/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2018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2018</v>
      </c>
      <c r="E308" s="380">
        <f>ארנונה!$E$11</f>
        <v>223.83</v>
      </c>
      <c r="F308" s="381"/>
      <c r="G308" s="382"/>
      <c r="H308" s="453"/>
      <c r="I308" s="380"/>
      <c r="J308" s="311" t="str">
        <f>IF(OR(ארנונה!$O$11=0,ארנונה!$E$11&lt;&gt;0),$B$3,"")</f>
        <v>תקין</v>
      </c>
      <c r="K308" s="536"/>
      <c r="L308" s="312" t="str">
        <f>IF(OR(ארנונה!$O$11=0,ארנונה!$E$11&lt;&gt;0),"",P308)</f>
        <v/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2018</v>
      </c>
      <c r="E309" s="380">
        <f>ארנונה!$E$12</f>
        <v>0.67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2018</v>
      </c>
      <c r="E310" s="380">
        <f>ארנונה!$E$13</f>
        <v>55.84</v>
      </c>
      <c r="F310" s="381"/>
      <c r="G310" s="382"/>
      <c r="H310" s="453"/>
      <c r="I310" s="380"/>
      <c r="J310" s="311" t="str">
        <f>IF(OR(ארנונה!$O$13=0,ארנונה!$E$13&lt;&gt;0),$B$3,"")</f>
        <v>תקין</v>
      </c>
      <c r="K310" s="536"/>
      <c r="L310" s="312" t="str">
        <f>IF(OR(ארנונה!$O$13=0,ארנונה!$E$13&lt;&gt;0),"",P310)</f>
        <v/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2018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2018</v>
      </c>
      <c r="E312" s="380">
        <f>ארנונה!$E$15</f>
        <v>67.11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2018</v>
      </c>
      <c r="E313" s="380">
        <f>ארנונה!$E$16</f>
        <v>45.78</v>
      </c>
      <c r="F313" s="381"/>
      <c r="G313" s="382"/>
      <c r="H313" s="453"/>
      <c r="I313" s="380"/>
      <c r="J313" s="311" t="str">
        <f>IF(OR(ארנונה!$O$16=0,ארנונה!$E$16&lt;&gt;0),$B$3,"")</f>
        <v>תקין</v>
      </c>
      <c r="K313" s="536"/>
      <c r="L313" s="312" t="str">
        <f>IF(OR(ארנונה!$O$16=0,ארנונה!$E$16&lt;&gt;0),"",P313)</f>
        <v/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2018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2018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2018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2018</v>
      </c>
      <c r="E318" s="380">
        <f>ארנונה!$G$6</f>
        <v>34.68</v>
      </c>
      <c r="F318" s="381"/>
      <c r="G318" s="382"/>
      <c r="H318" s="453"/>
      <c r="I318" s="380"/>
      <c r="J318" s="311" t="str">
        <f>IF(OR(ארנונה!$O$6=0,ארנונה!$G$6&lt;&gt;0),$B$3,"")</f>
        <v>תקין</v>
      </c>
      <c r="K318" s="536"/>
      <c r="L318" s="312" t="str">
        <f>IF(OR(ארנונה!$O$6=0,ארנונה!$G$6&lt;&gt;0),"",P318)</f>
        <v/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2018</v>
      </c>
      <c r="E319" s="380">
        <f>ארנונה!$G$7</f>
        <v>68.08</v>
      </c>
      <c r="F319" s="381"/>
      <c r="G319" s="382"/>
      <c r="H319" s="453"/>
      <c r="I319" s="380"/>
      <c r="J319" s="311" t="str">
        <f>IF(OR(ארנונה!$O$7=0,ארנונה!$G$7&lt;&gt;0),$B$3,"")</f>
        <v>תקין</v>
      </c>
      <c r="K319" s="536"/>
      <c r="L319" s="312" t="str">
        <f>IF(OR(ארנונה!$O$7=0,ארנונה!$G$7&lt;&gt;0),"",P319)</f>
        <v/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2018</v>
      </c>
      <c r="E320" s="380">
        <f>ארנונה!$G$8</f>
        <v>462.96</v>
      </c>
      <c r="F320" s="381"/>
      <c r="G320" s="382"/>
      <c r="H320" s="453"/>
      <c r="I320" s="380"/>
      <c r="J320" s="311" t="str">
        <f>IF(OR(ארנונה!$O$8=0,ארנונה!$G$8&lt;&gt;0),$B$3,"")</f>
        <v>תקין</v>
      </c>
      <c r="K320" s="536"/>
      <c r="L320" s="312" t="str">
        <f>IF(OR(ארנונה!$O$8=0,ארנונה!$G$8&lt;&gt;0),"",P320)</f>
        <v/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2018</v>
      </c>
      <c r="E321" s="380">
        <f>ארנונה!$G$9</f>
        <v>24.82</v>
      </c>
      <c r="F321" s="381"/>
      <c r="G321" s="382"/>
      <c r="H321" s="453"/>
      <c r="I321" s="380"/>
      <c r="J321" s="311" t="str">
        <f>IF(OR(ארנונה!$O$9=0,ארנונה!$G$9&lt;&gt;0),$B$3,"")</f>
        <v>תקין</v>
      </c>
      <c r="K321" s="536"/>
      <c r="L321" s="312" t="str">
        <f>IF(OR(ארנונה!$O$9=0,ארנונה!$G$9&lt;&gt;0),"",P321)</f>
        <v/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2018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2018</v>
      </c>
      <c r="E323" s="380">
        <f>ארנונה!$G$11</f>
        <v>45.96</v>
      </c>
      <c r="F323" s="381"/>
      <c r="G323" s="382"/>
      <c r="H323" s="453"/>
      <c r="I323" s="380"/>
      <c r="J323" s="311" t="str">
        <f>IF(OR(ארנונה!$O$11=0,ארנונה!$G$11&lt;&gt;0),$B$3,"")</f>
        <v>תקין</v>
      </c>
      <c r="K323" s="536"/>
      <c r="L323" s="312" t="str">
        <f>IF(OR(ארנונה!$O$11=0,ארנונה!$G$11&lt;&gt;0),"",P323)</f>
        <v/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2018</v>
      </c>
      <c r="E324" s="380">
        <f>ארנונה!$G$12</f>
        <v>9.6290000000000004E-3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2018</v>
      </c>
      <c r="E325" s="380">
        <f>ארנונה!$G$13</f>
        <v>1.0961E-2</v>
      </c>
      <c r="F325" s="381"/>
      <c r="G325" s="382"/>
      <c r="H325" s="453"/>
      <c r="I325" s="380"/>
      <c r="J325" s="311" t="str">
        <f>IF(OR(ארנונה!$O$13=0,ארנונה!$G$13&lt;&gt;0),$B$3,"")</f>
        <v>תקין</v>
      </c>
      <c r="K325" s="536"/>
      <c r="L325" s="312" t="str">
        <f>IF(OR(ארנונה!$O$13=0,ארנונה!$G$13&lt;&gt;0),"",P325)</f>
        <v/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2018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2018</v>
      </c>
      <c r="E327" s="380">
        <f>ארנונה!$G$15</f>
        <v>1.42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2018</v>
      </c>
      <c r="E328" s="380">
        <f>ארנונה!$G$16</f>
        <v>0.34899999999999998</v>
      </c>
      <c r="F328" s="381"/>
      <c r="G328" s="382"/>
      <c r="H328" s="453"/>
      <c r="I328" s="380"/>
      <c r="J328" s="311" t="str">
        <f>IF(OR(ארנונה!$O$16=0,ארנונה!$G$16&lt;&gt;0),$B$3,"")</f>
        <v>תקין</v>
      </c>
      <c r="K328" s="536"/>
      <c r="L328" s="312" t="str">
        <f>IF(OR(ארנונה!$O$16=0,ארנונה!$G$16&lt;&gt;0),"",P328)</f>
        <v/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2018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2018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2018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2017</v>
      </c>
      <c r="E333" s="380">
        <f>ארנונה!$K$6</f>
        <v>35.70874132234632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2017</v>
      </c>
      <c r="E334" s="380">
        <f>ארנונה!$K$7</f>
        <v>75.759496345121903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2017</v>
      </c>
      <c r="E335" s="380">
        <f>ארנונה!$K$8</f>
        <v>554.98458376156213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2017</v>
      </c>
      <c r="E336" s="380">
        <f>ארנונה!$K$9</f>
        <v>60.502976552059287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2017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2017</v>
      </c>
      <c r="E338" s="380">
        <f>ארנונה!$K$11</f>
        <v>66.80100755667506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2017</v>
      </c>
      <c r="E339" s="385">
        <f>ארנונה!$K$12</f>
        <v>1.0016811431773607E-2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2017</v>
      </c>
      <c r="E340" s="385">
        <f>ארנונה!$K$13</f>
        <v>12.762202871758243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2017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2017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/>
      </c>
      <c r="K342" s="536"/>
      <c r="L342" s="313" t="str">
        <f>IF(OR(ארנונה!$O$15=0,ארנונה!$K$15&lt;&gt;0),"",P342)</f>
        <v>חסרים נתוני תעריף משוקלל שנה קודמת לחניונים</v>
      </c>
      <c r="M342" s="556" t="s">
        <v>978</v>
      </c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2017</v>
      </c>
      <c r="E343" s="385">
        <f>ארנונה!$K$16</f>
        <v>2.2596799804568217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2017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2017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2017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2018</v>
      </c>
      <c r="E348" s="390">
        <f>ארנונה!I6</f>
        <v>36.490583302565952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2018</v>
      </c>
      <c r="E349" s="390">
        <f>ארנונה!I7</f>
        <v>77.47367014390592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2018</v>
      </c>
      <c r="E350" s="390">
        <f>ארנונה!I8</f>
        <v>567.31757451181909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2018</v>
      </c>
      <c r="E351" s="390">
        <f>ארנונה!I9</f>
        <v>61.501787842669842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2018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2018</v>
      </c>
      <c r="E353" s="390">
        <f>ארנונה!I11</f>
        <v>68.850502071483746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2018</v>
      </c>
      <c r="E354" s="390">
        <f>ארנונה!I12</f>
        <v>1.0997478285233959E-2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2018</v>
      </c>
      <c r="E355" s="390">
        <f>ארנונה!I13</f>
        <v>13.272226034966092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2018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2018</v>
      </c>
      <c r="E357" s="390">
        <f>ארנונה!I15</f>
        <v>25.021653353863922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2018</v>
      </c>
      <c r="E358" s="390">
        <f>ארנונה!I16</f>
        <v>2.3873185637891519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2018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2018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2018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20" t="s">
        <v>354</v>
      </c>
      <c r="C363" s="620"/>
      <c r="D363" s="620"/>
      <c r="E363" s="620"/>
      <c r="F363" s="620"/>
      <c r="G363" s="620"/>
      <c r="H363" s="620"/>
      <c r="I363" s="620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2018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2018</v>
      </c>
      <c r="I364" s="390">
        <f>'שכר ומשרות'!F10</f>
        <v>1991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2018</v>
      </c>
      <c r="E365" s="390">
        <f>'שכר ומשרות'!D11</f>
        <v>19.5</v>
      </c>
      <c r="F365" s="392" t="s">
        <v>13</v>
      </c>
      <c r="G365" s="392" t="s">
        <v>359</v>
      </c>
      <c r="H365" s="454">
        <f t="shared" si="19"/>
        <v>2018</v>
      </c>
      <c r="I365" s="390">
        <f>'שכר ומשרות'!F11</f>
        <v>4130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2018</v>
      </c>
      <c r="E366" s="390">
        <f>'שכר ומשרות'!D12</f>
        <v>16</v>
      </c>
      <c r="F366" s="392" t="s">
        <v>13</v>
      </c>
      <c r="G366" s="392" t="s">
        <v>361</v>
      </c>
      <c r="H366" s="454">
        <f t="shared" si="19"/>
        <v>2018</v>
      </c>
      <c r="I366" s="390">
        <f>'שכר ומשרות'!F12</f>
        <v>3182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2018</v>
      </c>
      <c r="E367" s="390">
        <f>'שכר ומשרות'!D15</f>
        <v>6</v>
      </c>
      <c r="F367" s="392" t="s">
        <v>13</v>
      </c>
      <c r="G367" s="392" t="s">
        <v>363</v>
      </c>
      <c r="H367" s="454">
        <f t="shared" si="19"/>
        <v>2018</v>
      </c>
      <c r="I367" s="390">
        <f>'שכר ומשרות'!F15</f>
        <v>628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2018</v>
      </c>
      <c r="E368" s="390">
        <f>'שכר ומשרות'!D16</f>
        <v>12.01</v>
      </c>
      <c r="F368" s="392" t="s">
        <v>13</v>
      </c>
      <c r="G368" s="392" t="s">
        <v>365</v>
      </c>
      <c r="H368" s="454">
        <f t="shared" si="19"/>
        <v>2018</v>
      </c>
      <c r="I368" s="390">
        <f>'שכר ומשרות'!F16</f>
        <v>1464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2018</v>
      </c>
      <c r="E369" s="390">
        <f>'שכר ומשרות'!D17</f>
        <v>6</v>
      </c>
      <c r="F369" s="392" t="s">
        <v>13</v>
      </c>
      <c r="G369" s="392" t="s">
        <v>367</v>
      </c>
      <c r="H369" s="454">
        <f t="shared" si="19"/>
        <v>2018</v>
      </c>
      <c r="I369" s="390">
        <f>'שכר ומשרות'!F17</f>
        <v>1420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2018</v>
      </c>
      <c r="E370" s="390">
        <f>'שכר ומשרות'!D18</f>
        <v>5</v>
      </c>
      <c r="F370" s="392" t="s">
        <v>13</v>
      </c>
      <c r="G370" s="392" t="s">
        <v>369</v>
      </c>
      <c r="H370" s="454">
        <f t="shared" si="19"/>
        <v>2018</v>
      </c>
      <c r="I370" s="390">
        <f>'שכר ומשרות'!F18</f>
        <v>686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2018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2018</v>
      </c>
      <c r="I371" s="390">
        <f>'שכר ומשרות'!F20</f>
        <v>906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2018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2018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2018</v>
      </c>
      <c r="E373" s="390">
        <f>'שכר ומשרות'!D24</f>
        <v>390.45000000000005</v>
      </c>
      <c r="F373" s="392" t="s">
        <v>13</v>
      </c>
      <c r="G373" s="392" t="s">
        <v>375</v>
      </c>
      <c r="H373" s="454">
        <f t="shared" si="19"/>
        <v>2018</v>
      </c>
      <c r="I373" s="390">
        <f>'שכר ומשרות'!F24</f>
        <v>51231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2018</v>
      </c>
      <c r="E374" s="390">
        <f>'שכר ומשרות'!D25</f>
        <v>20.3</v>
      </c>
      <c r="F374" s="392" t="s">
        <v>13</v>
      </c>
      <c r="G374" s="392" t="s">
        <v>377</v>
      </c>
      <c r="H374" s="454">
        <f t="shared" si="19"/>
        <v>2018</v>
      </c>
      <c r="I374" s="390">
        <f>'שכר ומשרות'!F25</f>
        <v>2627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2018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2018</v>
      </c>
      <c r="I375" s="390">
        <f>'שכר ומשרות'!F26</f>
        <v>570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2018</v>
      </c>
      <c r="E376" s="390">
        <f>'שכר ומשרות'!D27</f>
        <v>54.82</v>
      </c>
      <c r="F376" s="392" t="s">
        <v>13</v>
      </c>
      <c r="G376" s="392" t="s">
        <v>381</v>
      </c>
      <c r="H376" s="454">
        <f t="shared" si="19"/>
        <v>2018</v>
      </c>
      <c r="I376" s="390">
        <f>'שכר ומשרות'!F27</f>
        <v>6565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2018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2018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2018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2018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2018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2018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2018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2018</v>
      </c>
      <c r="I380" s="390">
        <f>'שכר ומשרות'!F33</f>
        <v>0</v>
      </c>
      <c r="J380" s="337" t="str">
        <f t="shared" si="20"/>
        <v/>
      </c>
      <c r="K380" s="545"/>
      <c r="L380" s="339" t="str">
        <f t="shared" si="21"/>
        <v>חסרים נתוני מספר משרות או עלות שכר (תקציב) בסעיף הנוכחי</v>
      </c>
      <c r="M380" s="557" t="s">
        <v>976</v>
      </c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2018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2018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2018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2018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2018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2018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2018</v>
      </c>
      <c r="E384" s="390">
        <f>'שכר ומשרות'!D41</f>
        <v>24.5</v>
      </c>
      <c r="F384" s="392" t="s">
        <v>13</v>
      </c>
      <c r="G384" s="392" t="s">
        <v>400</v>
      </c>
      <c r="H384" s="454">
        <f t="shared" si="19"/>
        <v>2018</v>
      </c>
      <c r="I384" s="390">
        <f>'שכר ומשרות'!F41</f>
        <v>3848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2018</v>
      </c>
      <c r="E385" s="390">
        <f>'שכר ומשרות'!J10</f>
        <v>3</v>
      </c>
      <c r="F385" s="392" t="s">
        <v>13</v>
      </c>
      <c r="G385" s="392" t="s">
        <v>405</v>
      </c>
      <c r="H385" s="454">
        <f t="shared" si="19"/>
        <v>2018</v>
      </c>
      <c r="I385" s="390">
        <f>'שכר ומשרות'!L10</f>
        <v>2223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2018</v>
      </c>
      <c r="E386" s="390">
        <f>'שכר ומשרות'!J11</f>
        <v>13.06</v>
      </c>
      <c r="F386" s="392" t="s">
        <v>13</v>
      </c>
      <c r="G386" s="392" t="s">
        <v>407</v>
      </c>
      <c r="H386" s="454">
        <f t="shared" si="19"/>
        <v>2018</v>
      </c>
      <c r="I386" s="390">
        <f>'שכר ומשרות'!L11</f>
        <v>3732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2018</v>
      </c>
      <c r="E387" s="390">
        <f>'שכר ומשרות'!J12</f>
        <v>12.87</v>
      </c>
      <c r="F387" s="392" t="s">
        <v>13</v>
      </c>
      <c r="G387" s="392" t="s">
        <v>409</v>
      </c>
      <c r="H387" s="454">
        <f t="shared" si="19"/>
        <v>2018</v>
      </c>
      <c r="I387" s="390">
        <f>'שכר ומשרות'!L12</f>
        <v>2950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2018</v>
      </c>
      <c r="E388" s="390">
        <f>'שכר ומשרות'!J15</f>
        <v>3.91</v>
      </c>
      <c r="F388" s="392" t="s">
        <v>13</v>
      </c>
      <c r="G388" s="392" t="s">
        <v>411</v>
      </c>
      <c r="H388" s="454">
        <f t="shared" si="19"/>
        <v>2018</v>
      </c>
      <c r="I388" s="390">
        <f>'שכר ומשרות'!L15</f>
        <v>602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2018</v>
      </c>
      <c r="E389" s="390">
        <f>'שכר ומשרות'!J16</f>
        <v>9</v>
      </c>
      <c r="F389" s="392" t="s">
        <v>13</v>
      </c>
      <c r="G389" s="392" t="s">
        <v>413</v>
      </c>
      <c r="H389" s="454">
        <f t="shared" si="19"/>
        <v>2018</v>
      </c>
      <c r="I389" s="390">
        <f>'שכר ומשרות'!L16</f>
        <v>1280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2018</v>
      </c>
      <c r="E390" s="390">
        <f>'שכר ומשרות'!J17</f>
        <v>5.83</v>
      </c>
      <c r="F390" s="392" t="s">
        <v>13</v>
      </c>
      <c r="G390" s="392" t="s">
        <v>415</v>
      </c>
      <c r="H390" s="454">
        <f t="shared" si="19"/>
        <v>2018</v>
      </c>
      <c r="I390" s="390">
        <f>'שכר ומשרות'!L17</f>
        <v>1347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2018</v>
      </c>
      <c r="E391" s="390">
        <f>'שכר ומשרות'!J18</f>
        <v>3.91</v>
      </c>
      <c r="F391" s="392" t="s">
        <v>13</v>
      </c>
      <c r="G391" s="392" t="s">
        <v>417</v>
      </c>
      <c r="H391" s="454">
        <f t="shared" si="19"/>
        <v>2018</v>
      </c>
      <c r="I391" s="390">
        <f>'שכר ומשרות'!L18</f>
        <v>614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2018</v>
      </c>
      <c r="E392" s="390">
        <f>'שכר ומשרות'!J20</f>
        <v>6.15</v>
      </c>
      <c r="F392" s="392" t="s">
        <v>13</v>
      </c>
      <c r="G392" s="392" t="s">
        <v>419</v>
      </c>
      <c r="H392" s="454">
        <f t="shared" si="19"/>
        <v>2018</v>
      </c>
      <c r="I392" s="390">
        <f>'שכר ומשרות'!L20</f>
        <v>857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2018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2018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2018</v>
      </c>
      <c r="E394" s="390">
        <f>'שכר ומשרות'!J24</f>
        <v>364.04</v>
      </c>
      <c r="F394" s="392" t="s">
        <v>13</v>
      </c>
      <c r="G394" s="392" t="s">
        <v>423</v>
      </c>
      <c r="H394" s="454">
        <f t="shared" si="19"/>
        <v>2018</v>
      </c>
      <c r="I394" s="390">
        <f>'שכר ומשרות'!L24</f>
        <v>53654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2018</v>
      </c>
      <c r="E395" s="390">
        <f>'שכר ומשרות'!J25</f>
        <v>16.09</v>
      </c>
      <c r="F395" s="392" t="s">
        <v>13</v>
      </c>
      <c r="G395" s="392" t="s">
        <v>425</v>
      </c>
      <c r="H395" s="454">
        <f t="shared" si="19"/>
        <v>2018</v>
      </c>
      <c r="I395" s="390">
        <f>'שכר ומשרות'!L25</f>
        <v>2385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2018</v>
      </c>
      <c r="E396" s="390">
        <f>'שכר ומשרות'!J26</f>
        <v>2.75</v>
      </c>
      <c r="F396" s="392" t="s">
        <v>13</v>
      </c>
      <c r="G396" s="392" t="s">
        <v>427</v>
      </c>
      <c r="H396" s="454">
        <f t="shared" si="19"/>
        <v>2018</v>
      </c>
      <c r="I396" s="390">
        <f>'שכר ומשרות'!L26</f>
        <v>565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2018</v>
      </c>
      <c r="E397" s="390">
        <f>'שכר ומשרות'!J27</f>
        <v>42.59</v>
      </c>
      <c r="F397" s="392" t="s">
        <v>13</v>
      </c>
      <c r="G397" s="392" t="s">
        <v>429</v>
      </c>
      <c r="H397" s="454">
        <f t="shared" si="19"/>
        <v>2018</v>
      </c>
      <c r="I397" s="390">
        <f>'שכר ומשרות'!L27</f>
        <v>6112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2018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2018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2018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2018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2018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2018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2018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2018</v>
      </c>
      <c r="I401" s="390">
        <f>'שכר ומשרות'!L33</f>
        <v>194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2018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2018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2018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2018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2018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2018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2018</v>
      </c>
      <c r="E405" s="390">
        <f>'שכר ומשרות'!J41</f>
        <v>24.26</v>
      </c>
      <c r="F405" s="392" t="s">
        <v>13</v>
      </c>
      <c r="G405" s="392" t="s">
        <v>445</v>
      </c>
      <c r="H405" s="454">
        <f t="shared" si="19"/>
        <v>2018</v>
      </c>
      <c r="I405" s="390">
        <f>'שכר ומשרות'!L41</f>
        <v>3945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2018</v>
      </c>
      <c r="E406" s="390">
        <f>'שכר ומשרות'!$D$43</f>
        <v>571.33000000000004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2018</v>
      </c>
      <c r="E407" s="390">
        <f>'שכר ומשרות'!$F$43</f>
        <v>79669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2018</v>
      </c>
      <c r="E408" s="390">
        <f>'שכר ומשרות'!$J$43</f>
        <v>511.46000000000004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2018</v>
      </c>
      <c r="E409" s="390">
        <f>'שכר ומשרות'!$L$43</f>
        <v>80856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2018</v>
      </c>
      <c r="E410" s="390">
        <f>'שכר ומשרות'!L27</f>
        <v>6112</v>
      </c>
      <c r="F410" s="397" t="s">
        <v>933</v>
      </c>
      <c r="G410" s="392" t="s">
        <v>492</v>
      </c>
      <c r="H410" s="454">
        <f>$F$3</f>
        <v>2018</v>
      </c>
      <c r="I410" s="390">
        <f>'תקציב רגיל'!G40</f>
        <v>6112</v>
      </c>
      <c r="J410" s="337" t="str">
        <f>IF(E410=I410,$B$3,"")</f>
        <v>תקין</v>
      </c>
      <c r="K410" s="545" t="str">
        <f>IF(E410=I410,"",E410-I410)</f>
        <v/>
      </c>
      <c r="L410" s="339" t="str">
        <f>IF(E410=I410,"",P410)</f>
        <v/>
      </c>
      <c r="M410" s="558"/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2018</v>
      </c>
      <c r="E411" s="390">
        <f>'שכר ומשרות'!L24</f>
        <v>53654</v>
      </c>
      <c r="F411" s="397" t="s">
        <v>933</v>
      </c>
      <c r="G411" s="392" t="s">
        <v>495</v>
      </c>
      <c r="H411" s="454">
        <f>$F$3</f>
        <v>2018</v>
      </c>
      <c r="I411" s="390">
        <f>'תקציב רגיל'!G37</f>
        <v>53540</v>
      </c>
      <c r="J411" s="337" t="str">
        <f>IF(E411=I411,$B$3,"")</f>
        <v/>
      </c>
      <c r="K411" s="545">
        <f>IF(E411=I411,"",E411-I411)</f>
        <v>114</v>
      </c>
      <c r="L411" s="339" t="str">
        <f>IF(E411=I411,"",P411)</f>
        <v>קיים שוני בשכר עובדי חינוך בין נתוני השכר לנתוני התקציב.</v>
      </c>
      <c r="M411" s="558" t="s">
        <v>994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2018</v>
      </c>
      <c r="E412" s="390">
        <f>'שכר ומשרות'!L13</f>
        <v>8905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2018</v>
      </c>
      <c r="E413" s="390">
        <f>'שכר ומשרות'!L22</f>
        <v>4700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2018</v>
      </c>
      <c r="E414" s="390">
        <f>'שכר ומשרות'!L31</f>
        <v>62716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2018</v>
      </c>
      <c r="E415" s="390">
        <f>'שכר ומשרות'!L39</f>
        <v>590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2018</v>
      </c>
      <c r="E416" s="390">
        <f>'שכר ומשרות'!L27</f>
        <v>6112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2018</v>
      </c>
      <c r="E417" s="390">
        <f>'שכר ומשרות'!L24</f>
        <v>53654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2018</v>
      </c>
      <c r="E418" s="390">
        <f>'שכר ומשרות'!L41</f>
        <v>3945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21090</v>
      </c>
      <c r="F419" s="397" t="s">
        <v>933</v>
      </c>
      <c r="G419" s="392" t="s">
        <v>501</v>
      </c>
      <c r="H419" s="454">
        <f>$F$3</f>
        <v>2018</v>
      </c>
      <c r="I419" s="390">
        <f>'תקציב רגיל'!G32</f>
        <v>20932</v>
      </c>
      <c r="J419" s="337" t="str">
        <f>IF(E419=I419,$B$3,"")</f>
        <v/>
      </c>
      <c r="K419" s="545">
        <f>IF(E419=I419,"",E419-I419)</f>
        <v>158</v>
      </c>
      <c r="L419" s="339" t="str">
        <f>IF(E419=I419,"",P419)</f>
        <v>קיים שוני בשכר הכללי בין נתוני השכר לנתוני התקציב.</v>
      </c>
      <c r="M419" s="558" t="s">
        <v>994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20" t="s">
        <v>503</v>
      </c>
      <c r="C421" s="620"/>
      <c r="D421" s="620"/>
      <c r="E421" s="620"/>
      <c r="F421" s="620"/>
      <c r="G421" s="620"/>
      <c r="H421" s="620"/>
      <c r="I421" s="620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2018</v>
      </c>
      <c r="E422" s="390"/>
      <c r="F422" s="391"/>
      <c r="G422" s="392"/>
      <c r="H422" s="454"/>
      <c r="I422" s="390"/>
      <c r="J422" s="337" t="e">
        <f>IF('בעלי שכר גבוה'!B6&lt;&gt;"","",$B$3)</f>
        <v>#REF!</v>
      </c>
      <c r="K422" s="545"/>
      <c r="L422" s="339" t="e">
        <f>IF('בעלי שכר גבוה'!B6&lt;&gt;"",P422,"")</f>
        <v>#REF!</v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2018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8"/>
      <c r="I1" s="41"/>
    </row>
    <row r="2" spans="1:12" ht="19.5" thickTop="1" thickBot="1" x14ac:dyDescent="0.25">
      <c r="A2" s="41"/>
      <c r="B2" s="41"/>
      <c r="C2" s="626" t="s">
        <v>587</v>
      </c>
      <c r="D2" s="627"/>
      <c r="E2" s="627"/>
      <c r="F2" s="627"/>
      <c r="G2" s="627"/>
      <c r="H2" s="628"/>
      <c r="I2" s="41"/>
    </row>
    <row r="3" spans="1:12" ht="19.5" thickTop="1" thickBot="1" x14ac:dyDescent="0.25">
      <c r="A3" s="41"/>
      <c r="B3" s="41"/>
      <c r="C3" s="629" t="str">
        <f>CONCATENATE("ליום ",Date, " ב", MonthTitle, " ", Shana)</f>
        <v>ליום 31 בדצמבר 2018</v>
      </c>
      <c r="D3" s="630"/>
      <c r="E3" s="630"/>
      <c r="F3" s="630"/>
      <c r="G3" s="630"/>
      <c r="H3" s="631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2018</v>
      </c>
      <c r="E4" s="43"/>
      <c r="F4" s="585">
        <f>ShanaKodemet</f>
        <v>2017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31.12.18</v>
      </c>
      <c r="E7" s="579"/>
      <c r="F7" s="579" t="str">
        <f>CONCATENATE("31.12.",RIGHT(ShanaKodemet,2))</f>
        <v>31.12.17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f>8989-955</f>
        <v>8034</v>
      </c>
      <c r="E9" s="47"/>
      <c r="F9" s="118">
        <v>12183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6202</v>
      </c>
      <c r="E10" s="47"/>
      <c r="F10" s="118">
        <v>3344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1497</v>
      </c>
      <c r="E11" s="47"/>
      <c r="F11" s="118">
        <v>2578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15733</v>
      </c>
      <c r="E12" s="47"/>
      <c r="F12" s="51">
        <f>SUM(F9:F11)</f>
        <v>18105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>
        <f>3054+955</f>
        <v>4009</v>
      </c>
      <c r="E13" s="47"/>
      <c r="F13" s="122">
        <f>959+2883</f>
        <v>3842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28160</v>
      </c>
      <c r="E14" s="47"/>
      <c r="F14" s="118">
        <v>28159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32169</v>
      </c>
      <c r="E15" s="47"/>
      <c r="F15" s="51">
        <f>SUM(F13:F14)</f>
        <v>32001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87">
        <f>8772-26</f>
        <v>8746</v>
      </c>
      <c r="E17" s="47"/>
      <c r="F17" s="118">
        <v>9301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>
        <v>-26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-85</v>
      </c>
      <c r="E19" s="47"/>
      <c r="F19" s="118">
        <v>-529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8661</v>
      </c>
      <c r="E20" s="47"/>
      <c r="F20" s="51">
        <f>SUM(F17:F19)</f>
        <v>8746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10691</v>
      </c>
      <c r="E26" s="47"/>
      <c r="F26" s="69">
        <f>IF(תברים!F55&lt;0,תברים!F54,"")</f>
        <v>9702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-3857</v>
      </c>
      <c r="E27" s="47"/>
      <c r="F27" s="70">
        <f>IF(תברים!F55&lt;0,-1*(תברים!F53),"")</f>
        <v>-4032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6834</v>
      </c>
      <c r="E28" s="47"/>
      <c r="F28" s="67">
        <f>SUM(F26:F27)</f>
        <v>5670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64696</v>
      </c>
      <c r="E30" s="47"/>
      <c r="F30" s="72">
        <f>F12+F15+F20+F23+F28</f>
        <v>65821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>
        <v>198</v>
      </c>
      <c r="E33" s="47"/>
      <c r="F33" s="118">
        <v>8</v>
      </c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39</v>
      </c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6761</v>
      </c>
      <c r="E35" s="47"/>
      <c r="F35" s="118">
        <v>6432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v>25217</v>
      </c>
      <c r="E36" s="47"/>
      <c r="F36" s="118">
        <f>33799-6432</f>
        <v>27367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/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32215</v>
      </c>
      <c r="E39" s="47"/>
      <c r="F39" s="51">
        <f>SUM(F33:F38)</f>
        <v>33807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v>4321</v>
      </c>
      <c r="E41" s="47"/>
      <c r="F41" s="118">
        <f>959+2896</f>
        <v>3855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28160</v>
      </c>
      <c r="E43" s="47"/>
      <c r="F43" s="63">
        <v>28159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64696</v>
      </c>
      <c r="E55" s="47"/>
      <c r="F55" s="72">
        <f>F39+F41+F43+F47+F49+F52+F53</f>
        <v>65821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263812</v>
      </c>
      <c r="E58" s="47"/>
      <c r="F58" s="118">
        <v>240807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7774</v>
      </c>
      <c r="E59" s="47"/>
      <c r="F59" s="118">
        <v>8234.9189999999999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>
        <v>26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26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>
        <v>174</v>
      </c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v>685</v>
      </c>
      <c r="E75" s="47"/>
      <c r="F75" s="118">
        <v>405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f>9+260</f>
        <v>269</v>
      </c>
      <c r="E77" s="47"/>
      <c r="F77" s="118">
        <f>126+254</f>
        <v>380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300+3067</f>
        <v>3367</v>
      </c>
      <c r="E79" s="47"/>
      <c r="F79" s="118">
        <v>2896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4321</v>
      </c>
      <c r="E80" s="47"/>
      <c r="F80" s="72">
        <f>SUM(F74:F79)</f>
        <v>3855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5500</v>
      </c>
      <c r="E82" s="47"/>
      <c r="F82" s="118">
        <v>5799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2" t="str">
        <f t="shared" ref="B313:G315" si="0">C1</f>
        <v>עיריית באקה אלגרבייה</v>
      </c>
      <c r="C313" s="632">
        <f t="shared" si="0"/>
        <v>0</v>
      </c>
      <c r="D313" s="632">
        <f t="shared" si="0"/>
        <v>0</v>
      </c>
      <c r="E313" s="632">
        <f t="shared" si="0"/>
        <v>0</v>
      </c>
      <c r="F313" s="632">
        <f t="shared" si="0"/>
        <v>0</v>
      </c>
      <c r="G313" s="632">
        <f t="shared" si="0"/>
        <v>0</v>
      </c>
    </row>
    <row r="314" spans="2:7" ht="14.25" customHeight="1" x14ac:dyDescent="0.2">
      <c r="B314" s="632" t="str">
        <f t="shared" si="0"/>
        <v>תמצית המאזן באלפי ₪</v>
      </c>
      <c r="C314" s="632">
        <f t="shared" si="0"/>
        <v>0</v>
      </c>
      <c r="D314" s="632">
        <f t="shared" si="0"/>
        <v>0</v>
      </c>
      <c r="E314" s="632">
        <f t="shared" si="0"/>
        <v>0</v>
      </c>
      <c r="F314" s="632">
        <f t="shared" si="0"/>
        <v>0</v>
      </c>
      <c r="G314" s="632">
        <f t="shared" si="0"/>
        <v>0</v>
      </c>
    </row>
    <row r="315" spans="2:7" ht="15.75" customHeight="1" x14ac:dyDescent="0.2">
      <c r="B315" s="632" t="str">
        <f t="shared" si="0"/>
        <v>ליום 31 בדצמבר 2018</v>
      </c>
      <c r="C315" s="632">
        <f t="shared" si="0"/>
        <v>0</v>
      </c>
      <c r="D315" s="632">
        <f t="shared" si="0"/>
        <v>0</v>
      </c>
      <c r="E315" s="632">
        <f t="shared" si="0"/>
        <v>0</v>
      </c>
      <c r="F315" s="632">
        <f t="shared" si="0"/>
        <v>0</v>
      </c>
      <c r="G315" s="632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31.12.18</v>
      </c>
      <c r="E319" s="81">
        <f>E7</f>
        <v>0</v>
      </c>
      <c r="F319" s="535" t="str">
        <f>F7</f>
        <v>31.12.17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8034</v>
      </c>
      <c r="E321" s="83">
        <f t="shared" si="1"/>
        <v>0</v>
      </c>
      <c r="F321" s="86">
        <f t="shared" si="1"/>
        <v>12183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6202</v>
      </c>
      <c r="E322" s="83">
        <f t="shared" si="1"/>
        <v>0</v>
      </c>
      <c r="F322" s="87">
        <f t="shared" si="1"/>
        <v>3344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1497</v>
      </c>
      <c r="E323" s="83">
        <f t="shared" si="1"/>
        <v>0</v>
      </c>
      <c r="F323" s="87">
        <f t="shared" si="1"/>
        <v>2578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15733</v>
      </c>
      <c r="E324" s="83">
        <f t="shared" si="1"/>
        <v>0</v>
      </c>
      <c r="F324" s="88">
        <f t="shared" si="1"/>
        <v>18105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4009</v>
      </c>
      <c r="E325" s="83">
        <f t="shared" si="1"/>
        <v>0</v>
      </c>
      <c r="F325" s="86">
        <f t="shared" si="1"/>
        <v>3842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28160</v>
      </c>
      <c r="E326" s="83">
        <f t="shared" si="1"/>
        <v>0</v>
      </c>
      <c r="F326" s="87">
        <f t="shared" si="1"/>
        <v>28159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32169</v>
      </c>
      <c r="E327" s="83">
        <f t="shared" si="1"/>
        <v>0</v>
      </c>
      <c r="F327" s="88">
        <f t="shared" si="1"/>
        <v>32001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8746</v>
      </c>
      <c r="E329" s="83">
        <f t="shared" si="1"/>
        <v>0</v>
      </c>
      <c r="F329" s="87">
        <f t="shared" si="1"/>
        <v>9301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-26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-85</v>
      </c>
      <c r="E331" s="83">
        <f t="shared" si="1"/>
        <v>0</v>
      </c>
      <c r="F331" s="87">
        <f t="shared" si="1"/>
        <v>-529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8661</v>
      </c>
      <c r="E332" s="83">
        <f t="shared" si="1"/>
        <v>0</v>
      </c>
      <c r="F332" s="88">
        <f t="shared" si="1"/>
        <v>8746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10691</v>
      </c>
      <c r="E338" s="83">
        <f t="shared" si="3"/>
        <v>0</v>
      </c>
      <c r="F338" s="91">
        <f t="shared" si="3"/>
        <v>9702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-3857</v>
      </c>
      <c r="E339" s="83">
        <f t="shared" si="3"/>
        <v>0</v>
      </c>
      <c r="F339" s="92">
        <f t="shared" si="3"/>
        <v>-4032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6834</v>
      </c>
      <c r="E340" s="83">
        <f t="shared" si="3"/>
        <v>0</v>
      </c>
      <c r="F340" s="93">
        <f t="shared" si="3"/>
        <v>5670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64696</v>
      </c>
      <c r="E342" s="83">
        <f t="shared" si="3"/>
        <v>0</v>
      </c>
      <c r="F342" s="95">
        <f t="shared" si="3"/>
        <v>65821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198</v>
      </c>
      <c r="E346" s="83">
        <f t="shared" si="5"/>
        <v>0</v>
      </c>
      <c r="F346" s="100">
        <f t="shared" si="5"/>
        <v>8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39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6761</v>
      </c>
      <c r="E348" s="83">
        <f t="shared" si="6"/>
        <v>0</v>
      </c>
      <c r="F348" s="87">
        <f t="shared" si="6"/>
        <v>6432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25217</v>
      </c>
      <c r="E349" s="83">
        <f t="shared" si="6"/>
        <v>0</v>
      </c>
      <c r="F349" s="87">
        <f t="shared" si="6"/>
        <v>27367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0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32215</v>
      </c>
      <c r="E352" s="83">
        <f t="shared" si="7"/>
        <v>0</v>
      </c>
      <c r="F352" s="88">
        <f t="shared" si="7"/>
        <v>33807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4321</v>
      </c>
      <c r="E354" s="83">
        <f t="shared" si="7"/>
        <v>0</v>
      </c>
      <c r="F354" s="87">
        <f t="shared" si="7"/>
        <v>3855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28160</v>
      </c>
      <c r="E356" s="83">
        <f t="shared" si="9"/>
        <v>0</v>
      </c>
      <c r="F356" s="86">
        <f t="shared" si="9"/>
        <v>28159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64696</v>
      </c>
      <c r="E368" s="83">
        <f t="shared" si="10"/>
        <v>0</v>
      </c>
      <c r="F368" s="95">
        <f t="shared" si="10"/>
        <v>65821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32" t="str">
        <f>C1</f>
        <v>עיריית באקה אלגרבייה</v>
      </c>
      <c r="C371" s="632">
        <f t="shared" ref="C371:G373" si="11">D59</f>
        <v>7774</v>
      </c>
      <c r="D371" s="632">
        <f t="shared" si="11"/>
        <v>0</v>
      </c>
      <c r="E371" s="632">
        <f t="shared" si="11"/>
        <v>8234.9189999999999</v>
      </c>
      <c r="F371" s="632">
        <f t="shared" si="11"/>
        <v>0</v>
      </c>
      <c r="G371" s="632">
        <f t="shared" si="11"/>
        <v>0</v>
      </c>
    </row>
    <row r="372" spans="2:7" ht="18" x14ac:dyDescent="0.2">
      <c r="B372" s="632" t="str">
        <f>CONCATENATE(C2," - פירוטים למאזן")</f>
        <v>תמצית המאזן באלפי ₪ - פירוטים למאזן</v>
      </c>
      <c r="C372" s="632">
        <f t="shared" si="11"/>
        <v>0</v>
      </c>
      <c r="D372" s="632">
        <f t="shared" si="11"/>
        <v>0</v>
      </c>
      <c r="E372" s="632">
        <f t="shared" si="11"/>
        <v>0</v>
      </c>
      <c r="F372" s="632">
        <f t="shared" si="11"/>
        <v>0</v>
      </c>
      <c r="G372" s="632">
        <f t="shared" si="11"/>
        <v>0</v>
      </c>
    </row>
    <row r="373" spans="2:7" ht="18" x14ac:dyDescent="0.2">
      <c r="B373" s="632" t="str">
        <f>C3</f>
        <v>ליום 31 בדצמבר 2018</v>
      </c>
      <c r="C373" s="632">
        <f t="shared" si="11"/>
        <v>0</v>
      </c>
      <c r="D373" s="632">
        <f t="shared" si="11"/>
        <v>0</v>
      </c>
      <c r="E373" s="632">
        <f t="shared" si="11"/>
        <v>0</v>
      </c>
      <c r="F373" s="632">
        <f t="shared" si="11"/>
        <v>0</v>
      </c>
      <c r="G373" s="632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263812</v>
      </c>
      <c r="E376" s="83">
        <f t="shared" si="13"/>
        <v>0</v>
      </c>
      <c r="F376" s="100">
        <f t="shared" si="13"/>
        <v>240807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7774</v>
      </c>
      <c r="E377" s="83">
        <f t="shared" si="13"/>
        <v>0</v>
      </c>
      <c r="F377" s="87">
        <f t="shared" si="13"/>
        <v>8234.9189999999999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26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26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174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685</v>
      </c>
      <c r="E393" s="83">
        <f t="shared" si="14"/>
        <v>0</v>
      </c>
      <c r="F393" s="87">
        <f t="shared" si="14"/>
        <v>405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269</v>
      </c>
      <c r="E395" s="83">
        <f t="shared" si="14"/>
        <v>0</v>
      </c>
      <c r="F395" s="87">
        <f t="shared" si="14"/>
        <v>380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3367</v>
      </c>
      <c r="E397" s="83">
        <f t="shared" si="14"/>
        <v>0</v>
      </c>
      <c r="F397" s="87">
        <f t="shared" si="14"/>
        <v>2896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4321</v>
      </c>
      <c r="E398" s="83">
        <f t="shared" si="14"/>
        <v>0</v>
      </c>
      <c r="F398" s="95">
        <f t="shared" si="14"/>
        <v>3855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5500</v>
      </c>
      <c r="E400" s="83">
        <f t="shared" si="14"/>
        <v>0</v>
      </c>
      <c r="F400" s="83">
        <f t="shared" si="14"/>
        <v>5799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5" priority="1" stopIfTrue="1">
      <formula>$B$365=""</formula>
    </cfRule>
  </conditionalFormatting>
  <conditionalFormatting sqref="F338:F339 D338:D339">
    <cfRule type="expression" dxfId="14" priority="2" stopIfTrue="1">
      <formula>$B$338=""</formula>
    </cfRule>
  </conditionalFormatting>
  <conditionalFormatting sqref="D340 F340">
    <cfRule type="expression" dxfId="13" priority="3" stopIfTrue="1">
      <formula>$B$340=""</formula>
    </cfRule>
  </conditionalFormatting>
  <conditionalFormatting sqref="B370">
    <cfRule type="expression" dxfId="12" priority="4" stopIfTrue="1">
      <formula>$L$3=0</formula>
    </cfRule>
  </conditionalFormatting>
  <conditionalFormatting sqref="D52 F52">
    <cfRule type="expression" dxfId="11" priority="5" stopIfTrue="1">
      <formula>$B$52=""</formula>
    </cfRule>
  </conditionalFormatting>
  <conditionalFormatting sqref="D53 F53">
    <cfRule type="expression" dxfId="10" priority="6" stopIfTrue="1">
      <formula>$B$53=""</formula>
    </cfRule>
  </conditionalFormatting>
  <conditionalFormatting sqref="D26 F26">
    <cfRule type="expression" dxfId="9" priority="7" stopIfTrue="1">
      <formula>$B$26=""</formula>
    </cfRule>
  </conditionalFormatting>
  <conditionalFormatting sqref="D27 F27">
    <cfRule type="expression" dxfId="8" priority="8" stopIfTrue="1">
      <formula>$B$27=""</formula>
    </cfRule>
  </conditionalFormatting>
  <conditionalFormatting sqref="D28 F28">
    <cfRule type="expression" dxfId="7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zoomScale="85" workbookViewId="0">
      <selection activeCell="A5" sqref="A5"/>
    </sheetView>
  </sheetViews>
  <sheetFormatPr defaultColWidth="9.140625"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7"/>
      <c r="I1" s="627"/>
      <c r="J1" s="627"/>
      <c r="K1" s="627"/>
      <c r="L1" s="628"/>
      <c r="M1" s="41"/>
    </row>
    <row r="2" spans="1:15" ht="19.5" thickTop="1" thickBot="1" x14ac:dyDescent="0.25">
      <c r="A2" s="41"/>
      <c r="B2" s="41"/>
      <c r="C2" s="634" t="s">
        <v>642</v>
      </c>
      <c r="D2" s="635"/>
      <c r="E2" s="635"/>
      <c r="F2" s="635"/>
      <c r="G2" s="635"/>
      <c r="H2" s="635"/>
      <c r="I2" s="635"/>
      <c r="J2" s="635"/>
      <c r="K2" s="635"/>
      <c r="L2" s="636"/>
      <c r="M2" s="41"/>
    </row>
    <row r="3" spans="1:15" ht="19.5" thickTop="1" thickBot="1" x14ac:dyDescent="0.25">
      <c r="A3" s="41"/>
      <c r="B3" s="41"/>
      <c r="C3" s="626" t="str">
        <f>ReportPeriod</f>
        <v>לתקופה: רבעון 4, שנת 2018</v>
      </c>
      <c r="D3" s="627"/>
      <c r="E3" s="627"/>
      <c r="F3" s="627"/>
      <c r="G3" s="627"/>
      <c r="H3" s="627"/>
      <c r="I3" s="627"/>
      <c r="J3" s="627"/>
      <c r="K3" s="627"/>
      <c r="L3" s="628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4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31685</v>
      </c>
      <c r="D11" s="47"/>
      <c r="E11" s="151">
        <f>C11*MIN($G$4,4)/4</f>
        <v>31685</v>
      </c>
      <c r="F11" s="47"/>
      <c r="G11" s="50">
        <v>31043</v>
      </c>
      <c r="H11" s="47"/>
      <c r="I11" s="151">
        <f t="shared" ref="I11:I16" si="0">G11-E11</f>
        <v>-642</v>
      </c>
      <c r="J11" s="47"/>
      <c r="K11" s="188">
        <f t="shared" ref="K11:K16" si="1">IF(E11=0,0,I11/E11)</f>
        <v>-2.0261953605807164E-2</v>
      </c>
      <c r="L11" s="61"/>
      <c r="M11" s="44"/>
    </row>
    <row r="12" spans="1:15" x14ac:dyDescent="0.2">
      <c r="A12" s="43"/>
      <c r="B12" s="65" t="s">
        <v>649</v>
      </c>
      <c r="C12" s="50">
        <v>670</v>
      </c>
      <c r="D12" s="47"/>
      <c r="E12" s="151">
        <f>C12*MIN($G$4,4)/4</f>
        <v>670</v>
      </c>
      <c r="F12" s="47"/>
      <c r="G12" s="50">
        <v>508</v>
      </c>
      <c r="H12" s="47"/>
      <c r="I12" s="151">
        <f t="shared" si="0"/>
        <v>-162</v>
      </c>
      <c r="J12" s="47"/>
      <c r="K12" s="188">
        <f t="shared" si="1"/>
        <v>-0.2417910447761194</v>
      </c>
      <c r="L12" s="61"/>
      <c r="M12" s="44"/>
    </row>
    <row r="13" spans="1:15" x14ac:dyDescent="0.2">
      <c r="A13" s="43"/>
      <c r="B13" s="65" t="s">
        <v>851</v>
      </c>
      <c r="C13" s="50">
        <v>408</v>
      </c>
      <c r="D13" s="47"/>
      <c r="E13" s="151">
        <f>C13*MIN($G$4,4)/4</f>
        <v>408</v>
      </c>
      <c r="F13" s="47"/>
      <c r="G13" s="50">
        <v>193</v>
      </c>
      <c r="H13" s="47"/>
      <c r="I13" s="151">
        <f t="shared" si="0"/>
        <v>-215</v>
      </c>
      <c r="J13" s="47"/>
      <c r="K13" s="188">
        <f t="shared" si="1"/>
        <v>-0.52696078431372551</v>
      </c>
      <c r="L13" s="61"/>
      <c r="M13" s="44"/>
    </row>
    <row r="14" spans="1:15" x14ac:dyDescent="0.2">
      <c r="A14" s="43"/>
      <c r="B14" s="65" t="s">
        <v>852</v>
      </c>
      <c r="C14" s="50">
        <v>209</v>
      </c>
      <c r="D14" s="47"/>
      <c r="E14" s="151">
        <f>C14*MIN($G$4,4)/4</f>
        <v>209</v>
      </c>
      <c r="F14" s="47"/>
      <c r="G14" s="50">
        <v>148</v>
      </c>
      <c r="H14" s="47"/>
      <c r="I14" s="151">
        <f t="shared" si="0"/>
        <v>-61</v>
      </c>
      <c r="J14" s="47"/>
      <c r="K14" s="188">
        <f t="shared" si="1"/>
        <v>-0.291866028708134</v>
      </c>
      <c r="L14" s="61"/>
      <c r="M14" s="44"/>
    </row>
    <row r="15" spans="1:15" x14ac:dyDescent="0.2">
      <c r="A15" s="43"/>
      <c r="B15" s="233" t="s">
        <v>853</v>
      </c>
      <c r="C15" s="50">
        <v>3889</v>
      </c>
      <c r="D15" s="47"/>
      <c r="E15" s="151">
        <f>C15*MIN($G$4,4)/4</f>
        <v>3889</v>
      </c>
      <c r="F15" s="47"/>
      <c r="G15" s="50">
        <v>3197</v>
      </c>
      <c r="H15" s="47"/>
      <c r="I15" s="151">
        <f t="shared" si="0"/>
        <v>-692</v>
      </c>
      <c r="J15" s="47"/>
      <c r="K15" s="188">
        <f t="shared" si="1"/>
        <v>-0.17793777320647983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36861</v>
      </c>
      <c r="D16" s="47"/>
      <c r="E16" s="51">
        <f>SUM(E11:E15)</f>
        <v>36861</v>
      </c>
      <c r="F16" s="47"/>
      <c r="G16" s="51">
        <f>SUM(G11:G15)</f>
        <v>35089</v>
      </c>
      <c r="H16" s="47"/>
      <c r="I16" s="51">
        <f t="shared" si="0"/>
        <v>-1772</v>
      </c>
      <c r="J16" s="47"/>
      <c r="K16" s="463">
        <f t="shared" si="1"/>
        <v>-4.8072488538021214E-2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69073</v>
      </c>
      <c r="D18" s="47"/>
      <c r="E18" s="151">
        <f t="shared" ref="E18:E25" si="2">C18*MIN($G$4,4)/4</f>
        <v>69073</v>
      </c>
      <c r="F18" s="47"/>
      <c r="G18" s="50">
        <v>68685</v>
      </c>
      <c r="H18" s="47"/>
      <c r="I18" s="151">
        <f t="shared" ref="I18:I25" si="3">G18-E18</f>
        <v>-388</v>
      </c>
      <c r="J18" s="47"/>
      <c r="K18" s="188">
        <f t="shared" ref="K18:K25" si="4">IF(E18=0,0,I18/E18)</f>
        <v>-5.6172455228526343E-3</v>
      </c>
      <c r="L18" s="61"/>
      <c r="M18" s="44"/>
    </row>
    <row r="19" spans="1:13" x14ac:dyDescent="0.2">
      <c r="A19" s="43"/>
      <c r="B19" s="46" t="s">
        <v>652</v>
      </c>
      <c r="C19" s="50">
        <v>15549</v>
      </c>
      <c r="D19" s="47"/>
      <c r="E19" s="151">
        <f t="shared" si="2"/>
        <v>15549</v>
      </c>
      <c r="F19" s="47"/>
      <c r="G19" s="50">
        <v>14293</v>
      </c>
      <c r="H19" s="47"/>
      <c r="I19" s="151">
        <f t="shared" si="3"/>
        <v>-1256</v>
      </c>
      <c r="J19" s="47"/>
      <c r="K19" s="188">
        <f t="shared" si="4"/>
        <v>-8.0776898835937999E-2</v>
      </c>
      <c r="L19" s="61"/>
      <c r="M19" s="44"/>
    </row>
    <row r="20" spans="1:13" x14ac:dyDescent="0.2">
      <c r="A20" s="43"/>
      <c r="B20" s="46" t="s">
        <v>653</v>
      </c>
      <c r="C20" s="50">
        <v>3275</v>
      </c>
      <c r="D20" s="47"/>
      <c r="E20" s="151">
        <f t="shared" si="2"/>
        <v>3275</v>
      </c>
      <c r="F20" s="47"/>
      <c r="G20" s="50">
        <v>2039</v>
      </c>
      <c r="H20" s="47"/>
      <c r="I20" s="151">
        <f t="shared" si="3"/>
        <v>-1236</v>
      </c>
      <c r="J20" s="47"/>
      <c r="K20" s="188">
        <f t="shared" si="4"/>
        <v>-0.37740458015267175</v>
      </c>
      <c r="L20" s="61"/>
      <c r="M20" s="44"/>
    </row>
    <row r="21" spans="1:13" x14ac:dyDescent="0.2">
      <c r="A21" s="43"/>
      <c r="B21" s="46" t="s">
        <v>654</v>
      </c>
      <c r="C21" s="50">
        <v>22572</v>
      </c>
      <c r="D21" s="47"/>
      <c r="E21" s="151">
        <f t="shared" si="2"/>
        <v>22572</v>
      </c>
      <c r="F21" s="47"/>
      <c r="G21" s="50">
        <v>22572</v>
      </c>
      <c r="H21" s="47"/>
      <c r="I21" s="151">
        <f t="shared" si="3"/>
        <v>0</v>
      </c>
      <c r="J21" s="47"/>
      <c r="K21" s="188">
        <f t="shared" si="4"/>
        <v>0</v>
      </c>
      <c r="L21" s="61"/>
      <c r="M21" s="44"/>
    </row>
    <row r="22" spans="1:13" x14ac:dyDescent="0.2">
      <c r="A22" s="43"/>
      <c r="B22" s="65" t="s">
        <v>655</v>
      </c>
      <c r="C22" s="50">
        <v>3010</v>
      </c>
      <c r="D22" s="47"/>
      <c r="E22" s="151">
        <f t="shared" si="2"/>
        <v>3010</v>
      </c>
      <c r="F22" s="47"/>
      <c r="G22" s="50">
        <v>3123</v>
      </c>
      <c r="H22" s="47"/>
      <c r="I22" s="151">
        <f t="shared" si="3"/>
        <v>113</v>
      </c>
      <c r="J22" s="47"/>
      <c r="K22" s="188">
        <f t="shared" si="4"/>
        <v>3.7541528239202655E-2</v>
      </c>
      <c r="L22" s="61"/>
      <c r="M22" s="44"/>
    </row>
    <row r="23" spans="1:13" ht="12" customHeight="1" x14ac:dyDescent="0.2">
      <c r="A23" s="43"/>
      <c r="B23" s="46" t="s">
        <v>656</v>
      </c>
      <c r="C23" s="50">
        <v>1475</v>
      </c>
      <c r="D23" s="47"/>
      <c r="E23" s="151">
        <f t="shared" si="2"/>
        <v>1475</v>
      </c>
      <c r="F23" s="47"/>
      <c r="G23" s="50">
        <v>1423</v>
      </c>
      <c r="H23" s="47"/>
      <c r="I23" s="151">
        <f t="shared" si="3"/>
        <v>-52</v>
      </c>
      <c r="J23" s="47"/>
      <c r="K23" s="188">
        <f t="shared" si="4"/>
        <v>-3.5254237288135593E-2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151815</v>
      </c>
      <c r="D25" s="47"/>
      <c r="E25" s="234">
        <f t="shared" si="2"/>
        <v>151815</v>
      </c>
      <c r="F25" s="47"/>
      <c r="G25" s="121">
        <f>SUM(G18:G24)+G16</f>
        <v>147224</v>
      </c>
      <c r="H25" s="47"/>
      <c r="I25" s="235">
        <f t="shared" si="3"/>
        <v>-4591</v>
      </c>
      <c r="J25" s="47"/>
      <c r="K25" s="464">
        <f t="shared" si="4"/>
        <v>-3.0240753548727069E-2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15040</v>
      </c>
      <c r="D29" s="47"/>
      <c r="E29" s="151">
        <f>C29*MIN($G$4,4)/4</f>
        <v>15040</v>
      </c>
      <c r="F29" s="47"/>
      <c r="G29" s="50">
        <v>16445</v>
      </c>
      <c r="H29" s="47"/>
      <c r="I29" s="151">
        <f>G29-E29</f>
        <v>1405</v>
      </c>
      <c r="J29" s="47"/>
      <c r="K29" s="188">
        <f>IF(E29=0,0,I29/E29)</f>
        <v>9.3417553191489366E-2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166855</v>
      </c>
      <c r="D30" s="47"/>
      <c r="E30" s="51">
        <f>SUM(E27:E29)+E25</f>
        <v>166855</v>
      </c>
      <c r="F30" s="47"/>
      <c r="G30" s="51">
        <f>SUM(G27:G29)+G25</f>
        <v>163669</v>
      </c>
      <c r="H30" s="47"/>
      <c r="I30" s="51">
        <f>G30-E30</f>
        <v>-3186</v>
      </c>
      <c r="J30" s="47"/>
      <c r="K30" s="465">
        <f>IF(E30=0,0,I30/E30)</f>
        <v>-1.9094423301669113E-2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21872</v>
      </c>
      <c r="D32" s="47"/>
      <c r="E32" s="151">
        <f>C32*MIN($G$4,4)/4</f>
        <v>21872</v>
      </c>
      <c r="F32" s="47"/>
      <c r="G32" s="50">
        <v>20932</v>
      </c>
      <c r="H32" s="47"/>
      <c r="I32" s="151">
        <f>G32-E32</f>
        <v>-940</v>
      </c>
      <c r="J32" s="47"/>
      <c r="K32" s="188">
        <f>IF(E32=0,0,I32/E32)</f>
        <v>-4.2977322604242869E-2</v>
      </c>
      <c r="L32" s="61"/>
      <c r="M32" s="44"/>
    </row>
    <row r="33" spans="1:13" x14ac:dyDescent="0.2">
      <c r="A33" s="43"/>
      <c r="B33" s="46" t="s">
        <v>664</v>
      </c>
      <c r="C33" s="50">
        <v>28053</v>
      </c>
      <c r="D33" s="47"/>
      <c r="E33" s="151">
        <f>C33*MIN($G$4,4)/4</f>
        <v>28053</v>
      </c>
      <c r="F33" s="47"/>
      <c r="G33" s="587">
        <v>26355</v>
      </c>
      <c r="H33" s="47"/>
      <c r="I33" s="151">
        <f>G33-E33</f>
        <v>-1698</v>
      </c>
      <c r="J33" s="47"/>
      <c r="K33" s="188">
        <f>IF(E33=0,0,I33/E33)</f>
        <v>-6.0528285744840121E-2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49925</v>
      </c>
      <c r="D35" s="47"/>
      <c r="E35" s="51">
        <f>SUM(E32:E34)</f>
        <v>49925</v>
      </c>
      <c r="F35" s="47"/>
      <c r="G35" s="51">
        <f>SUM(G32:G34)</f>
        <v>47287</v>
      </c>
      <c r="H35" s="47"/>
      <c r="I35" s="51">
        <f>G35-E35</f>
        <v>-2638</v>
      </c>
      <c r="J35" s="47"/>
      <c r="K35" s="243">
        <f>IF(E35=0,0,I35/E35)</f>
        <v>-5.2839258888332498E-2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51231</v>
      </c>
      <c r="D37" s="47"/>
      <c r="E37" s="151">
        <f>C37*MIN($G$4,4)/4</f>
        <v>51231</v>
      </c>
      <c r="F37" s="47"/>
      <c r="G37" s="50">
        <v>53540</v>
      </c>
      <c r="H37" s="47"/>
      <c r="I37" s="151">
        <f t="shared" ref="I37:I42" si="5">G37-E37</f>
        <v>2309</v>
      </c>
      <c r="J37" s="47"/>
      <c r="K37" s="188">
        <f t="shared" ref="K37:K42" si="6">IF(E37=0,0,I37/E37)</f>
        <v>4.5070367550896918E-2</v>
      </c>
      <c r="L37" s="61"/>
      <c r="M37" s="44"/>
    </row>
    <row r="38" spans="1:13" x14ac:dyDescent="0.2">
      <c r="A38" s="43"/>
      <c r="B38" s="46" t="s">
        <v>668</v>
      </c>
      <c r="C38" s="50">
        <v>27967</v>
      </c>
      <c r="D38" s="47"/>
      <c r="E38" s="151">
        <f>C38*MIN($G$4,4)/4</f>
        <v>27967</v>
      </c>
      <c r="F38" s="47"/>
      <c r="G38" s="50">
        <v>25058</v>
      </c>
      <c r="H38" s="47"/>
      <c r="I38" s="151">
        <f t="shared" si="5"/>
        <v>-2909</v>
      </c>
      <c r="J38" s="47"/>
      <c r="K38" s="188">
        <f t="shared" si="6"/>
        <v>-0.10401544677655809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79198</v>
      </c>
      <c r="D39" s="47"/>
      <c r="E39" s="51">
        <f>SUM(E37:E38)</f>
        <v>79198</v>
      </c>
      <c r="F39" s="47"/>
      <c r="G39" s="51">
        <f>SUM(G37:G38)</f>
        <v>78598</v>
      </c>
      <c r="H39" s="47"/>
      <c r="I39" s="51">
        <f t="shared" si="5"/>
        <v>-600</v>
      </c>
      <c r="J39" s="47"/>
      <c r="K39" s="244">
        <f t="shared" si="6"/>
        <v>-7.5759488875981719E-3</v>
      </c>
      <c r="L39" s="61"/>
      <c r="M39" s="44"/>
    </row>
    <row r="40" spans="1:13" x14ac:dyDescent="0.2">
      <c r="A40" s="43"/>
      <c r="B40" s="46" t="s">
        <v>670</v>
      </c>
      <c r="C40" s="63">
        <v>6565</v>
      </c>
      <c r="D40" s="47"/>
      <c r="E40" s="240">
        <f>C40*MIN($G$4,4)/4</f>
        <v>6565</v>
      </c>
      <c r="F40" s="47"/>
      <c r="G40" s="63">
        <v>6112</v>
      </c>
      <c r="H40" s="47"/>
      <c r="I40" s="240">
        <f t="shared" si="5"/>
        <v>-453</v>
      </c>
      <c r="J40" s="47"/>
      <c r="K40" s="188">
        <f t="shared" si="6"/>
        <v>-6.9002284843869E-2</v>
      </c>
      <c r="L40" s="61"/>
      <c r="M40" s="44"/>
    </row>
    <row r="41" spans="1:13" x14ac:dyDescent="0.2">
      <c r="A41" s="43"/>
      <c r="B41" s="46" t="s">
        <v>671</v>
      </c>
      <c r="C41" s="50">
        <v>14268</v>
      </c>
      <c r="D41" s="47"/>
      <c r="E41" s="151">
        <f>C41*MIN($G$4,4)/4</f>
        <v>14268</v>
      </c>
      <c r="F41" s="47"/>
      <c r="G41" s="50">
        <v>13335</v>
      </c>
      <c r="H41" s="47"/>
      <c r="I41" s="151">
        <f t="shared" si="5"/>
        <v>-933</v>
      </c>
      <c r="J41" s="47"/>
      <c r="K41" s="188">
        <f t="shared" si="6"/>
        <v>-6.5391084945332217E-2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20833</v>
      </c>
      <c r="D42" s="47"/>
      <c r="E42" s="51">
        <f>SUM(E40:E41)</f>
        <v>20833</v>
      </c>
      <c r="F42" s="47"/>
      <c r="G42" s="51">
        <f>SUM(G40:G41)</f>
        <v>19447</v>
      </c>
      <c r="H42" s="47"/>
      <c r="I42" s="51">
        <f t="shared" si="5"/>
        <v>-1386</v>
      </c>
      <c r="J42" s="47"/>
      <c r="K42" s="244">
        <f t="shared" si="6"/>
        <v>-6.6529064465031443E-2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149956</v>
      </c>
      <c r="D44" s="47"/>
      <c r="E44" s="51">
        <f>C44*MIN($G$4,4)/4</f>
        <v>149956</v>
      </c>
      <c r="F44" s="47"/>
      <c r="G44" s="51">
        <f>G35+G39+G42</f>
        <v>145332</v>
      </c>
      <c r="H44" s="47"/>
      <c r="I44" s="51">
        <f>G44-E44</f>
        <v>-4624</v>
      </c>
      <c r="J44" s="47"/>
      <c r="K44" s="244">
        <f>IF(E44=0,0,I44/E44)</f>
        <v>-3.0835711808797246E-2</v>
      </c>
      <c r="L44" s="61"/>
      <c r="M44" s="44"/>
    </row>
    <row r="45" spans="1:13" x14ac:dyDescent="0.2">
      <c r="A45" s="43"/>
      <c r="B45" s="46" t="s">
        <v>674</v>
      </c>
      <c r="C45" s="63">
        <v>1150</v>
      </c>
      <c r="D45" s="47"/>
      <c r="E45" s="240">
        <f>C45*MIN($G$4,4)/4</f>
        <v>1150</v>
      </c>
      <c r="F45" s="47"/>
      <c r="G45" s="63">
        <v>1117</v>
      </c>
      <c r="H45" s="47"/>
      <c r="I45" s="240">
        <f>G45-E45</f>
        <v>-33</v>
      </c>
      <c r="J45" s="47"/>
      <c r="K45" s="241">
        <f>IF(E45=0,0,I45/E45)</f>
        <v>-2.8695652173913042E-2</v>
      </c>
      <c r="L45" s="61"/>
      <c r="M45" s="44"/>
    </row>
    <row r="46" spans="1:13" x14ac:dyDescent="0.2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1150</v>
      </c>
      <c r="D47" s="47"/>
      <c r="E47" s="51">
        <f>SUM(E45:E46)</f>
        <v>1150</v>
      </c>
      <c r="F47" s="47"/>
      <c r="G47" s="51">
        <f>SUM(G45:G46)</f>
        <v>1117</v>
      </c>
      <c r="H47" s="47"/>
      <c r="I47" s="51">
        <f>G47-E47</f>
        <v>-33</v>
      </c>
      <c r="J47" s="47"/>
      <c r="K47" s="244">
        <f>IF(E47=0,0,I47/E47)</f>
        <v>-2.8695652173913042E-2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40</v>
      </c>
      <c r="D49" s="47"/>
      <c r="E49" s="240">
        <f>C49*MIN($G$4,4)/4</f>
        <v>40</v>
      </c>
      <c r="F49" s="47"/>
      <c r="G49" s="63">
        <v>44</v>
      </c>
      <c r="H49" s="47"/>
      <c r="I49" s="240">
        <f>G49-E49</f>
        <v>4</v>
      </c>
      <c r="J49" s="47"/>
      <c r="K49" s="241">
        <f>IF(E49=0,0,I49/E49)</f>
        <v>0.1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709</v>
      </c>
      <c r="D50" s="47"/>
      <c r="E50" s="151">
        <f>C50*MIN($G$4,4)/4</f>
        <v>709</v>
      </c>
      <c r="F50" s="47"/>
      <c r="G50" s="50">
        <v>690</v>
      </c>
      <c r="H50" s="47"/>
      <c r="I50" s="151">
        <f>G50-E50</f>
        <v>-19</v>
      </c>
      <c r="J50" s="47"/>
      <c r="K50" s="188">
        <f>IF(E50=0,0,I50/E50)</f>
        <v>-2.6798307475317348E-2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151855</v>
      </c>
      <c r="D51" s="47"/>
      <c r="E51" s="249">
        <f>C51*MIN($G$4,4)/4</f>
        <v>151855</v>
      </c>
      <c r="F51" s="47"/>
      <c r="G51" s="234">
        <f>G44+G47+G49+G50</f>
        <v>147183</v>
      </c>
      <c r="H51" s="47"/>
      <c r="I51" s="249">
        <f>G51-E51</f>
        <v>-4672</v>
      </c>
      <c r="J51" s="47"/>
      <c r="K51" s="250">
        <f>IF(E51=0,0,I51/E51)</f>
        <v>-3.0766191432616642E-2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15000</v>
      </c>
      <c r="D54" s="47"/>
      <c r="E54" s="151">
        <f>C54*MIN($G$4,4)/4</f>
        <v>15000</v>
      </c>
      <c r="F54" s="47"/>
      <c r="G54" s="50">
        <v>16401</v>
      </c>
      <c r="H54" s="47"/>
      <c r="I54" s="151">
        <f>G54-E54</f>
        <v>1401</v>
      </c>
      <c r="J54" s="47"/>
      <c r="K54" s="188">
        <f>IF(E54=0,0,I54/E54)</f>
        <v>9.3399999999999997E-2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166855</v>
      </c>
      <c r="D55" s="47"/>
      <c r="E55" s="51">
        <f>E51+E53+E54</f>
        <v>166855</v>
      </c>
      <c r="F55" s="47"/>
      <c r="G55" s="51">
        <f>G51+G53+G54</f>
        <v>163584</v>
      </c>
      <c r="H55" s="47"/>
      <c r="I55" s="51">
        <f>G55-E55</f>
        <v>-3271</v>
      </c>
      <c r="J55" s="47"/>
      <c r="K55" s="242">
        <f>IF(E55=0,0,I55/E55)</f>
        <v>-1.9603847652153068E-2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85</v>
      </c>
      <c r="H57" s="47"/>
      <c r="I57" s="52">
        <f>I30-I55</f>
        <v>85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3" t="str">
        <f>C1</f>
        <v>עיריית באקה אלגרבייה</v>
      </c>
      <c r="C314" s="633"/>
      <c r="D314" s="633"/>
      <c r="E314" s="633"/>
      <c r="F314" s="633"/>
      <c r="G314" s="633"/>
      <c r="H314" s="633"/>
      <c r="I314" s="633"/>
      <c r="J314" s="633"/>
      <c r="K314" s="633"/>
      <c r="L314" s="633"/>
    </row>
    <row r="315" spans="2:12" ht="18" x14ac:dyDescent="0.2">
      <c r="B315" s="633" t="str">
        <f>C2</f>
        <v>תמצית נתוני התקציב הרגיל באלפי ₪</v>
      </c>
      <c r="C315" s="633"/>
      <c r="D315" s="633"/>
      <c r="E315" s="633"/>
      <c r="F315" s="633"/>
      <c r="G315" s="633"/>
      <c r="H315" s="633"/>
      <c r="I315" s="633"/>
      <c r="J315" s="633"/>
      <c r="K315" s="633"/>
      <c r="L315" s="633"/>
    </row>
    <row r="316" spans="2:12" ht="18" x14ac:dyDescent="0.2">
      <c r="B316" s="633" t="str">
        <f>C3</f>
        <v>לתקופה: רבעון 4, שנת 2018</v>
      </c>
      <c r="C316" s="633"/>
      <c r="D316" s="633"/>
      <c r="E316" s="633"/>
      <c r="F316" s="633"/>
      <c r="G316" s="633"/>
      <c r="H316" s="633"/>
      <c r="I316" s="633"/>
      <c r="J316" s="633"/>
      <c r="K316" s="633"/>
      <c r="L316" s="633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31685</v>
      </c>
      <c r="D323" s="83">
        <f t="shared" si="8"/>
        <v>0</v>
      </c>
      <c r="E323" s="259">
        <f t="shared" si="8"/>
        <v>31685</v>
      </c>
      <c r="F323" s="83">
        <f t="shared" si="8"/>
        <v>0</v>
      </c>
      <c r="G323" s="86">
        <f t="shared" si="8"/>
        <v>31043</v>
      </c>
      <c r="H323" s="83">
        <f t="shared" si="8"/>
        <v>0</v>
      </c>
      <c r="I323" s="259">
        <f t="shared" si="8"/>
        <v>-642</v>
      </c>
      <c r="J323" s="83">
        <f t="shared" si="8"/>
        <v>0</v>
      </c>
      <c r="K323" s="260">
        <f t="shared" si="8"/>
        <v>-2.0261953605807164E-2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670</v>
      </c>
      <c r="D324" s="83">
        <f t="shared" si="8"/>
        <v>0</v>
      </c>
      <c r="E324" s="261">
        <f t="shared" si="8"/>
        <v>670</v>
      </c>
      <c r="F324" s="83">
        <f t="shared" si="8"/>
        <v>0</v>
      </c>
      <c r="G324" s="87">
        <f t="shared" si="8"/>
        <v>508</v>
      </c>
      <c r="H324" s="83">
        <f t="shared" si="8"/>
        <v>0</v>
      </c>
      <c r="I324" s="261">
        <f t="shared" si="8"/>
        <v>-162</v>
      </c>
      <c r="J324" s="83">
        <f t="shared" si="8"/>
        <v>0</v>
      </c>
      <c r="K324" s="262">
        <f t="shared" si="8"/>
        <v>-0.2417910447761194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408</v>
      </c>
      <c r="D325" s="83">
        <f t="shared" si="8"/>
        <v>0</v>
      </c>
      <c r="E325" s="261">
        <f t="shared" si="8"/>
        <v>408</v>
      </c>
      <c r="F325" s="83">
        <f t="shared" si="8"/>
        <v>0</v>
      </c>
      <c r="G325" s="87">
        <f t="shared" si="8"/>
        <v>193</v>
      </c>
      <c r="H325" s="83">
        <f t="shared" si="8"/>
        <v>0</v>
      </c>
      <c r="I325" s="261">
        <f t="shared" si="8"/>
        <v>-215</v>
      </c>
      <c r="J325" s="83">
        <f t="shared" si="8"/>
        <v>0</v>
      </c>
      <c r="K325" s="262">
        <f t="shared" si="8"/>
        <v>-0.52696078431372551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209</v>
      </c>
      <c r="D326" s="83">
        <f t="shared" si="8"/>
        <v>0</v>
      </c>
      <c r="E326" s="261">
        <f t="shared" si="8"/>
        <v>209</v>
      </c>
      <c r="F326" s="83">
        <f t="shared" si="8"/>
        <v>0</v>
      </c>
      <c r="G326" s="87">
        <f t="shared" si="8"/>
        <v>148</v>
      </c>
      <c r="H326" s="83">
        <f t="shared" si="8"/>
        <v>0</v>
      </c>
      <c r="I326" s="261">
        <f t="shared" si="8"/>
        <v>-61</v>
      </c>
      <c r="J326" s="83">
        <f t="shared" si="8"/>
        <v>0</v>
      </c>
      <c r="K326" s="262">
        <f t="shared" si="8"/>
        <v>-0.291866028708134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3889</v>
      </c>
      <c r="D327" s="83">
        <f t="shared" si="8"/>
        <v>0</v>
      </c>
      <c r="E327" s="261">
        <f t="shared" si="8"/>
        <v>3889</v>
      </c>
      <c r="F327" s="83">
        <f t="shared" si="8"/>
        <v>0</v>
      </c>
      <c r="G327" s="87">
        <f t="shared" si="8"/>
        <v>3197</v>
      </c>
      <c r="H327" s="83">
        <f t="shared" si="8"/>
        <v>0</v>
      </c>
      <c r="I327" s="261">
        <f t="shared" si="8"/>
        <v>-692</v>
      </c>
      <c r="J327" s="83">
        <f t="shared" si="8"/>
        <v>0</v>
      </c>
      <c r="K327" s="262">
        <f t="shared" si="8"/>
        <v>-0.17793777320647983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36861</v>
      </c>
      <c r="D328" s="83">
        <f t="shared" si="8"/>
        <v>0</v>
      </c>
      <c r="E328" s="88">
        <f t="shared" si="8"/>
        <v>36861</v>
      </c>
      <c r="F328" s="83">
        <f t="shared" si="8"/>
        <v>0</v>
      </c>
      <c r="G328" s="88">
        <f t="shared" si="8"/>
        <v>35089</v>
      </c>
      <c r="H328" s="83">
        <f t="shared" si="8"/>
        <v>0</v>
      </c>
      <c r="I328" s="88">
        <f t="shared" si="8"/>
        <v>-1772</v>
      </c>
      <c r="J328" s="83">
        <f t="shared" si="8"/>
        <v>0</v>
      </c>
      <c r="K328" s="466">
        <f t="shared" si="8"/>
        <v>-4.8072488538021214E-2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69073</v>
      </c>
      <c r="D330" s="83">
        <f t="shared" si="8"/>
        <v>0</v>
      </c>
      <c r="E330" s="259">
        <f t="shared" si="8"/>
        <v>69073</v>
      </c>
      <c r="F330" s="83">
        <f t="shared" si="8"/>
        <v>0</v>
      </c>
      <c r="G330" s="86">
        <f t="shared" si="8"/>
        <v>68685</v>
      </c>
      <c r="H330" s="83">
        <f t="shared" si="8"/>
        <v>0</v>
      </c>
      <c r="I330" s="259">
        <f t="shared" si="8"/>
        <v>-388</v>
      </c>
      <c r="J330" s="83">
        <f t="shared" si="8"/>
        <v>0</v>
      </c>
      <c r="K330" s="260">
        <f t="shared" si="8"/>
        <v>-5.6172455228526343E-3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15549</v>
      </c>
      <c r="D331" s="83">
        <f t="shared" si="8"/>
        <v>0</v>
      </c>
      <c r="E331" s="261">
        <f t="shared" si="8"/>
        <v>15549</v>
      </c>
      <c r="F331" s="83">
        <f t="shared" si="8"/>
        <v>0</v>
      </c>
      <c r="G331" s="87">
        <f t="shared" si="8"/>
        <v>14293</v>
      </c>
      <c r="H331" s="83">
        <f t="shared" si="8"/>
        <v>0</v>
      </c>
      <c r="I331" s="261">
        <f t="shared" si="8"/>
        <v>-1256</v>
      </c>
      <c r="J331" s="83">
        <f t="shared" si="8"/>
        <v>0</v>
      </c>
      <c r="K331" s="262">
        <f t="shared" si="8"/>
        <v>-8.0776898835937999E-2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3275</v>
      </c>
      <c r="D332" s="83">
        <f t="shared" si="8"/>
        <v>0</v>
      </c>
      <c r="E332" s="261">
        <f t="shared" si="8"/>
        <v>3275</v>
      </c>
      <c r="F332" s="83">
        <f t="shared" si="8"/>
        <v>0</v>
      </c>
      <c r="G332" s="87">
        <f t="shared" si="8"/>
        <v>2039</v>
      </c>
      <c r="H332" s="83">
        <f t="shared" si="8"/>
        <v>0</v>
      </c>
      <c r="I332" s="261">
        <f t="shared" si="8"/>
        <v>-1236</v>
      </c>
      <c r="J332" s="83">
        <f t="shared" si="8"/>
        <v>0</v>
      </c>
      <c r="K332" s="262">
        <f t="shared" si="8"/>
        <v>-0.37740458015267175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22572</v>
      </c>
      <c r="D333" s="83">
        <f t="shared" si="9"/>
        <v>0</v>
      </c>
      <c r="E333" s="261">
        <f t="shared" si="9"/>
        <v>22572</v>
      </c>
      <c r="F333" s="83">
        <f t="shared" si="9"/>
        <v>0</v>
      </c>
      <c r="G333" s="87">
        <f t="shared" si="9"/>
        <v>22572</v>
      </c>
      <c r="H333" s="83">
        <f t="shared" si="9"/>
        <v>0</v>
      </c>
      <c r="I333" s="261">
        <f t="shared" si="9"/>
        <v>0</v>
      </c>
      <c r="J333" s="83">
        <f t="shared" si="9"/>
        <v>0</v>
      </c>
      <c r="K333" s="262">
        <f t="shared" si="9"/>
        <v>0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3010</v>
      </c>
      <c r="D334" s="83">
        <f t="shared" si="9"/>
        <v>0</v>
      </c>
      <c r="E334" s="261">
        <f t="shared" si="9"/>
        <v>3010</v>
      </c>
      <c r="F334" s="83">
        <f t="shared" si="9"/>
        <v>0</v>
      </c>
      <c r="G334" s="87">
        <f t="shared" si="9"/>
        <v>3123</v>
      </c>
      <c r="H334" s="83">
        <f t="shared" si="9"/>
        <v>0</v>
      </c>
      <c r="I334" s="261">
        <f t="shared" si="9"/>
        <v>113</v>
      </c>
      <c r="J334" s="83">
        <f t="shared" si="9"/>
        <v>0</v>
      </c>
      <c r="K334" s="262">
        <f t="shared" si="9"/>
        <v>3.7541528239202655E-2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1475</v>
      </c>
      <c r="D335" s="83">
        <f t="shared" si="9"/>
        <v>0</v>
      </c>
      <c r="E335" s="261">
        <f t="shared" si="9"/>
        <v>1475</v>
      </c>
      <c r="F335" s="83">
        <f t="shared" si="9"/>
        <v>0</v>
      </c>
      <c r="G335" s="87">
        <f t="shared" si="9"/>
        <v>1423</v>
      </c>
      <c r="H335" s="83">
        <f t="shared" si="9"/>
        <v>0</v>
      </c>
      <c r="I335" s="261">
        <f t="shared" si="9"/>
        <v>-52</v>
      </c>
      <c r="J335" s="83">
        <f t="shared" si="9"/>
        <v>0</v>
      </c>
      <c r="K335" s="262">
        <f t="shared" si="9"/>
        <v>-3.5254237288135593E-2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151815</v>
      </c>
      <c r="D337" s="83">
        <f t="shared" si="9"/>
        <v>0</v>
      </c>
      <c r="E337" s="265">
        <f t="shared" si="9"/>
        <v>151815</v>
      </c>
      <c r="F337" s="83">
        <f t="shared" si="9"/>
        <v>0</v>
      </c>
      <c r="G337" s="264">
        <f t="shared" si="9"/>
        <v>147224</v>
      </c>
      <c r="H337" s="83">
        <f t="shared" si="9"/>
        <v>0</v>
      </c>
      <c r="I337" s="265">
        <f t="shared" si="9"/>
        <v>-4591</v>
      </c>
      <c r="J337" s="83">
        <f t="shared" si="9"/>
        <v>0</v>
      </c>
      <c r="K337" s="266">
        <f t="shared" si="9"/>
        <v>-3.0240753548727069E-2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15040</v>
      </c>
      <c r="D341" s="83">
        <f t="shared" si="9"/>
        <v>0</v>
      </c>
      <c r="E341" s="261">
        <f t="shared" si="9"/>
        <v>15040</v>
      </c>
      <c r="F341" s="83">
        <f t="shared" si="9"/>
        <v>0</v>
      </c>
      <c r="G341" s="87">
        <f t="shared" si="9"/>
        <v>16445</v>
      </c>
      <c r="H341" s="83">
        <f t="shared" si="9"/>
        <v>0</v>
      </c>
      <c r="I341" s="261">
        <f t="shared" si="9"/>
        <v>1405</v>
      </c>
      <c r="J341" s="83">
        <f t="shared" si="9"/>
        <v>0</v>
      </c>
      <c r="K341" s="262">
        <f t="shared" si="9"/>
        <v>9.3417553191489366E-2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166855</v>
      </c>
      <c r="D342" s="83">
        <f t="shared" si="9"/>
        <v>0</v>
      </c>
      <c r="E342" s="88">
        <f t="shared" si="9"/>
        <v>166855</v>
      </c>
      <c r="F342" s="83">
        <f t="shared" si="9"/>
        <v>0</v>
      </c>
      <c r="G342" s="88">
        <f t="shared" si="9"/>
        <v>163669</v>
      </c>
      <c r="H342" s="83">
        <f t="shared" si="9"/>
        <v>0</v>
      </c>
      <c r="I342" s="88">
        <f t="shared" si="9"/>
        <v>-3186</v>
      </c>
      <c r="J342" s="83">
        <f t="shared" si="9"/>
        <v>0</v>
      </c>
      <c r="K342" s="467">
        <f t="shared" si="9"/>
        <v>-1.9094423301669113E-2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21872</v>
      </c>
      <c r="D346" s="83">
        <f t="shared" si="11"/>
        <v>0</v>
      </c>
      <c r="E346" s="259">
        <f t="shared" si="11"/>
        <v>21872</v>
      </c>
      <c r="F346" s="83">
        <f t="shared" si="11"/>
        <v>0</v>
      </c>
      <c r="G346" s="86">
        <f t="shared" si="11"/>
        <v>20932</v>
      </c>
      <c r="H346" s="83">
        <f t="shared" si="11"/>
        <v>0</v>
      </c>
      <c r="I346" s="259">
        <f t="shared" si="11"/>
        <v>-940</v>
      </c>
      <c r="J346" s="83">
        <f t="shared" si="11"/>
        <v>0</v>
      </c>
      <c r="K346" s="260">
        <f t="shared" si="11"/>
        <v>-4.2977322604242869E-2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28053</v>
      </c>
      <c r="D347" s="83">
        <f t="shared" si="12"/>
        <v>0</v>
      </c>
      <c r="E347" s="261">
        <f t="shared" si="12"/>
        <v>28053</v>
      </c>
      <c r="F347" s="83">
        <f t="shared" si="12"/>
        <v>0</v>
      </c>
      <c r="G347" s="87">
        <f t="shared" si="12"/>
        <v>26355</v>
      </c>
      <c r="H347" s="83">
        <f t="shared" si="12"/>
        <v>0</v>
      </c>
      <c r="I347" s="261">
        <f t="shared" si="12"/>
        <v>-1698</v>
      </c>
      <c r="J347" s="83">
        <f t="shared" si="12"/>
        <v>0</v>
      </c>
      <c r="K347" s="262">
        <f t="shared" si="12"/>
        <v>-6.0528285744840121E-2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49925</v>
      </c>
      <c r="D349" s="83">
        <f t="shared" si="14"/>
        <v>0</v>
      </c>
      <c r="E349" s="88">
        <f t="shared" si="14"/>
        <v>49925</v>
      </c>
      <c r="F349" s="83">
        <f t="shared" si="14"/>
        <v>0</v>
      </c>
      <c r="G349" s="88">
        <f t="shared" si="14"/>
        <v>47287</v>
      </c>
      <c r="H349" s="83">
        <f t="shared" si="14"/>
        <v>0</v>
      </c>
      <c r="I349" s="88">
        <f t="shared" si="14"/>
        <v>-2638</v>
      </c>
      <c r="J349" s="83">
        <f t="shared" si="14"/>
        <v>0</v>
      </c>
      <c r="K349" s="268">
        <f t="shared" si="14"/>
        <v>-5.2839258888332498E-2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51231</v>
      </c>
      <c r="D351" s="83">
        <f t="shared" si="16"/>
        <v>0</v>
      </c>
      <c r="E351" s="259">
        <f t="shared" si="16"/>
        <v>51231</v>
      </c>
      <c r="F351" s="83">
        <f t="shared" si="16"/>
        <v>0</v>
      </c>
      <c r="G351" s="86">
        <f t="shared" si="16"/>
        <v>53540</v>
      </c>
      <c r="H351" s="83">
        <f t="shared" si="16"/>
        <v>0</v>
      </c>
      <c r="I351" s="259">
        <f t="shared" si="16"/>
        <v>2309</v>
      </c>
      <c r="J351" s="83">
        <f t="shared" si="16"/>
        <v>0</v>
      </c>
      <c r="K351" s="260">
        <f t="shared" si="16"/>
        <v>4.5070367550896918E-2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27967</v>
      </c>
      <c r="D352" s="83">
        <f t="shared" si="16"/>
        <v>0</v>
      </c>
      <c r="E352" s="261">
        <f t="shared" si="16"/>
        <v>27967</v>
      </c>
      <c r="F352" s="83">
        <f t="shared" si="16"/>
        <v>0</v>
      </c>
      <c r="G352" s="87">
        <f t="shared" si="16"/>
        <v>25058</v>
      </c>
      <c r="H352" s="83">
        <f t="shared" si="16"/>
        <v>0</v>
      </c>
      <c r="I352" s="261">
        <f t="shared" si="16"/>
        <v>-2909</v>
      </c>
      <c r="J352" s="83">
        <f t="shared" si="16"/>
        <v>0</v>
      </c>
      <c r="K352" s="262">
        <f t="shared" si="16"/>
        <v>-0.10401544677655809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79198</v>
      </c>
      <c r="D353" s="83">
        <f t="shared" si="16"/>
        <v>0</v>
      </c>
      <c r="E353" s="88">
        <f t="shared" si="16"/>
        <v>79198</v>
      </c>
      <c r="F353" s="83">
        <f t="shared" si="16"/>
        <v>0</v>
      </c>
      <c r="G353" s="88">
        <f t="shared" si="16"/>
        <v>78598</v>
      </c>
      <c r="H353" s="83">
        <f t="shared" si="16"/>
        <v>0</v>
      </c>
      <c r="I353" s="88">
        <f t="shared" si="16"/>
        <v>-600</v>
      </c>
      <c r="J353" s="83">
        <f t="shared" si="16"/>
        <v>0</v>
      </c>
      <c r="K353" s="269">
        <f t="shared" si="16"/>
        <v>-7.5759488875981719E-3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6565</v>
      </c>
      <c r="D354" s="83">
        <f t="shared" si="16"/>
        <v>0</v>
      </c>
      <c r="E354" s="259">
        <f t="shared" si="16"/>
        <v>6565</v>
      </c>
      <c r="F354" s="83">
        <f t="shared" si="16"/>
        <v>0</v>
      </c>
      <c r="G354" s="86">
        <f t="shared" si="16"/>
        <v>6112</v>
      </c>
      <c r="H354" s="83">
        <f t="shared" si="16"/>
        <v>0</v>
      </c>
      <c r="I354" s="259">
        <f t="shared" si="16"/>
        <v>-453</v>
      </c>
      <c r="J354" s="83">
        <f t="shared" si="16"/>
        <v>0</v>
      </c>
      <c r="K354" s="262">
        <f t="shared" si="16"/>
        <v>-6.9002284843869E-2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14268</v>
      </c>
      <c r="D355" s="83">
        <f t="shared" si="16"/>
        <v>0</v>
      </c>
      <c r="E355" s="261">
        <f t="shared" si="16"/>
        <v>14268</v>
      </c>
      <c r="F355" s="83">
        <f t="shared" si="16"/>
        <v>0</v>
      </c>
      <c r="G355" s="87">
        <f t="shared" si="16"/>
        <v>13335</v>
      </c>
      <c r="H355" s="83">
        <f t="shared" si="16"/>
        <v>0</v>
      </c>
      <c r="I355" s="261">
        <f t="shared" si="16"/>
        <v>-933</v>
      </c>
      <c r="J355" s="83">
        <f t="shared" si="16"/>
        <v>0</v>
      </c>
      <c r="K355" s="262">
        <f t="shared" si="16"/>
        <v>-6.5391084945332217E-2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20833</v>
      </c>
      <c r="D356" s="83">
        <f t="shared" si="16"/>
        <v>0</v>
      </c>
      <c r="E356" s="270">
        <f t="shared" si="16"/>
        <v>20833</v>
      </c>
      <c r="F356" s="83">
        <f t="shared" si="16"/>
        <v>0</v>
      </c>
      <c r="G356" s="270">
        <f t="shared" si="16"/>
        <v>19447</v>
      </c>
      <c r="H356" s="83">
        <f t="shared" si="16"/>
        <v>0</v>
      </c>
      <c r="I356" s="270">
        <f t="shared" si="16"/>
        <v>-1386</v>
      </c>
      <c r="J356" s="83">
        <f t="shared" si="16"/>
        <v>0</v>
      </c>
      <c r="K356" s="271">
        <f t="shared" si="16"/>
        <v>-6.6529064465031443E-2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149956</v>
      </c>
      <c r="D358" s="83">
        <f t="shared" si="16"/>
        <v>0</v>
      </c>
      <c r="E358" s="88">
        <f t="shared" si="16"/>
        <v>149956</v>
      </c>
      <c r="F358" s="83">
        <f t="shared" si="16"/>
        <v>0</v>
      </c>
      <c r="G358" s="88">
        <f t="shared" si="16"/>
        <v>145332</v>
      </c>
      <c r="H358" s="83">
        <f t="shared" si="16"/>
        <v>0</v>
      </c>
      <c r="I358" s="88">
        <f t="shared" si="16"/>
        <v>-4624</v>
      </c>
      <c r="J358" s="83">
        <f t="shared" si="16"/>
        <v>0</v>
      </c>
      <c r="K358" s="269">
        <f t="shared" si="16"/>
        <v>-3.0835711808797246E-2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1150</v>
      </c>
      <c r="D359" s="83">
        <f t="shared" si="16"/>
        <v>0</v>
      </c>
      <c r="E359" s="259">
        <f t="shared" si="16"/>
        <v>1150</v>
      </c>
      <c r="F359" s="83">
        <f t="shared" si="16"/>
        <v>0</v>
      </c>
      <c r="G359" s="86">
        <f t="shared" si="16"/>
        <v>1117</v>
      </c>
      <c r="H359" s="83">
        <f t="shared" si="16"/>
        <v>0</v>
      </c>
      <c r="I359" s="259">
        <f t="shared" si="16"/>
        <v>-33</v>
      </c>
      <c r="J359" s="83">
        <f t="shared" si="16"/>
        <v>0</v>
      </c>
      <c r="K359" s="260">
        <f t="shared" si="16"/>
        <v>-2.8695652173913042E-2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1150</v>
      </c>
      <c r="D361" s="83">
        <f t="shared" si="16"/>
        <v>0</v>
      </c>
      <c r="E361" s="88">
        <f t="shared" si="16"/>
        <v>1150</v>
      </c>
      <c r="F361" s="83">
        <f t="shared" si="16"/>
        <v>0</v>
      </c>
      <c r="G361" s="88">
        <f t="shared" si="16"/>
        <v>1117</v>
      </c>
      <c r="H361" s="83">
        <f t="shared" si="16"/>
        <v>0</v>
      </c>
      <c r="I361" s="88">
        <f t="shared" si="16"/>
        <v>-33</v>
      </c>
      <c r="J361" s="83">
        <f t="shared" si="16"/>
        <v>0</v>
      </c>
      <c r="K361" s="269">
        <f t="shared" si="16"/>
        <v>-2.8695652173913042E-2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40</v>
      </c>
      <c r="D363" s="83">
        <f t="shared" si="16"/>
        <v>0</v>
      </c>
      <c r="E363" s="259">
        <f t="shared" si="16"/>
        <v>40</v>
      </c>
      <c r="F363" s="83">
        <f t="shared" si="16"/>
        <v>0</v>
      </c>
      <c r="G363" s="86">
        <f t="shared" si="16"/>
        <v>44</v>
      </c>
      <c r="H363" s="83">
        <f t="shared" si="16"/>
        <v>0</v>
      </c>
      <c r="I363" s="259">
        <f t="shared" si="16"/>
        <v>4</v>
      </c>
      <c r="J363" s="83">
        <f t="shared" si="16"/>
        <v>0</v>
      </c>
      <c r="K363" s="260">
        <f t="shared" si="16"/>
        <v>0.1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709</v>
      </c>
      <c r="D364" s="83">
        <f t="shared" si="16"/>
        <v>0</v>
      </c>
      <c r="E364" s="261">
        <f t="shared" si="16"/>
        <v>709</v>
      </c>
      <c r="F364" s="83">
        <f t="shared" si="16"/>
        <v>0</v>
      </c>
      <c r="G364" s="87">
        <f t="shared" si="16"/>
        <v>690</v>
      </c>
      <c r="H364" s="83">
        <f t="shared" si="16"/>
        <v>0</v>
      </c>
      <c r="I364" s="261">
        <f t="shared" si="16"/>
        <v>-19</v>
      </c>
      <c r="J364" s="83">
        <f t="shared" si="16"/>
        <v>0</v>
      </c>
      <c r="K364" s="262">
        <f t="shared" si="16"/>
        <v>-2.6798307475317348E-2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151855</v>
      </c>
      <c r="D365" s="83">
        <f t="shared" si="16"/>
        <v>0</v>
      </c>
      <c r="E365" s="265">
        <f t="shared" si="16"/>
        <v>151855</v>
      </c>
      <c r="F365" s="83">
        <f t="shared" si="16"/>
        <v>0</v>
      </c>
      <c r="G365" s="264">
        <f t="shared" si="16"/>
        <v>147183</v>
      </c>
      <c r="H365" s="83">
        <f t="shared" si="16"/>
        <v>0</v>
      </c>
      <c r="I365" s="265">
        <f t="shared" si="16"/>
        <v>-4672</v>
      </c>
      <c r="J365" s="83">
        <f t="shared" si="16"/>
        <v>0</v>
      </c>
      <c r="K365" s="266">
        <f t="shared" si="16"/>
        <v>-3.0766191432616642E-2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15000</v>
      </c>
      <c r="D368" s="83">
        <f t="shared" si="17"/>
        <v>0</v>
      </c>
      <c r="E368" s="261">
        <f t="shared" si="17"/>
        <v>15000</v>
      </c>
      <c r="F368" s="83">
        <f t="shared" si="17"/>
        <v>0</v>
      </c>
      <c r="G368" s="87">
        <f t="shared" si="17"/>
        <v>16401</v>
      </c>
      <c r="H368" s="83">
        <f t="shared" si="17"/>
        <v>0</v>
      </c>
      <c r="I368" s="261">
        <f t="shared" si="17"/>
        <v>1401</v>
      </c>
      <c r="J368" s="83">
        <f t="shared" si="17"/>
        <v>0</v>
      </c>
      <c r="K368" s="262">
        <f t="shared" si="17"/>
        <v>9.3399999999999997E-2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166855</v>
      </c>
      <c r="D369" s="83">
        <f t="shared" si="17"/>
        <v>0</v>
      </c>
      <c r="E369" s="88">
        <f t="shared" si="17"/>
        <v>166855</v>
      </c>
      <c r="F369" s="83">
        <f t="shared" si="17"/>
        <v>0</v>
      </c>
      <c r="G369" s="88">
        <f t="shared" si="17"/>
        <v>163584</v>
      </c>
      <c r="H369" s="83">
        <f t="shared" si="17"/>
        <v>0</v>
      </c>
      <c r="I369" s="88">
        <f t="shared" si="17"/>
        <v>-3271</v>
      </c>
      <c r="J369" s="83">
        <f t="shared" si="17"/>
        <v>0</v>
      </c>
      <c r="K369" s="267">
        <f t="shared" si="17"/>
        <v>-1.9603847652153068E-2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85</v>
      </c>
      <c r="H371" s="83">
        <f t="shared" si="17"/>
        <v>0</v>
      </c>
      <c r="I371" s="95">
        <f t="shared" si="17"/>
        <v>85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6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4" t="str">
        <f>GufMevukar</f>
        <v>עיריית באקה אלגרבייה</v>
      </c>
      <c r="D1" s="627"/>
      <c r="E1" s="627"/>
      <c r="F1" s="627"/>
      <c r="G1" s="627"/>
      <c r="H1" s="628"/>
    </row>
    <row r="2" spans="1:8" ht="15.75" customHeight="1" thickTop="1" thickBot="1" x14ac:dyDescent="0.25">
      <c r="A2" s="41"/>
      <c r="B2" s="41"/>
      <c r="C2" s="634" t="s">
        <v>827</v>
      </c>
      <c r="D2" s="627"/>
      <c r="E2" s="627"/>
      <c r="F2" s="627"/>
      <c r="G2" s="627"/>
      <c r="H2" s="628"/>
    </row>
    <row r="3" spans="1:8" ht="19.5" thickTop="1" thickBot="1" x14ac:dyDescent="0.25">
      <c r="A3" s="41"/>
      <c r="B3" s="41"/>
      <c r="C3" s="626" t="str">
        <f>ReportPeriod</f>
        <v>לתקופה: רבעון 4, שנת 2018</v>
      </c>
      <c r="D3" s="627"/>
      <c r="E3" s="627"/>
      <c r="F3" s="627"/>
      <c r="G3" s="627"/>
      <c r="H3" s="628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2637</v>
      </c>
      <c r="E12" s="47"/>
      <c r="F12" s="118">
        <v>1871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6184</v>
      </c>
      <c r="E14" s="47"/>
      <c r="F14" s="118">
        <v>4362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>
        <v>1058</v>
      </c>
      <c r="E18" s="47"/>
      <c r="F18" s="118">
        <v>458</v>
      </c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167</v>
      </c>
      <c r="E21" s="47"/>
      <c r="F21" s="118">
        <v>152</v>
      </c>
      <c r="G21" s="61"/>
      <c r="H21" s="44"/>
    </row>
    <row r="22" spans="1:8" x14ac:dyDescent="0.2">
      <c r="A22" s="43"/>
      <c r="B22" s="46" t="s">
        <v>842</v>
      </c>
      <c r="C22" s="47"/>
      <c r="D22" s="50">
        <v>1508</v>
      </c>
      <c r="E22" s="47"/>
      <c r="F22" s="118">
        <v>2024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11554</v>
      </c>
      <c r="E23" s="47"/>
      <c r="F23" s="51">
        <f>SUM(F12:F22)</f>
        <v>8867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f>323+431+300</f>
        <v>1054</v>
      </c>
      <c r="E25" s="47"/>
      <c r="F25" s="118">
        <f>1764+64</f>
        <v>1828</v>
      </c>
      <c r="G25" s="61"/>
      <c r="H25" s="44"/>
    </row>
    <row r="26" spans="1:8" x14ac:dyDescent="0.2">
      <c r="A26" s="43"/>
      <c r="B26" s="46" t="s">
        <v>862</v>
      </c>
      <c r="C26" s="47"/>
      <c r="D26" s="50">
        <f>644+139</f>
        <v>783</v>
      </c>
      <c r="E26" s="47"/>
      <c r="F26" s="118">
        <v>700</v>
      </c>
      <c r="G26" s="61"/>
      <c r="H26" s="44"/>
    </row>
    <row r="27" spans="1:8" x14ac:dyDescent="0.2">
      <c r="A27" s="43"/>
      <c r="B27" s="65" t="s">
        <v>863</v>
      </c>
      <c r="C27" s="47"/>
      <c r="D27" s="50">
        <v>770</v>
      </c>
      <c r="E27" s="47"/>
      <c r="F27" s="118">
        <v>450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14161</v>
      </c>
      <c r="E30" s="47"/>
      <c r="F30" s="51">
        <f>F9+F10+F23+F24+F25+F26+F27+F28+F29</f>
        <v>11845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f>13055+863+238</f>
        <v>14156</v>
      </c>
      <c r="E33" s="47"/>
      <c r="F33" s="118">
        <f>11987+391+385</f>
        <v>12763</v>
      </c>
      <c r="G33" s="61"/>
      <c r="H33" s="44"/>
    </row>
    <row r="34" spans="1:8" x14ac:dyDescent="0.2">
      <c r="A34" s="43"/>
      <c r="B34" s="46" t="s">
        <v>869</v>
      </c>
      <c r="C34" s="47"/>
      <c r="D34" s="78">
        <f>136+575+333</f>
        <v>1044</v>
      </c>
      <c r="E34" s="47"/>
      <c r="F34" s="177">
        <v>2028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>
        <v>125</v>
      </c>
      <c r="E37" s="47"/>
      <c r="F37" s="118"/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15325</v>
      </c>
      <c r="E39" s="47"/>
      <c r="F39" s="51">
        <f>SUM(F33:F38)</f>
        <v>14791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-1164</v>
      </c>
      <c r="E41" s="47"/>
      <c r="F41" s="72">
        <f>F30-F39</f>
        <v>-2946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f>F49</f>
        <v>62518</v>
      </c>
      <c r="E44" s="47"/>
      <c r="F44" s="118">
        <v>57793</v>
      </c>
      <c r="G44" s="61"/>
      <c r="H44" s="44"/>
    </row>
    <row r="45" spans="1:8" x14ac:dyDescent="0.2">
      <c r="A45" s="43"/>
      <c r="B45" s="46" t="s">
        <v>877</v>
      </c>
      <c r="C45" s="47"/>
      <c r="D45" s="50">
        <f>F50</f>
        <v>68188</v>
      </c>
      <c r="E45" s="47"/>
      <c r="F45" s="118">
        <v>60517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-5670</v>
      </c>
      <c r="E46" s="47"/>
      <c r="F46" s="72">
        <f>F44-F45</f>
        <v>-2724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D30+D44-D57</f>
        <v>64647</v>
      </c>
      <c r="E49" s="47"/>
      <c r="F49" s="118">
        <f>F30+F44-F57</f>
        <v>62518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D39+D45-D58</f>
        <v>71481</v>
      </c>
      <c r="E50" s="47"/>
      <c r="F50" s="118">
        <f>F39+F45-F58</f>
        <v>68188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-6834</v>
      </c>
      <c r="E51" s="47"/>
      <c r="F51" s="72">
        <f>F49-F50</f>
        <v>-5670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3857</v>
      </c>
      <c r="E53" s="47"/>
      <c r="F53" s="118">
        <v>4032</v>
      </c>
      <c r="G53" s="61"/>
      <c r="H53" s="44"/>
    </row>
    <row r="54" spans="1:8" x14ac:dyDescent="0.2">
      <c r="A54" s="43"/>
      <c r="B54" s="46" t="s">
        <v>640</v>
      </c>
      <c r="C54" s="47"/>
      <c r="D54" s="50">
        <v>10691</v>
      </c>
      <c r="E54" s="47"/>
      <c r="F54" s="118">
        <v>9702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-6834</v>
      </c>
      <c r="E55" s="47"/>
      <c r="F55" s="72">
        <f>F53-F54</f>
        <v>-5670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>
        <v>12032</v>
      </c>
      <c r="E57" s="47"/>
      <c r="F57" s="50">
        <v>7120</v>
      </c>
      <c r="G57" s="61"/>
      <c r="H57" s="44"/>
    </row>
    <row r="58" spans="1:8" x14ac:dyDescent="0.2">
      <c r="A58" s="43"/>
      <c r="B58" s="46" t="s">
        <v>883</v>
      </c>
      <c r="C58" s="47"/>
      <c r="D58" s="50">
        <v>12032</v>
      </c>
      <c r="E58" s="47"/>
      <c r="F58" s="50">
        <v>7120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2" t="str">
        <f>C1</f>
        <v>עיריית באקה אלגרבייה</v>
      </c>
      <c r="C303" s="632"/>
      <c r="D303" s="632"/>
      <c r="E303" s="632"/>
      <c r="F303" s="632"/>
    </row>
    <row r="304" spans="2:9" ht="18" x14ac:dyDescent="0.2">
      <c r="B304" s="632" t="str">
        <f>C2</f>
        <v>ריכוז תקבולים ותשלומים של תב"רים באלפי ₪</v>
      </c>
      <c r="C304" s="632"/>
      <c r="D304" s="632"/>
      <c r="E304" s="632"/>
      <c r="F304" s="632"/>
      <c r="G304" s="223"/>
      <c r="H304" s="223"/>
      <c r="I304" s="223"/>
    </row>
    <row r="305" spans="2:7" ht="18" x14ac:dyDescent="0.2">
      <c r="B305" s="632" t="str">
        <f>C3</f>
        <v>לתקופה: רבעון 4, שנת 2018</v>
      </c>
      <c r="C305" s="632"/>
      <c r="D305" s="632"/>
      <c r="E305" s="632"/>
      <c r="F305" s="632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2637</v>
      </c>
      <c r="E314" s="157">
        <f t="shared" si="1"/>
        <v>0</v>
      </c>
      <c r="F314" s="225">
        <f t="shared" si="1"/>
        <v>1871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6184</v>
      </c>
      <c r="E316" s="157">
        <f t="shared" si="1"/>
        <v>0</v>
      </c>
      <c r="F316" s="139">
        <f t="shared" si="1"/>
        <v>4362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1058</v>
      </c>
      <c r="E320" s="157">
        <f t="shared" si="1"/>
        <v>0</v>
      </c>
      <c r="F320" s="139">
        <f t="shared" si="1"/>
        <v>458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167</v>
      </c>
      <c r="E323" s="157">
        <f t="shared" si="1"/>
        <v>0</v>
      </c>
      <c r="F323" s="139">
        <f t="shared" si="1"/>
        <v>152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1508</v>
      </c>
      <c r="E324" s="157">
        <f t="shared" si="2"/>
        <v>0</v>
      </c>
      <c r="F324" s="139">
        <f t="shared" si="2"/>
        <v>2024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11554</v>
      </c>
      <c r="E325" s="157">
        <f t="shared" si="2"/>
        <v>0</v>
      </c>
      <c r="F325" s="143">
        <f t="shared" si="2"/>
        <v>8867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1054</v>
      </c>
      <c r="E328" s="157">
        <f t="shared" si="4"/>
        <v>0</v>
      </c>
      <c r="F328" s="139">
        <f t="shared" si="4"/>
        <v>1828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783</v>
      </c>
      <c r="E329" s="157">
        <f t="shared" si="4"/>
        <v>0</v>
      </c>
      <c r="F329" s="139">
        <f t="shared" si="4"/>
        <v>700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770</v>
      </c>
      <c r="E330" s="157">
        <f t="shared" si="5"/>
        <v>0</v>
      </c>
      <c r="F330" s="139">
        <f t="shared" si="5"/>
        <v>450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14161</v>
      </c>
      <c r="E333" s="157">
        <f t="shared" si="5"/>
        <v>0</v>
      </c>
      <c r="F333" s="143">
        <f t="shared" si="5"/>
        <v>11845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14156</v>
      </c>
      <c r="E336" s="157">
        <f t="shared" si="5"/>
        <v>0</v>
      </c>
      <c r="F336" s="136">
        <f t="shared" si="5"/>
        <v>12763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1044</v>
      </c>
      <c r="E337" s="157">
        <f t="shared" si="5"/>
        <v>0</v>
      </c>
      <c r="F337" s="139">
        <f t="shared" si="5"/>
        <v>2028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125</v>
      </c>
      <c r="E340" s="157">
        <f t="shared" si="5"/>
        <v>0</v>
      </c>
      <c r="F340" s="139">
        <f t="shared" si="5"/>
        <v>0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15325</v>
      </c>
      <c r="E342" s="157">
        <f t="shared" si="7"/>
        <v>0</v>
      </c>
      <c r="F342" s="143">
        <f t="shared" si="7"/>
        <v>14791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-1164</v>
      </c>
      <c r="E344" s="157">
        <f t="shared" si="7"/>
        <v>0</v>
      </c>
      <c r="F344" s="145">
        <f t="shared" si="7"/>
        <v>-2946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62518</v>
      </c>
      <c r="E347" s="133">
        <f t="shared" si="7"/>
        <v>0</v>
      </c>
      <c r="F347" s="136">
        <f t="shared" si="7"/>
        <v>57793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68188</v>
      </c>
      <c r="E348" s="133">
        <f t="shared" si="7"/>
        <v>0</v>
      </c>
      <c r="F348" s="139">
        <f t="shared" si="7"/>
        <v>60517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-5670</v>
      </c>
      <c r="E349" s="133">
        <f t="shared" si="7"/>
        <v>0</v>
      </c>
      <c r="F349" s="145">
        <f t="shared" si="7"/>
        <v>-2724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64647</v>
      </c>
      <c r="E352" s="133">
        <f t="shared" si="7"/>
        <v>0</v>
      </c>
      <c r="F352" s="136">
        <f t="shared" si="7"/>
        <v>62518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71481</v>
      </c>
      <c r="E353" s="133">
        <f t="shared" si="7"/>
        <v>0</v>
      </c>
      <c r="F353" s="139">
        <f t="shared" si="7"/>
        <v>68188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-6834</v>
      </c>
      <c r="E354" s="133">
        <f t="shared" si="7"/>
        <v>0</v>
      </c>
      <c r="F354" s="145">
        <f t="shared" si="7"/>
        <v>-5670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3857</v>
      </c>
      <c r="E356" s="133">
        <f t="shared" si="7"/>
        <v>0</v>
      </c>
      <c r="F356" s="139">
        <f t="shared" si="7"/>
        <v>4032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10691</v>
      </c>
      <c r="E357" s="133">
        <f t="shared" si="8"/>
        <v>0</v>
      </c>
      <c r="F357" s="139">
        <f t="shared" si="8"/>
        <v>9702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-6834</v>
      </c>
      <c r="E358" s="133">
        <f t="shared" si="8"/>
        <v>0</v>
      </c>
      <c r="F358" s="145">
        <f t="shared" si="8"/>
        <v>-5670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12032</v>
      </c>
      <c r="E360" s="133">
        <f t="shared" si="8"/>
        <v>0</v>
      </c>
      <c r="F360" s="136">
        <f t="shared" si="8"/>
        <v>7120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12032</v>
      </c>
      <c r="E361" s="133">
        <f t="shared" si="8"/>
        <v>0</v>
      </c>
      <c r="F361" s="226">
        <f t="shared" si="8"/>
        <v>7120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ColWidth="9.140625"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9" t="str">
        <f>GufMevukar</f>
        <v>עיריית באקה אלגרבייה</v>
      </c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0"/>
      <c r="Y1" s="641"/>
      <c r="Z1" s="105"/>
    </row>
    <row r="2" spans="1:26" ht="19.5" thickTop="1" thickBot="1" x14ac:dyDescent="0.25">
      <c r="A2" s="105"/>
      <c r="B2" s="105"/>
      <c r="C2" s="105"/>
      <c r="D2" s="105"/>
      <c r="E2" s="642" t="s">
        <v>801</v>
      </c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0"/>
      <c r="Q2" s="640"/>
      <c r="R2" s="640"/>
      <c r="S2" s="640"/>
      <c r="T2" s="640"/>
      <c r="U2" s="640"/>
      <c r="V2" s="640"/>
      <c r="W2" s="640"/>
      <c r="X2" s="640"/>
      <c r="Y2" s="641"/>
      <c r="Z2" s="105"/>
    </row>
    <row r="3" spans="1:26" ht="19.5" thickTop="1" thickBot="1" x14ac:dyDescent="0.25">
      <c r="A3" s="105"/>
      <c r="B3" s="105"/>
      <c r="C3" s="105"/>
      <c r="D3" s="105"/>
      <c r="E3" s="639" t="str">
        <f>ReportPeriod</f>
        <v>לתקופה: רבעון 4, שנת 2018</v>
      </c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0"/>
      <c r="Y3" s="641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>
        <v>2</v>
      </c>
      <c r="E8" s="115"/>
      <c r="F8" s="118">
        <v>956</v>
      </c>
      <c r="G8" s="115"/>
      <c r="H8" s="118">
        <v>0</v>
      </c>
      <c r="I8" s="115"/>
      <c r="J8" s="118">
        <v>32</v>
      </c>
      <c r="K8" s="115"/>
      <c r="L8" s="118">
        <v>148</v>
      </c>
      <c r="M8" s="115"/>
      <c r="N8" s="118">
        <v>95</v>
      </c>
      <c r="O8" s="115"/>
      <c r="P8" s="119">
        <f t="shared" ref="P8:P36" si="0">H8+L8</f>
        <v>148</v>
      </c>
      <c r="Q8" s="115"/>
      <c r="R8" s="119">
        <f t="shared" ref="R8:R36" si="1">J8+N8</f>
        <v>127</v>
      </c>
      <c r="S8" s="115"/>
      <c r="T8" s="118">
        <v>78</v>
      </c>
      <c r="U8" s="115"/>
      <c r="V8" s="119">
        <f t="shared" ref="V8:V36" si="2">R8-P8+T8</f>
        <v>57</v>
      </c>
      <c r="W8" s="115"/>
      <c r="X8" s="119">
        <f t="shared" ref="X8:X36" si="3">P8-R8</f>
        <v>21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1</v>
      </c>
      <c r="E12" s="115"/>
      <c r="F12" s="118">
        <v>2075</v>
      </c>
      <c r="G12" s="115"/>
      <c r="H12" s="118">
        <v>1941</v>
      </c>
      <c r="I12" s="115"/>
      <c r="J12" s="118">
        <v>1981</v>
      </c>
      <c r="K12" s="115"/>
      <c r="L12" s="118">
        <v>55</v>
      </c>
      <c r="M12" s="115"/>
      <c r="N12" s="118">
        <v>15</v>
      </c>
      <c r="O12" s="115"/>
      <c r="P12" s="119">
        <f t="shared" si="0"/>
        <v>1996</v>
      </c>
      <c r="Q12" s="115"/>
      <c r="R12" s="119">
        <f t="shared" si="1"/>
        <v>1996</v>
      </c>
      <c r="S12" s="115"/>
      <c r="T12" s="118"/>
      <c r="U12" s="115"/>
      <c r="V12" s="119">
        <f t="shared" si="2"/>
        <v>0</v>
      </c>
      <c r="W12" s="115"/>
      <c r="X12" s="119">
        <f t="shared" si="3"/>
        <v>0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>
        <v>2</v>
      </c>
      <c r="E13" s="115"/>
      <c r="F13" s="118">
        <v>438</v>
      </c>
      <c r="G13" s="115"/>
      <c r="H13" s="118">
        <v>0</v>
      </c>
      <c r="I13" s="115"/>
      <c r="J13" s="118">
        <v>156</v>
      </c>
      <c r="K13" s="115"/>
      <c r="L13" s="118">
        <v>0</v>
      </c>
      <c r="M13" s="115"/>
      <c r="N13" s="118">
        <v>91</v>
      </c>
      <c r="O13" s="115"/>
      <c r="P13" s="119">
        <f t="shared" si="0"/>
        <v>0</v>
      </c>
      <c r="Q13" s="115"/>
      <c r="R13" s="119">
        <f t="shared" si="1"/>
        <v>247</v>
      </c>
      <c r="S13" s="115"/>
      <c r="T13" s="118"/>
      <c r="U13" s="115"/>
      <c r="V13" s="119">
        <f t="shared" si="2"/>
        <v>247</v>
      </c>
      <c r="W13" s="115"/>
      <c r="X13" s="119">
        <f t="shared" si="3"/>
        <v>-247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7</v>
      </c>
      <c r="E14" s="115"/>
      <c r="F14" s="118">
        <v>5896</v>
      </c>
      <c r="G14" s="115"/>
      <c r="H14" s="118">
        <v>1965</v>
      </c>
      <c r="I14" s="115"/>
      <c r="J14" s="118">
        <v>1681</v>
      </c>
      <c r="K14" s="115"/>
      <c r="L14" s="118">
        <v>118</v>
      </c>
      <c r="M14" s="115"/>
      <c r="N14" s="118">
        <v>234</v>
      </c>
      <c r="O14" s="115"/>
      <c r="P14" s="119">
        <f t="shared" si="0"/>
        <v>2083</v>
      </c>
      <c r="Q14" s="115"/>
      <c r="R14" s="119">
        <f t="shared" si="1"/>
        <v>1915</v>
      </c>
      <c r="S14" s="115"/>
      <c r="T14" s="118">
        <v>363</v>
      </c>
      <c r="U14" s="115"/>
      <c r="V14" s="119">
        <f t="shared" si="2"/>
        <v>195</v>
      </c>
      <c r="W14" s="115"/>
      <c r="X14" s="119">
        <f t="shared" si="3"/>
        <v>168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42</v>
      </c>
      <c r="E15" s="115"/>
      <c r="F15" s="118">
        <v>25179</v>
      </c>
      <c r="G15" s="115"/>
      <c r="H15" s="118">
        <v>5576</v>
      </c>
      <c r="I15" s="115"/>
      <c r="J15" s="118">
        <v>4675</v>
      </c>
      <c r="K15" s="115"/>
      <c r="L15" s="118">
        <v>3005</v>
      </c>
      <c r="M15" s="115"/>
      <c r="N15" s="118">
        <v>4870</v>
      </c>
      <c r="O15" s="115"/>
      <c r="P15" s="119">
        <f t="shared" si="0"/>
        <v>8581</v>
      </c>
      <c r="Q15" s="115"/>
      <c r="R15" s="119">
        <f t="shared" si="1"/>
        <v>9545</v>
      </c>
      <c r="S15" s="115"/>
      <c r="T15" s="586">
        <v>1107</v>
      </c>
      <c r="U15" s="115"/>
      <c r="V15" s="119">
        <f t="shared" si="2"/>
        <v>2071</v>
      </c>
      <c r="W15" s="115"/>
      <c r="X15" s="119">
        <f t="shared" si="3"/>
        <v>-964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>
        <v>5</v>
      </c>
      <c r="E18" s="115"/>
      <c r="F18" s="118">
        <v>12225</v>
      </c>
      <c r="G18" s="115"/>
      <c r="H18" s="118">
        <v>374</v>
      </c>
      <c r="I18" s="115"/>
      <c r="J18" s="118">
        <v>533</v>
      </c>
      <c r="K18" s="115"/>
      <c r="L18" s="118">
        <v>138</v>
      </c>
      <c r="M18" s="115"/>
      <c r="N18" s="118">
        <v>145</v>
      </c>
      <c r="O18" s="115"/>
      <c r="P18" s="119">
        <f t="shared" si="0"/>
        <v>512</v>
      </c>
      <c r="Q18" s="115"/>
      <c r="R18" s="119">
        <f t="shared" si="1"/>
        <v>678</v>
      </c>
      <c r="S18" s="115"/>
      <c r="T18" s="118"/>
      <c r="U18" s="115"/>
      <c r="V18" s="119">
        <f t="shared" si="2"/>
        <v>166</v>
      </c>
      <c r="W18" s="115"/>
      <c r="X18" s="119">
        <f t="shared" si="3"/>
        <v>-166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>
        <v>1</v>
      </c>
      <c r="E20" s="115"/>
      <c r="F20" s="118">
        <v>248</v>
      </c>
      <c r="G20" s="115"/>
      <c r="H20" s="118">
        <v>50</v>
      </c>
      <c r="I20" s="115"/>
      <c r="J20" s="118">
        <v>64</v>
      </c>
      <c r="K20" s="115"/>
      <c r="L20" s="118"/>
      <c r="M20" s="115"/>
      <c r="N20" s="118">
        <v>51</v>
      </c>
      <c r="O20" s="115"/>
      <c r="P20" s="119">
        <f t="shared" si="0"/>
        <v>50</v>
      </c>
      <c r="Q20" s="115"/>
      <c r="R20" s="119">
        <f t="shared" si="1"/>
        <v>115</v>
      </c>
      <c r="S20" s="115"/>
      <c r="T20" s="118"/>
      <c r="U20" s="115"/>
      <c r="V20" s="119">
        <f t="shared" si="2"/>
        <v>65</v>
      </c>
      <c r="W20" s="115"/>
      <c r="X20" s="119">
        <f t="shared" si="3"/>
        <v>-65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42</v>
      </c>
      <c r="E21" s="115"/>
      <c r="F21" s="118">
        <v>89517</v>
      </c>
      <c r="G21" s="115"/>
      <c r="H21" s="118">
        <v>43985</v>
      </c>
      <c r="I21" s="115"/>
      <c r="J21" s="118">
        <v>46558</v>
      </c>
      <c r="K21" s="115"/>
      <c r="L21" s="118">
        <v>6915</v>
      </c>
      <c r="M21" s="115"/>
      <c r="N21" s="118">
        <v>6450</v>
      </c>
      <c r="O21" s="115"/>
      <c r="P21" s="119">
        <f t="shared" si="0"/>
        <v>50900</v>
      </c>
      <c r="Q21" s="115"/>
      <c r="R21" s="119">
        <f t="shared" si="1"/>
        <v>53008</v>
      </c>
      <c r="S21" s="115"/>
      <c r="T21" s="118">
        <v>1452</v>
      </c>
      <c r="U21" s="115"/>
      <c r="V21" s="119">
        <f t="shared" si="2"/>
        <v>3560</v>
      </c>
      <c r="W21" s="115"/>
      <c r="X21" s="119">
        <f t="shared" si="3"/>
        <v>-2108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20</v>
      </c>
      <c r="E22" s="115"/>
      <c r="F22" s="118">
        <v>38900</v>
      </c>
      <c r="G22" s="115"/>
      <c r="H22" s="118">
        <v>7287</v>
      </c>
      <c r="I22" s="115"/>
      <c r="J22" s="118">
        <v>10854</v>
      </c>
      <c r="K22" s="115"/>
      <c r="L22" s="118">
        <v>2292</v>
      </c>
      <c r="M22" s="115"/>
      <c r="N22" s="118">
        <v>1888</v>
      </c>
      <c r="O22" s="115"/>
      <c r="P22" s="119">
        <f t="shared" si="0"/>
        <v>9579</v>
      </c>
      <c r="Q22" s="115"/>
      <c r="R22" s="119">
        <f t="shared" si="1"/>
        <v>12742</v>
      </c>
      <c r="S22" s="115"/>
      <c r="T22" s="118">
        <v>814</v>
      </c>
      <c r="U22" s="115"/>
      <c r="V22" s="119">
        <f t="shared" si="2"/>
        <v>3977</v>
      </c>
      <c r="W22" s="115"/>
      <c r="X22" s="119">
        <f t="shared" si="3"/>
        <v>-3163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2</v>
      </c>
      <c r="E23" s="115"/>
      <c r="F23" s="118">
        <v>1065</v>
      </c>
      <c r="G23" s="115"/>
      <c r="H23" s="118">
        <v>369</v>
      </c>
      <c r="I23" s="115"/>
      <c r="J23" s="118">
        <v>305</v>
      </c>
      <c r="K23" s="115"/>
      <c r="L23" s="118">
        <v>287</v>
      </c>
      <c r="M23" s="115"/>
      <c r="N23" s="118">
        <v>308</v>
      </c>
      <c r="O23" s="115"/>
      <c r="P23" s="119">
        <f t="shared" si="0"/>
        <v>656</v>
      </c>
      <c r="Q23" s="115"/>
      <c r="R23" s="119">
        <f t="shared" si="1"/>
        <v>613</v>
      </c>
      <c r="S23" s="115"/>
      <c r="T23" s="118"/>
      <c r="U23" s="115"/>
      <c r="V23" s="119">
        <f t="shared" si="2"/>
        <v>-43</v>
      </c>
      <c r="W23" s="115"/>
      <c r="X23" s="119">
        <f t="shared" si="3"/>
        <v>43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2</v>
      </c>
      <c r="E24" s="115"/>
      <c r="F24" s="118">
        <v>1326</v>
      </c>
      <c r="G24" s="115"/>
      <c r="H24" s="118">
        <v>971</v>
      </c>
      <c r="I24" s="115"/>
      <c r="J24" s="118">
        <v>1149</v>
      </c>
      <c r="K24" s="115"/>
      <c r="L24" s="118">
        <v>203</v>
      </c>
      <c r="M24" s="115"/>
      <c r="N24" s="118">
        <v>139</v>
      </c>
      <c r="O24" s="115"/>
      <c r="P24" s="119">
        <f t="shared" si="0"/>
        <v>1174</v>
      </c>
      <c r="Q24" s="115"/>
      <c r="R24" s="119">
        <f t="shared" si="1"/>
        <v>1288</v>
      </c>
      <c r="S24" s="115"/>
      <c r="T24" s="118">
        <v>43</v>
      </c>
      <c r="U24" s="115"/>
      <c r="V24" s="119">
        <f t="shared" si="2"/>
        <v>157</v>
      </c>
      <c r="W24" s="115"/>
      <c r="X24" s="119">
        <f t="shared" si="3"/>
        <v>-114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1</v>
      </c>
      <c r="E27" s="115"/>
      <c r="F27" s="118">
        <v>1900</v>
      </c>
      <c r="G27" s="115"/>
      <c r="H27" s="118"/>
      <c r="I27" s="115"/>
      <c r="J27" s="118"/>
      <c r="K27" s="115"/>
      <c r="L27" s="118">
        <v>1000</v>
      </c>
      <c r="M27" s="115"/>
      <c r="N27" s="118">
        <v>1039</v>
      </c>
      <c r="O27" s="115"/>
      <c r="P27" s="119">
        <f t="shared" si="0"/>
        <v>1000</v>
      </c>
      <c r="Q27" s="115"/>
      <c r="R27" s="119">
        <f t="shared" si="1"/>
        <v>1039</v>
      </c>
      <c r="S27" s="115"/>
      <c r="T27" s="118">
        <v>0</v>
      </c>
      <c r="U27" s="115"/>
      <c r="V27" s="119">
        <f t="shared" si="2"/>
        <v>39</v>
      </c>
      <c r="W27" s="115"/>
      <c r="X27" s="119">
        <f t="shared" si="3"/>
        <v>-39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/>
      <c r="O30" s="115"/>
      <c r="P30" s="119">
        <f t="shared" si="0"/>
        <v>0</v>
      </c>
      <c r="Q30" s="115"/>
      <c r="R30" s="119">
        <f t="shared" si="1"/>
        <v>200</v>
      </c>
      <c r="S30" s="115"/>
      <c r="T30" s="118">
        <v>0</v>
      </c>
      <c r="U30" s="115"/>
      <c r="V30" s="119">
        <f t="shared" si="2"/>
        <v>200</v>
      </c>
      <c r="W30" s="115"/>
      <c r="X30" s="119">
        <f t="shared" si="3"/>
        <v>-200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128</v>
      </c>
      <c r="E37" s="115"/>
      <c r="F37" s="218">
        <f>SUM(F8:F36)</f>
        <v>180133</v>
      </c>
      <c r="G37" s="115"/>
      <c r="H37" s="218">
        <f>SUM(H8:H36)</f>
        <v>62518</v>
      </c>
      <c r="I37" s="115"/>
      <c r="J37" s="218">
        <f>SUM(J8:J36)</f>
        <v>68188</v>
      </c>
      <c r="K37" s="115"/>
      <c r="L37" s="218">
        <f>SUM(L8:L36)</f>
        <v>14161</v>
      </c>
      <c r="M37" s="115"/>
      <c r="N37" s="218">
        <f>SUM(N8:N36)</f>
        <v>15325</v>
      </c>
      <c r="O37" s="115"/>
      <c r="P37" s="218">
        <f>SUM(P8:P36)</f>
        <v>76679</v>
      </c>
      <c r="Q37" s="115"/>
      <c r="R37" s="218">
        <f>SUM(R8:R36)</f>
        <v>83513</v>
      </c>
      <c r="S37" s="115"/>
      <c r="T37" s="218">
        <f>SUM(T8:T36)</f>
        <v>3857</v>
      </c>
      <c r="U37" s="115"/>
      <c r="V37" s="218">
        <f>SUM(V8:V36)</f>
        <v>10691</v>
      </c>
      <c r="W37" s="115"/>
      <c r="X37" s="218">
        <f>SUM(X8:X36)</f>
        <v>-6834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7" t="str">
        <f t="shared" si="4"/>
        <v>עיריית באקה אלגרבייה</v>
      </c>
      <c r="F305" s="638"/>
      <c r="G305" s="638"/>
      <c r="H305" s="638"/>
      <c r="I305" s="638"/>
      <c r="J305" s="638"/>
      <c r="K305" s="638"/>
      <c r="L305" s="638"/>
      <c r="M305" s="638"/>
      <c r="N305" s="638"/>
      <c r="O305" s="638"/>
      <c r="P305" s="638"/>
      <c r="Q305" s="638"/>
      <c r="R305" s="638"/>
      <c r="S305" s="638"/>
      <c r="T305" s="638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7" t="str">
        <f t="shared" si="4"/>
        <v>ריכוז תב"רים לפי פרקי תקציב באלפי ₪</v>
      </c>
      <c r="F306" s="638"/>
      <c r="G306" s="638"/>
      <c r="H306" s="638"/>
      <c r="I306" s="638"/>
      <c r="J306" s="638"/>
      <c r="K306" s="638"/>
      <c r="L306" s="638"/>
      <c r="M306" s="638"/>
      <c r="N306" s="638"/>
      <c r="O306" s="638"/>
      <c r="P306" s="638"/>
      <c r="Q306" s="638"/>
      <c r="R306" s="638"/>
      <c r="S306" s="638"/>
      <c r="T306" s="638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7" t="str">
        <f t="shared" si="4"/>
        <v>לתקופה: רבעון 4, שנת 2018</v>
      </c>
      <c r="F307" s="638"/>
      <c r="G307" s="638"/>
      <c r="H307" s="638"/>
      <c r="I307" s="638"/>
      <c r="J307" s="638"/>
      <c r="K307" s="638"/>
      <c r="L307" s="638"/>
      <c r="M307" s="638"/>
      <c r="N307" s="638"/>
      <c r="O307" s="638"/>
      <c r="P307" s="638"/>
      <c r="Q307" s="638"/>
      <c r="R307" s="638"/>
      <c r="S307" s="638"/>
      <c r="T307" s="638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2</v>
      </c>
      <c r="E312" s="133">
        <f t="shared" si="4"/>
        <v>0</v>
      </c>
      <c r="F312" s="183">
        <f t="shared" si="4"/>
        <v>956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32</v>
      </c>
      <c r="K312" s="133">
        <f t="shared" si="4"/>
        <v>0</v>
      </c>
      <c r="L312" s="183">
        <f t="shared" si="4"/>
        <v>148</v>
      </c>
      <c r="M312" s="133">
        <f t="shared" si="4"/>
        <v>0</v>
      </c>
      <c r="N312" s="183">
        <f t="shared" si="4"/>
        <v>95</v>
      </c>
      <c r="O312" s="133">
        <f t="shared" si="4"/>
        <v>0</v>
      </c>
      <c r="P312" s="137">
        <f t="shared" si="4"/>
        <v>148</v>
      </c>
      <c r="Q312" s="133">
        <f t="shared" si="4"/>
        <v>0</v>
      </c>
      <c r="R312" s="137">
        <f t="shared" si="6"/>
        <v>127</v>
      </c>
      <c r="S312" s="133">
        <f t="shared" si="6"/>
        <v>0</v>
      </c>
      <c r="T312" s="183">
        <f t="shared" si="6"/>
        <v>78</v>
      </c>
      <c r="U312" s="133">
        <f t="shared" si="5"/>
        <v>0</v>
      </c>
      <c r="V312" s="137">
        <f t="shared" si="5"/>
        <v>57</v>
      </c>
      <c r="W312" s="133">
        <f t="shared" si="5"/>
        <v>0</v>
      </c>
      <c r="X312" s="137">
        <f t="shared" si="5"/>
        <v>21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1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1941</v>
      </c>
      <c r="I316" s="133">
        <f t="shared" si="4"/>
        <v>0</v>
      </c>
      <c r="J316" s="184">
        <f t="shared" si="4"/>
        <v>1981</v>
      </c>
      <c r="K316" s="133">
        <f t="shared" si="4"/>
        <v>0</v>
      </c>
      <c r="L316" s="184">
        <f t="shared" si="4"/>
        <v>55</v>
      </c>
      <c r="M316" s="133">
        <f t="shared" si="4"/>
        <v>0</v>
      </c>
      <c r="N316" s="184">
        <f t="shared" si="4"/>
        <v>15</v>
      </c>
      <c r="O316" s="133">
        <f t="shared" si="4"/>
        <v>0</v>
      </c>
      <c r="P316" s="140">
        <f t="shared" si="4"/>
        <v>1996</v>
      </c>
      <c r="Q316" s="133">
        <f t="shared" si="4"/>
        <v>0</v>
      </c>
      <c r="R316" s="140">
        <f t="shared" si="6"/>
        <v>1996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0</v>
      </c>
      <c r="W316" s="133">
        <f t="shared" si="5"/>
        <v>0</v>
      </c>
      <c r="X316" s="140">
        <f t="shared" si="5"/>
        <v>0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2</v>
      </c>
      <c r="E317" s="133">
        <f t="shared" si="4"/>
        <v>0</v>
      </c>
      <c r="F317" s="184">
        <f t="shared" si="4"/>
        <v>438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156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91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247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247</v>
      </c>
      <c r="W317" s="133">
        <f t="shared" si="5"/>
        <v>0</v>
      </c>
      <c r="X317" s="140">
        <f t="shared" si="5"/>
        <v>-247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7</v>
      </c>
      <c r="E318" s="133">
        <f t="shared" si="4"/>
        <v>0</v>
      </c>
      <c r="F318" s="184">
        <f t="shared" si="4"/>
        <v>5896</v>
      </c>
      <c r="G318" s="133">
        <f t="shared" si="4"/>
        <v>0</v>
      </c>
      <c r="H318" s="184">
        <f t="shared" si="4"/>
        <v>1965</v>
      </c>
      <c r="I318" s="133">
        <f t="shared" si="4"/>
        <v>0</v>
      </c>
      <c r="J318" s="184">
        <f t="shared" si="4"/>
        <v>1681</v>
      </c>
      <c r="K318" s="133">
        <f t="shared" si="4"/>
        <v>0</v>
      </c>
      <c r="L318" s="184">
        <f t="shared" si="4"/>
        <v>118</v>
      </c>
      <c r="M318" s="133">
        <f t="shared" si="4"/>
        <v>0</v>
      </c>
      <c r="N318" s="184">
        <f t="shared" si="4"/>
        <v>234</v>
      </c>
      <c r="O318" s="133">
        <f t="shared" si="4"/>
        <v>0</v>
      </c>
      <c r="P318" s="140">
        <f t="shared" si="4"/>
        <v>2083</v>
      </c>
      <c r="Q318" s="133">
        <f t="shared" si="4"/>
        <v>0</v>
      </c>
      <c r="R318" s="140">
        <f t="shared" si="6"/>
        <v>1915</v>
      </c>
      <c r="S318" s="133">
        <f t="shared" si="6"/>
        <v>0</v>
      </c>
      <c r="T318" s="184">
        <f t="shared" si="6"/>
        <v>363</v>
      </c>
      <c r="U318" s="133">
        <f t="shared" si="5"/>
        <v>0</v>
      </c>
      <c r="V318" s="140">
        <f t="shared" si="5"/>
        <v>195</v>
      </c>
      <c r="W318" s="133">
        <f t="shared" si="5"/>
        <v>0</v>
      </c>
      <c r="X318" s="140">
        <f t="shared" si="5"/>
        <v>168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42</v>
      </c>
      <c r="E319" s="133">
        <f t="shared" si="4"/>
        <v>0</v>
      </c>
      <c r="F319" s="184">
        <f t="shared" si="4"/>
        <v>25179</v>
      </c>
      <c r="G319" s="133">
        <f t="shared" si="4"/>
        <v>0</v>
      </c>
      <c r="H319" s="184">
        <f t="shared" si="4"/>
        <v>5576</v>
      </c>
      <c r="I319" s="133">
        <f t="shared" si="4"/>
        <v>0</v>
      </c>
      <c r="J319" s="184">
        <f t="shared" si="4"/>
        <v>4675</v>
      </c>
      <c r="K319" s="133">
        <f t="shared" si="4"/>
        <v>0</v>
      </c>
      <c r="L319" s="184">
        <f t="shared" si="4"/>
        <v>3005</v>
      </c>
      <c r="M319" s="133">
        <f t="shared" si="4"/>
        <v>0</v>
      </c>
      <c r="N319" s="184">
        <f t="shared" si="4"/>
        <v>4870</v>
      </c>
      <c r="O319" s="133">
        <f t="shared" si="4"/>
        <v>0</v>
      </c>
      <c r="P319" s="140">
        <f t="shared" si="4"/>
        <v>8581</v>
      </c>
      <c r="Q319" s="133">
        <f t="shared" si="4"/>
        <v>0</v>
      </c>
      <c r="R319" s="140">
        <f t="shared" si="6"/>
        <v>9545</v>
      </c>
      <c r="S319" s="133">
        <f t="shared" si="6"/>
        <v>0</v>
      </c>
      <c r="T319" s="184">
        <f t="shared" si="6"/>
        <v>1107</v>
      </c>
      <c r="U319" s="133">
        <f t="shared" si="5"/>
        <v>0</v>
      </c>
      <c r="V319" s="140">
        <f t="shared" si="5"/>
        <v>2071</v>
      </c>
      <c r="W319" s="133">
        <f t="shared" si="5"/>
        <v>0</v>
      </c>
      <c r="X319" s="140">
        <f t="shared" si="5"/>
        <v>-964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5</v>
      </c>
      <c r="E322" s="133">
        <f t="shared" si="7"/>
        <v>0</v>
      </c>
      <c r="F322" s="184">
        <f t="shared" si="7"/>
        <v>12225</v>
      </c>
      <c r="G322" s="133">
        <f t="shared" si="7"/>
        <v>0</v>
      </c>
      <c r="H322" s="184">
        <f t="shared" si="7"/>
        <v>374</v>
      </c>
      <c r="I322" s="133">
        <f t="shared" si="7"/>
        <v>0</v>
      </c>
      <c r="J322" s="184">
        <f t="shared" si="7"/>
        <v>533</v>
      </c>
      <c r="K322" s="133">
        <f t="shared" si="7"/>
        <v>0</v>
      </c>
      <c r="L322" s="184">
        <f t="shared" si="7"/>
        <v>138</v>
      </c>
      <c r="M322" s="133">
        <f t="shared" si="7"/>
        <v>0</v>
      </c>
      <c r="N322" s="184">
        <f t="shared" si="7"/>
        <v>145</v>
      </c>
      <c r="O322" s="133">
        <f t="shared" si="7"/>
        <v>0</v>
      </c>
      <c r="P322" s="140">
        <f t="shared" si="7"/>
        <v>512</v>
      </c>
      <c r="Q322" s="133">
        <f t="shared" si="7"/>
        <v>0</v>
      </c>
      <c r="R322" s="140">
        <f t="shared" si="7"/>
        <v>678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166</v>
      </c>
      <c r="W322" s="133">
        <f t="shared" si="7"/>
        <v>0</v>
      </c>
      <c r="X322" s="140">
        <f t="shared" si="7"/>
        <v>-166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1</v>
      </c>
      <c r="E324" s="133">
        <f t="shared" si="7"/>
        <v>0</v>
      </c>
      <c r="F324" s="184">
        <f t="shared" si="7"/>
        <v>248</v>
      </c>
      <c r="G324" s="133">
        <f t="shared" si="7"/>
        <v>0</v>
      </c>
      <c r="H324" s="184">
        <f t="shared" si="7"/>
        <v>50</v>
      </c>
      <c r="I324" s="133">
        <f t="shared" si="7"/>
        <v>0</v>
      </c>
      <c r="J324" s="184">
        <f t="shared" si="7"/>
        <v>64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51</v>
      </c>
      <c r="O324" s="133">
        <f t="shared" si="7"/>
        <v>0</v>
      </c>
      <c r="P324" s="140">
        <f t="shared" si="7"/>
        <v>50</v>
      </c>
      <c r="Q324" s="133">
        <f t="shared" si="7"/>
        <v>0</v>
      </c>
      <c r="R324" s="140">
        <f t="shared" si="7"/>
        <v>115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65</v>
      </c>
      <c r="W324" s="133">
        <f t="shared" si="7"/>
        <v>0</v>
      </c>
      <c r="X324" s="140">
        <f t="shared" si="7"/>
        <v>-65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42</v>
      </c>
      <c r="E325" s="133">
        <f t="shared" si="7"/>
        <v>0</v>
      </c>
      <c r="F325" s="184">
        <f t="shared" si="7"/>
        <v>89517</v>
      </c>
      <c r="G325" s="133">
        <f t="shared" si="7"/>
        <v>0</v>
      </c>
      <c r="H325" s="184">
        <f t="shared" si="7"/>
        <v>43985</v>
      </c>
      <c r="I325" s="133">
        <f t="shared" si="7"/>
        <v>0</v>
      </c>
      <c r="J325" s="184">
        <f t="shared" si="7"/>
        <v>46558</v>
      </c>
      <c r="K325" s="133">
        <f t="shared" si="7"/>
        <v>0</v>
      </c>
      <c r="L325" s="184">
        <f t="shared" si="7"/>
        <v>6915</v>
      </c>
      <c r="M325" s="133">
        <f t="shared" si="7"/>
        <v>0</v>
      </c>
      <c r="N325" s="184">
        <f t="shared" si="7"/>
        <v>6450</v>
      </c>
      <c r="O325" s="133">
        <f t="shared" si="7"/>
        <v>0</v>
      </c>
      <c r="P325" s="140">
        <f t="shared" si="7"/>
        <v>50900</v>
      </c>
      <c r="Q325" s="133">
        <f t="shared" si="7"/>
        <v>0</v>
      </c>
      <c r="R325" s="140">
        <f t="shared" si="7"/>
        <v>53008</v>
      </c>
      <c r="S325" s="133">
        <f t="shared" si="7"/>
        <v>0</v>
      </c>
      <c r="T325" s="184">
        <f t="shared" si="7"/>
        <v>1452</v>
      </c>
      <c r="U325" s="133">
        <f t="shared" si="7"/>
        <v>0</v>
      </c>
      <c r="V325" s="140">
        <f t="shared" si="7"/>
        <v>3560</v>
      </c>
      <c r="W325" s="133">
        <f t="shared" si="7"/>
        <v>0</v>
      </c>
      <c r="X325" s="140">
        <f t="shared" si="7"/>
        <v>-2108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20</v>
      </c>
      <c r="E326" s="133">
        <f t="shared" si="7"/>
        <v>0</v>
      </c>
      <c r="F326" s="184">
        <f t="shared" si="7"/>
        <v>38900</v>
      </c>
      <c r="G326" s="133">
        <f t="shared" si="7"/>
        <v>0</v>
      </c>
      <c r="H326" s="184">
        <f t="shared" si="7"/>
        <v>7287</v>
      </c>
      <c r="I326" s="133">
        <f t="shared" si="7"/>
        <v>0</v>
      </c>
      <c r="J326" s="184">
        <f t="shared" si="7"/>
        <v>10854</v>
      </c>
      <c r="K326" s="133">
        <f t="shared" si="7"/>
        <v>0</v>
      </c>
      <c r="L326" s="184">
        <f t="shared" si="7"/>
        <v>2292</v>
      </c>
      <c r="M326" s="133">
        <f t="shared" si="7"/>
        <v>0</v>
      </c>
      <c r="N326" s="184">
        <f t="shared" si="7"/>
        <v>1888</v>
      </c>
      <c r="O326" s="133">
        <f t="shared" si="7"/>
        <v>0</v>
      </c>
      <c r="P326" s="140">
        <f t="shared" si="7"/>
        <v>9579</v>
      </c>
      <c r="Q326" s="133">
        <f t="shared" si="7"/>
        <v>0</v>
      </c>
      <c r="R326" s="140">
        <f t="shared" si="7"/>
        <v>12742</v>
      </c>
      <c r="S326" s="133">
        <f t="shared" si="7"/>
        <v>0</v>
      </c>
      <c r="T326" s="184">
        <f t="shared" si="7"/>
        <v>814</v>
      </c>
      <c r="U326" s="133">
        <f t="shared" si="7"/>
        <v>0</v>
      </c>
      <c r="V326" s="140">
        <f t="shared" si="7"/>
        <v>3977</v>
      </c>
      <c r="W326" s="133">
        <f t="shared" si="7"/>
        <v>0</v>
      </c>
      <c r="X326" s="140">
        <f t="shared" si="7"/>
        <v>-3163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2</v>
      </c>
      <c r="E327" s="133">
        <f t="shared" si="7"/>
        <v>0</v>
      </c>
      <c r="F327" s="184">
        <f t="shared" si="7"/>
        <v>1065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287</v>
      </c>
      <c r="M327" s="133">
        <f t="shared" si="7"/>
        <v>0</v>
      </c>
      <c r="N327" s="184">
        <f t="shared" si="7"/>
        <v>308</v>
      </c>
      <c r="O327" s="133">
        <f t="shared" si="7"/>
        <v>0</v>
      </c>
      <c r="P327" s="140">
        <f t="shared" si="7"/>
        <v>656</v>
      </c>
      <c r="Q327" s="133">
        <f t="shared" si="7"/>
        <v>0</v>
      </c>
      <c r="R327" s="140">
        <f t="shared" si="7"/>
        <v>613</v>
      </c>
      <c r="S327" s="133">
        <f t="shared" si="7"/>
        <v>0</v>
      </c>
      <c r="T327" s="184">
        <f t="shared" si="7"/>
        <v>0</v>
      </c>
      <c r="U327" s="133">
        <f t="shared" si="7"/>
        <v>0</v>
      </c>
      <c r="V327" s="140">
        <f t="shared" si="7"/>
        <v>-43</v>
      </c>
      <c r="W327" s="133">
        <f t="shared" si="7"/>
        <v>0</v>
      </c>
      <c r="X327" s="140">
        <f t="shared" si="7"/>
        <v>43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2</v>
      </c>
      <c r="E328" s="133">
        <f t="shared" si="7"/>
        <v>0</v>
      </c>
      <c r="F328" s="184">
        <f t="shared" si="7"/>
        <v>1326</v>
      </c>
      <c r="G328" s="133">
        <f t="shared" si="7"/>
        <v>0</v>
      </c>
      <c r="H328" s="184">
        <f t="shared" si="7"/>
        <v>971</v>
      </c>
      <c r="I328" s="133">
        <f t="shared" si="7"/>
        <v>0</v>
      </c>
      <c r="J328" s="184">
        <f t="shared" si="7"/>
        <v>1149</v>
      </c>
      <c r="K328" s="133">
        <f t="shared" si="7"/>
        <v>0</v>
      </c>
      <c r="L328" s="184">
        <f t="shared" si="7"/>
        <v>203</v>
      </c>
      <c r="M328" s="133">
        <f t="shared" si="7"/>
        <v>0</v>
      </c>
      <c r="N328" s="184">
        <f t="shared" si="7"/>
        <v>139</v>
      </c>
      <c r="O328" s="133">
        <f t="shared" si="7"/>
        <v>0</v>
      </c>
      <c r="P328" s="140">
        <f t="shared" si="7"/>
        <v>1174</v>
      </c>
      <c r="Q328" s="133">
        <f t="shared" si="7"/>
        <v>0</v>
      </c>
      <c r="R328" s="140">
        <f t="shared" si="7"/>
        <v>1288</v>
      </c>
      <c r="S328" s="133">
        <f t="shared" si="7"/>
        <v>0</v>
      </c>
      <c r="T328" s="184">
        <f t="shared" si="7"/>
        <v>43</v>
      </c>
      <c r="U328" s="133">
        <f t="shared" si="7"/>
        <v>0</v>
      </c>
      <c r="V328" s="140">
        <f t="shared" si="7"/>
        <v>157</v>
      </c>
      <c r="W328" s="133">
        <f t="shared" si="7"/>
        <v>0</v>
      </c>
      <c r="X328" s="140">
        <f t="shared" si="7"/>
        <v>-114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1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0</v>
      </c>
      <c r="I331" s="133">
        <f t="shared" si="7"/>
        <v>0</v>
      </c>
      <c r="J331" s="184">
        <f t="shared" si="7"/>
        <v>0</v>
      </c>
      <c r="K331" s="133">
        <f t="shared" si="7"/>
        <v>0</v>
      </c>
      <c r="L331" s="184">
        <f t="shared" si="7"/>
        <v>1000</v>
      </c>
      <c r="M331" s="133">
        <f t="shared" si="7"/>
        <v>0</v>
      </c>
      <c r="N331" s="184">
        <f t="shared" si="7"/>
        <v>1039</v>
      </c>
      <c r="O331" s="133">
        <f t="shared" si="7"/>
        <v>0</v>
      </c>
      <c r="P331" s="140">
        <f t="shared" si="7"/>
        <v>1000</v>
      </c>
      <c r="Q331" s="133">
        <f t="shared" ref="Q331:Y331" si="8">Q27</f>
        <v>0</v>
      </c>
      <c r="R331" s="140">
        <f t="shared" si="8"/>
        <v>1039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39</v>
      </c>
      <c r="W331" s="133">
        <f t="shared" si="8"/>
        <v>0</v>
      </c>
      <c r="X331" s="140">
        <f t="shared" si="8"/>
        <v>-39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200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200</v>
      </c>
      <c r="W334" s="133">
        <f t="shared" si="10"/>
        <v>0</v>
      </c>
      <c r="X334" s="140">
        <f t="shared" si="10"/>
        <v>-200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128</v>
      </c>
      <c r="E341" s="133">
        <f t="shared" si="9"/>
        <v>0</v>
      </c>
      <c r="F341" s="145">
        <f t="shared" si="9"/>
        <v>180133</v>
      </c>
      <c r="G341" s="133">
        <f t="shared" si="9"/>
        <v>0</v>
      </c>
      <c r="H341" s="145">
        <f t="shared" si="9"/>
        <v>62518</v>
      </c>
      <c r="I341" s="133">
        <f t="shared" si="9"/>
        <v>0</v>
      </c>
      <c r="J341" s="145">
        <f t="shared" si="9"/>
        <v>68188</v>
      </c>
      <c r="K341" s="133">
        <f t="shared" si="9"/>
        <v>0</v>
      </c>
      <c r="L341" s="145">
        <f t="shared" si="9"/>
        <v>14161</v>
      </c>
      <c r="M341" s="133">
        <f t="shared" si="9"/>
        <v>0</v>
      </c>
      <c r="N341" s="145">
        <f t="shared" si="9"/>
        <v>15325</v>
      </c>
      <c r="O341" s="133">
        <f t="shared" si="9"/>
        <v>0</v>
      </c>
      <c r="P341" s="145">
        <f t="shared" si="9"/>
        <v>76679</v>
      </c>
      <c r="Q341" s="133">
        <f t="shared" si="9"/>
        <v>0</v>
      </c>
      <c r="R341" s="145">
        <f t="shared" si="9"/>
        <v>83513</v>
      </c>
      <c r="S341" s="133">
        <f t="shared" si="9"/>
        <v>0</v>
      </c>
      <c r="T341" s="145">
        <f t="shared" si="9"/>
        <v>3857</v>
      </c>
      <c r="U341" s="133">
        <f t="shared" si="10"/>
        <v>0</v>
      </c>
      <c r="V341" s="145">
        <f t="shared" si="10"/>
        <v>10691</v>
      </c>
      <c r="W341" s="133">
        <f t="shared" si="10"/>
        <v>0</v>
      </c>
      <c r="X341" s="145">
        <f t="shared" si="10"/>
        <v>-6834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topLeftCell="A4" zoomScale="115" zoomScaleNormal="115" workbookViewId="0">
      <selection activeCell="A4" sqref="A4"/>
    </sheetView>
  </sheetViews>
  <sheetFormatPr defaultColWidth="9.140625"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1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42" t="s">
        <v>771</v>
      </c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5"/>
      <c r="O2" s="105"/>
    </row>
    <row r="3" spans="1:15" ht="19.5" thickTop="1" thickBot="1" x14ac:dyDescent="0.25">
      <c r="A3" s="105"/>
      <c r="B3" s="105"/>
      <c r="C3" s="639" t="str">
        <f>ReportPeriod</f>
        <v>לתקופה: רבעון 4, שנת 2018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1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f>G30</f>
        <v>174861</v>
      </c>
      <c r="D9" s="115"/>
      <c r="E9" s="118">
        <v>169983</v>
      </c>
      <c r="F9" s="115"/>
      <c r="G9" s="118">
        <v>169983</v>
      </c>
      <c r="H9" s="115"/>
      <c r="I9" s="118">
        <f>M30</f>
        <v>38364</v>
      </c>
      <c r="J9" s="115"/>
      <c r="K9" s="118">
        <v>37540</v>
      </c>
      <c r="L9" s="115"/>
      <c r="M9" s="118">
        <v>37540</v>
      </c>
      <c r="N9" s="116"/>
      <c r="O9" s="111"/>
    </row>
    <row r="10" spans="1:15" x14ac:dyDescent="0.2">
      <c r="A10" s="110"/>
      <c r="B10" s="117" t="s">
        <v>780</v>
      </c>
      <c r="C10" s="118">
        <v>-2712</v>
      </c>
      <c r="D10" s="115"/>
      <c r="E10" s="118">
        <v>-5199</v>
      </c>
      <c r="F10" s="115"/>
      <c r="G10" s="118">
        <v>-5199</v>
      </c>
      <c r="H10" s="115"/>
      <c r="I10" s="118">
        <v>-561</v>
      </c>
      <c r="J10" s="115"/>
      <c r="K10" s="118">
        <v>-517</v>
      </c>
      <c r="L10" s="115"/>
      <c r="M10" s="118">
        <f>-517</f>
        <v>-517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10623</v>
      </c>
      <c r="D12" s="115"/>
      <c r="E12" s="118">
        <v>9206</v>
      </c>
      <c r="F12" s="115"/>
      <c r="G12" s="118">
        <v>9206</v>
      </c>
      <c r="H12" s="115"/>
      <c r="I12" s="118">
        <v>2417</v>
      </c>
      <c r="J12" s="115"/>
      <c r="K12" s="118">
        <v>2119</v>
      </c>
      <c r="L12" s="115"/>
      <c r="M12" s="118">
        <v>2119</v>
      </c>
      <c r="N12" s="116"/>
      <c r="O12" s="111"/>
    </row>
    <row r="13" spans="1:15" x14ac:dyDescent="0.2">
      <c r="A13" s="110"/>
      <c r="B13" s="117" t="s">
        <v>7</v>
      </c>
      <c r="C13" s="118">
        <v>-59</v>
      </c>
      <c r="D13" s="115"/>
      <c r="E13" s="118">
        <v>-921</v>
      </c>
      <c r="F13" s="115"/>
      <c r="G13" s="118">
        <v>-921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182713</v>
      </c>
      <c r="D15" s="115"/>
      <c r="E15" s="67">
        <f>SUM(E9:E14)</f>
        <v>173069</v>
      </c>
      <c r="F15" s="115"/>
      <c r="G15" s="67">
        <f>SUM(G9:G14)</f>
        <v>173069</v>
      </c>
      <c r="H15" s="115"/>
      <c r="I15" s="67">
        <f>SUM(I9:I14)</f>
        <v>40220</v>
      </c>
      <c r="J15" s="115"/>
      <c r="K15" s="67">
        <f>SUM(K9:K14)</f>
        <v>39142</v>
      </c>
      <c r="L15" s="115"/>
      <c r="M15" s="67">
        <f>SUM(M9:M14)</f>
        <v>39142</v>
      </c>
      <c r="N15" s="116"/>
      <c r="O15" s="111"/>
    </row>
    <row r="16" spans="1:15" x14ac:dyDescent="0.2">
      <c r="A16" s="110"/>
      <c r="B16" s="114" t="s">
        <v>785</v>
      </c>
      <c r="C16" s="122">
        <v>5817</v>
      </c>
      <c r="D16" s="115"/>
      <c r="E16" s="589">
        <v>6305</v>
      </c>
      <c r="F16" s="115"/>
      <c r="G16" s="122">
        <v>6305</v>
      </c>
      <c r="H16" s="115"/>
      <c r="I16" s="122">
        <v>508</v>
      </c>
      <c r="J16" s="115"/>
      <c r="K16" s="122">
        <v>778</v>
      </c>
      <c r="L16" s="115"/>
      <c r="M16" s="122">
        <v>778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176896</v>
      </c>
      <c r="D17" s="115"/>
      <c r="E17" s="67">
        <f>E15-E16</f>
        <v>166764</v>
      </c>
      <c r="F17" s="115"/>
      <c r="G17" s="67">
        <f>G15-G16</f>
        <v>166764</v>
      </c>
      <c r="H17" s="115"/>
      <c r="I17" s="67">
        <f>I15-I16</f>
        <v>39712</v>
      </c>
      <c r="J17" s="115"/>
      <c r="K17" s="67">
        <f>K15-K16</f>
        <v>38364</v>
      </c>
      <c r="L17" s="115"/>
      <c r="M17" s="67">
        <f>M15-M16</f>
        <v>38364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31788</v>
      </c>
      <c r="D19" s="115"/>
      <c r="E19" s="118">
        <v>29189</v>
      </c>
      <c r="F19" s="115"/>
      <c r="G19" s="118">
        <v>29189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15979+556+1428</f>
        <v>17963</v>
      </c>
      <c r="D20" s="115"/>
      <c r="E20" s="118">
        <v>19323</v>
      </c>
      <c r="F20" s="115"/>
      <c r="G20" s="118">
        <v>19323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f>-15725-661</f>
        <v>-16386</v>
      </c>
      <c r="D21" s="115"/>
      <c r="E21" s="118">
        <v>-16585</v>
      </c>
      <c r="F21" s="115"/>
      <c r="G21" s="118">
        <v>-16585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33365</v>
      </c>
      <c r="D23" s="115"/>
      <c r="E23" s="67">
        <f>SUM(E19:E22)</f>
        <v>31927</v>
      </c>
      <c r="F23" s="115"/>
      <c r="G23" s="67">
        <f>SUM(G19:G22)</f>
        <v>31927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/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v>25226</v>
      </c>
      <c r="D25" s="115"/>
      <c r="E25" s="118">
        <v>23830</v>
      </c>
      <c r="F25" s="115"/>
      <c r="G25" s="118">
        <v>23830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25226</v>
      </c>
      <c r="D26" s="115"/>
      <c r="E26" s="67">
        <f>SUM(E24:E25)</f>
        <v>23830</v>
      </c>
      <c r="F26" s="115"/>
      <c r="G26" s="67">
        <f>SUM(G24:G25)</f>
        <v>23830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8139</v>
      </c>
      <c r="D28" s="115"/>
      <c r="E28" s="67">
        <f>E23-E26</f>
        <v>8097</v>
      </c>
      <c r="F28" s="115"/>
      <c r="G28" s="67">
        <f>G23-G26</f>
        <v>8097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185035</v>
      </c>
      <c r="D30" s="115"/>
      <c r="E30" s="124">
        <f>E17+E28</f>
        <v>174861</v>
      </c>
      <c r="F30" s="115"/>
      <c r="G30" s="124">
        <f>G17+G28</f>
        <v>174861</v>
      </c>
      <c r="H30" s="115"/>
      <c r="I30" s="124">
        <f>I17+I28</f>
        <v>39712</v>
      </c>
      <c r="J30" s="115"/>
      <c r="K30" s="124">
        <f>K17+K28</f>
        <v>38364</v>
      </c>
      <c r="L30" s="115"/>
      <c r="M30" s="124">
        <f>M17+M28</f>
        <v>38364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3.1836815114414413E-2</v>
      </c>
      <c r="D31" s="115"/>
      <c r="E31" s="123">
        <f>IF(E15&lt;&gt;0,ABS(E16)/E15,0)</f>
        <v>3.6430556598813189E-2</v>
      </c>
      <c r="F31" s="115"/>
      <c r="G31" s="123">
        <f>IF(G15&lt;&gt;0,ABS(G16)/G15,0)</f>
        <v>3.6430556598813189E-2</v>
      </c>
      <c r="H31" s="115"/>
      <c r="I31" s="123">
        <f>IF(I15&lt;&gt;0,ABS(I16)/I15,0)</f>
        <v>1.2630532073595227E-2</v>
      </c>
      <c r="J31" s="115"/>
      <c r="K31" s="123">
        <f>IF(K15&lt;&gt;0,ABS(K16)/K15,0)</f>
        <v>1.987634765724797E-2</v>
      </c>
      <c r="L31" s="115"/>
      <c r="M31" s="123">
        <f>IF(M15&lt;&gt;0,ABS(M16)/M15,0)</f>
        <v>1.987634765724797E-2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0.75606174134572157</v>
      </c>
      <c r="D32" s="115"/>
      <c r="E32" s="120">
        <f>IF(E$26&lt;&gt;0,ABS(E$26)/E$23,0)</f>
        <v>0.74639020264979483</v>
      </c>
      <c r="F32" s="115"/>
      <c r="G32" s="120">
        <f>IF(G$26&lt;&gt;0,ABS(G$26)/G$23,0)</f>
        <v>0.74639020264979483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0.50704508452091412</v>
      </c>
      <c r="D33" s="115"/>
      <c r="E33" s="120">
        <f>IF((E19+E20)&lt;&gt;0,ABS(E25)/(E19+E20),0)</f>
        <v>0.49121866754617416</v>
      </c>
      <c r="F33" s="115"/>
      <c r="G33" s="120">
        <f>IF((G19+G20)&lt;&gt;0,ABS(G25)/(G19+G20),0)</f>
        <v>0.49121866754617416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0.50704508452091412</v>
      </c>
      <c r="D34" s="115"/>
      <c r="E34" s="471">
        <f>IF((E19+E20)&lt;&gt;0,ABS(E26)/(E19+E20),0)</f>
        <v>0.49121866754617416</v>
      </c>
      <c r="F34" s="115"/>
      <c r="G34" s="471">
        <f>IF((G19+G20)&lt;&gt;0,ABS(G26)/(G19+G20),0)</f>
        <v>0.49121866754617416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0.14366571330723166</v>
      </c>
      <c r="D35" s="115"/>
      <c r="E35" s="120">
        <f>IF((E15+E23)&lt;&gt;0,(E26+E16)/(E23+E15),0)</f>
        <v>0.1470028683486507</v>
      </c>
      <c r="F35" s="115"/>
      <c r="G35" s="120">
        <f>IF((G15+G23)&lt;&gt;0,(G26+G16)/(G23+G15),0)</f>
        <v>0.1470028683486507</v>
      </c>
      <c r="H35" s="115"/>
      <c r="I35" s="120">
        <f>IF((I15+I23)&lt;&gt;0,(I26+I16)/(I23+I15),0)</f>
        <v>1.2630532073595227E-2</v>
      </c>
      <c r="J35" s="115"/>
      <c r="K35" s="120">
        <f>IF((K15+K23)&lt;&gt;0,(K26+K16)/(K23+K15),0)</f>
        <v>1.987634765724797E-2</v>
      </c>
      <c r="L35" s="115"/>
      <c r="M35" s="120">
        <f>IF((M15+M23)&lt;&gt;0,(M26+M16)/(M23+M15),0)</f>
        <v>1.987634765724797E-2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3" t="str">
        <f>C1</f>
        <v>עיריית באקה אלגרבייה</v>
      </c>
      <c r="C303" s="643"/>
      <c r="D303" s="643"/>
      <c r="E303" s="643"/>
      <c r="F303" s="643"/>
      <c r="G303" s="643"/>
      <c r="H303" s="643"/>
      <c r="I303" s="643"/>
      <c r="J303" s="643"/>
      <c r="K303" s="643"/>
      <c r="L303" s="643"/>
      <c r="M303" s="643"/>
    </row>
    <row r="304" spans="2:13" ht="18" x14ac:dyDescent="0.2">
      <c r="B304" s="643" t="str">
        <f>C2</f>
        <v>דוח גבייה ויתרת חייבים באלפי ₪</v>
      </c>
      <c r="C304" s="643"/>
      <c r="D304" s="643"/>
      <c r="E304" s="643"/>
      <c r="F304" s="643"/>
      <c r="G304" s="643"/>
      <c r="H304" s="643"/>
      <c r="I304" s="643"/>
      <c r="J304" s="643"/>
      <c r="K304" s="643"/>
      <c r="L304" s="643"/>
      <c r="M304" s="643"/>
    </row>
    <row r="305" spans="2:14" ht="18" x14ac:dyDescent="0.2">
      <c r="B305" s="643" t="str">
        <f>C3</f>
        <v>לתקופה: רבעון 4, שנת 2018</v>
      </c>
      <c r="C305" s="643"/>
      <c r="D305" s="643"/>
      <c r="E305" s="643"/>
      <c r="F305" s="643"/>
      <c r="G305" s="643"/>
      <c r="H305" s="643"/>
      <c r="I305" s="643"/>
      <c r="J305" s="643"/>
      <c r="K305" s="643"/>
      <c r="L305" s="643"/>
      <c r="M305" s="643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174861</v>
      </c>
      <c r="D311" s="133">
        <f t="shared" si="0"/>
        <v>0</v>
      </c>
      <c r="E311" s="183">
        <f t="shared" si="0"/>
        <v>169983</v>
      </c>
      <c r="F311" s="133">
        <f t="shared" si="0"/>
        <v>0</v>
      </c>
      <c r="G311" s="183">
        <f t="shared" si="0"/>
        <v>169983</v>
      </c>
      <c r="H311" s="133">
        <f t="shared" si="0"/>
        <v>0</v>
      </c>
      <c r="I311" s="183">
        <f t="shared" si="0"/>
        <v>38364</v>
      </c>
      <c r="J311" s="133">
        <f t="shared" si="0"/>
        <v>0</v>
      </c>
      <c r="K311" s="183">
        <f t="shared" si="0"/>
        <v>37540</v>
      </c>
      <c r="L311" s="133">
        <f t="shared" si="0"/>
        <v>0</v>
      </c>
      <c r="M311" s="183">
        <f t="shared" si="0"/>
        <v>37540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-2712</v>
      </c>
      <c r="D312" s="133">
        <f t="shared" si="0"/>
        <v>0</v>
      </c>
      <c r="E312" s="184">
        <f t="shared" si="0"/>
        <v>-5199</v>
      </c>
      <c r="F312" s="133">
        <f t="shared" si="0"/>
        <v>0</v>
      </c>
      <c r="G312" s="184">
        <f t="shared" si="0"/>
        <v>-5199</v>
      </c>
      <c r="H312" s="133">
        <f t="shared" si="0"/>
        <v>0</v>
      </c>
      <c r="I312" s="184">
        <f t="shared" si="0"/>
        <v>-561</v>
      </c>
      <c r="J312" s="133">
        <f t="shared" si="0"/>
        <v>0</v>
      </c>
      <c r="K312" s="184">
        <f t="shared" si="0"/>
        <v>-517</v>
      </c>
      <c r="L312" s="133">
        <f t="shared" si="0"/>
        <v>0</v>
      </c>
      <c r="M312" s="184">
        <f t="shared" si="0"/>
        <v>-517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10623</v>
      </c>
      <c r="D314" s="133">
        <f t="shared" si="0"/>
        <v>0</v>
      </c>
      <c r="E314" s="184">
        <f t="shared" si="0"/>
        <v>9206</v>
      </c>
      <c r="F314" s="133">
        <f t="shared" si="0"/>
        <v>0</v>
      </c>
      <c r="G314" s="184">
        <f t="shared" si="0"/>
        <v>9206</v>
      </c>
      <c r="H314" s="133">
        <f t="shared" si="0"/>
        <v>0</v>
      </c>
      <c r="I314" s="184">
        <f t="shared" si="0"/>
        <v>2417</v>
      </c>
      <c r="J314" s="133">
        <f t="shared" si="0"/>
        <v>0</v>
      </c>
      <c r="K314" s="184">
        <f t="shared" si="0"/>
        <v>2119</v>
      </c>
      <c r="L314" s="133">
        <f t="shared" si="0"/>
        <v>0</v>
      </c>
      <c r="M314" s="184">
        <f t="shared" si="0"/>
        <v>2119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-59</v>
      </c>
      <c r="D315" s="133">
        <f t="shared" si="0"/>
        <v>0</v>
      </c>
      <c r="E315" s="184">
        <f t="shared" si="0"/>
        <v>-921</v>
      </c>
      <c r="F315" s="133">
        <f t="shared" si="0"/>
        <v>0</v>
      </c>
      <c r="G315" s="184">
        <f t="shared" si="0"/>
        <v>-921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182713</v>
      </c>
      <c r="D317" s="133">
        <f t="shared" si="0"/>
        <v>0</v>
      </c>
      <c r="E317" s="143">
        <f t="shared" si="0"/>
        <v>173069</v>
      </c>
      <c r="F317" s="133">
        <f t="shared" si="0"/>
        <v>0</v>
      </c>
      <c r="G317" s="143">
        <f t="shared" si="0"/>
        <v>173069</v>
      </c>
      <c r="H317" s="133">
        <f t="shared" si="0"/>
        <v>0</v>
      </c>
      <c r="I317" s="143">
        <f t="shared" si="0"/>
        <v>40220</v>
      </c>
      <c r="J317" s="133">
        <f t="shared" si="0"/>
        <v>0</v>
      </c>
      <c r="K317" s="143">
        <f t="shared" si="0"/>
        <v>39142</v>
      </c>
      <c r="L317" s="133">
        <f t="shared" si="0"/>
        <v>0</v>
      </c>
      <c r="M317" s="143">
        <f t="shared" si="0"/>
        <v>39142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5817</v>
      </c>
      <c r="D318" s="133">
        <f t="shared" si="0"/>
        <v>0</v>
      </c>
      <c r="E318" s="183">
        <f t="shared" si="0"/>
        <v>6305</v>
      </c>
      <c r="F318" s="133">
        <f t="shared" si="0"/>
        <v>0</v>
      </c>
      <c r="G318" s="183">
        <f t="shared" si="0"/>
        <v>6305</v>
      </c>
      <c r="H318" s="133">
        <f t="shared" si="0"/>
        <v>0</v>
      </c>
      <c r="I318" s="183">
        <f t="shared" si="0"/>
        <v>508</v>
      </c>
      <c r="J318" s="133">
        <f t="shared" si="0"/>
        <v>0</v>
      </c>
      <c r="K318" s="183">
        <f t="shared" si="0"/>
        <v>778</v>
      </c>
      <c r="L318" s="133">
        <f t="shared" si="0"/>
        <v>0</v>
      </c>
      <c r="M318" s="183">
        <f t="shared" si="0"/>
        <v>778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176896</v>
      </c>
      <c r="D319" s="133">
        <f t="shared" si="0"/>
        <v>0</v>
      </c>
      <c r="E319" s="143">
        <f t="shared" si="0"/>
        <v>166764</v>
      </c>
      <c r="F319" s="133">
        <f t="shared" si="0"/>
        <v>0</v>
      </c>
      <c r="G319" s="143">
        <f t="shared" si="0"/>
        <v>166764</v>
      </c>
      <c r="H319" s="133">
        <f t="shared" si="0"/>
        <v>0</v>
      </c>
      <c r="I319" s="143">
        <f t="shared" si="0"/>
        <v>39712</v>
      </c>
      <c r="J319" s="133">
        <f t="shared" si="0"/>
        <v>0</v>
      </c>
      <c r="K319" s="143">
        <f t="shared" si="0"/>
        <v>38364</v>
      </c>
      <c r="L319" s="133">
        <f t="shared" si="0"/>
        <v>0</v>
      </c>
      <c r="M319" s="143">
        <f t="shared" si="0"/>
        <v>38364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31788</v>
      </c>
      <c r="D321" s="133">
        <f t="shared" si="0"/>
        <v>0</v>
      </c>
      <c r="E321" s="183">
        <f t="shared" si="0"/>
        <v>29189</v>
      </c>
      <c r="F321" s="133">
        <f t="shared" si="0"/>
        <v>0</v>
      </c>
      <c r="G321" s="183">
        <f t="shared" si="0"/>
        <v>29189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17963</v>
      </c>
      <c r="D322" s="133">
        <f t="shared" si="0"/>
        <v>0</v>
      </c>
      <c r="E322" s="184">
        <f t="shared" si="0"/>
        <v>19323</v>
      </c>
      <c r="F322" s="133">
        <f t="shared" si="0"/>
        <v>0</v>
      </c>
      <c r="G322" s="184">
        <f t="shared" si="0"/>
        <v>19323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-16386</v>
      </c>
      <c r="D323" s="133">
        <f t="shared" si="0"/>
        <v>0</v>
      </c>
      <c r="E323" s="184">
        <f t="shared" si="0"/>
        <v>-16585</v>
      </c>
      <c r="F323" s="133">
        <f t="shared" si="0"/>
        <v>0</v>
      </c>
      <c r="G323" s="184">
        <f t="shared" si="0"/>
        <v>-16585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33365</v>
      </c>
      <c r="D325" s="133">
        <f t="shared" si="2"/>
        <v>0</v>
      </c>
      <c r="E325" s="143">
        <f t="shared" si="2"/>
        <v>31927</v>
      </c>
      <c r="F325" s="133">
        <f t="shared" si="2"/>
        <v>0</v>
      </c>
      <c r="G325" s="143">
        <f t="shared" si="2"/>
        <v>31927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0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25226</v>
      </c>
      <c r="D327" s="133">
        <f t="shared" si="4"/>
        <v>0</v>
      </c>
      <c r="E327" s="184">
        <f t="shared" si="4"/>
        <v>23830</v>
      </c>
      <c r="F327" s="133">
        <f t="shared" si="4"/>
        <v>0</v>
      </c>
      <c r="G327" s="184">
        <f t="shared" si="4"/>
        <v>23830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25226</v>
      </c>
      <c r="D328" s="133">
        <f t="shared" si="5"/>
        <v>0</v>
      </c>
      <c r="E328" s="143">
        <f t="shared" si="5"/>
        <v>23830</v>
      </c>
      <c r="F328" s="133">
        <f t="shared" si="5"/>
        <v>0</v>
      </c>
      <c r="G328" s="143">
        <f t="shared" si="5"/>
        <v>23830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8139</v>
      </c>
      <c r="D330" s="133">
        <f t="shared" si="7"/>
        <v>0</v>
      </c>
      <c r="E330" s="143">
        <f t="shared" si="7"/>
        <v>8097</v>
      </c>
      <c r="F330" s="133">
        <f t="shared" si="7"/>
        <v>0</v>
      </c>
      <c r="G330" s="143">
        <f t="shared" si="7"/>
        <v>8097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185035</v>
      </c>
      <c r="D332" s="133">
        <f t="shared" si="9"/>
        <v>0</v>
      </c>
      <c r="E332" s="145">
        <f t="shared" si="9"/>
        <v>174861</v>
      </c>
      <c r="F332" s="133">
        <f t="shared" si="9"/>
        <v>0</v>
      </c>
      <c r="G332" s="145">
        <f t="shared" si="9"/>
        <v>174861</v>
      </c>
      <c r="H332" s="133">
        <f t="shared" si="9"/>
        <v>0</v>
      </c>
      <c r="I332" s="145">
        <f t="shared" si="9"/>
        <v>39712</v>
      </c>
      <c r="J332" s="133">
        <f t="shared" si="9"/>
        <v>0</v>
      </c>
      <c r="K332" s="145">
        <f t="shared" si="9"/>
        <v>38364</v>
      </c>
      <c r="L332" s="133">
        <f t="shared" si="9"/>
        <v>0</v>
      </c>
      <c r="M332" s="145">
        <f t="shared" si="9"/>
        <v>38364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3.1836815114414413E-2</v>
      </c>
      <c r="D333" s="133">
        <f t="shared" si="10"/>
        <v>0</v>
      </c>
      <c r="E333" s="138">
        <f t="shared" si="10"/>
        <v>3.6430556598813189E-2</v>
      </c>
      <c r="F333" s="133">
        <f t="shared" si="10"/>
        <v>0</v>
      </c>
      <c r="G333" s="138">
        <f t="shared" si="10"/>
        <v>3.6430556598813189E-2</v>
      </c>
      <c r="H333" s="133">
        <f t="shared" si="10"/>
        <v>0</v>
      </c>
      <c r="I333" s="138">
        <f t="shared" si="10"/>
        <v>1.2630532073595227E-2</v>
      </c>
      <c r="J333" s="133">
        <f t="shared" si="10"/>
        <v>0</v>
      </c>
      <c r="K333" s="138">
        <f t="shared" si="10"/>
        <v>1.987634765724797E-2</v>
      </c>
      <c r="L333" s="133">
        <f t="shared" si="10"/>
        <v>0</v>
      </c>
      <c r="M333" s="138">
        <f t="shared" si="10"/>
        <v>1.987634765724797E-2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0.75606174134572157</v>
      </c>
      <c r="D334" s="133">
        <f t="shared" si="11"/>
        <v>0</v>
      </c>
      <c r="E334" s="141">
        <f t="shared" si="11"/>
        <v>0.74639020264979483</v>
      </c>
      <c r="F334" s="133">
        <f t="shared" si="11"/>
        <v>0</v>
      </c>
      <c r="G334" s="141">
        <f t="shared" si="11"/>
        <v>0.74639020264979483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0.50704508452091412</v>
      </c>
      <c r="D335" s="133">
        <f t="shared" si="12"/>
        <v>0</v>
      </c>
      <c r="E335" s="141">
        <f t="shared" si="12"/>
        <v>0.49121866754617416</v>
      </c>
      <c r="F335" s="133">
        <f t="shared" si="12"/>
        <v>0</v>
      </c>
      <c r="G335" s="141">
        <f t="shared" si="12"/>
        <v>0.49121866754617416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0.50704508452091412</v>
      </c>
      <c r="D336" s="133">
        <f t="shared" si="13"/>
        <v>0</v>
      </c>
      <c r="E336" s="141">
        <f t="shared" si="13"/>
        <v>0.49121866754617416</v>
      </c>
      <c r="F336" s="133">
        <f t="shared" si="13"/>
        <v>0</v>
      </c>
      <c r="G336" s="141">
        <f t="shared" si="13"/>
        <v>0.49121866754617416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0.14366571330723166</v>
      </c>
      <c r="D337" s="133">
        <f t="shared" si="14"/>
        <v>0</v>
      </c>
      <c r="E337" s="141">
        <f t="shared" si="14"/>
        <v>0.1470028683486507</v>
      </c>
      <c r="F337" s="133">
        <f t="shared" si="14"/>
        <v>0</v>
      </c>
      <c r="G337" s="141">
        <f t="shared" si="14"/>
        <v>0.1470028683486507</v>
      </c>
      <c r="H337" s="133">
        <f t="shared" si="14"/>
        <v>0</v>
      </c>
      <c r="I337" s="141">
        <f t="shared" si="14"/>
        <v>1.2630532073595227E-2</v>
      </c>
      <c r="J337" s="133">
        <f t="shared" si="14"/>
        <v>0</v>
      </c>
      <c r="K337" s="141">
        <f t="shared" si="14"/>
        <v>1.987634765724797E-2</v>
      </c>
      <c r="L337" s="133">
        <f t="shared" si="14"/>
        <v>0</v>
      </c>
      <c r="M337" s="141">
        <f t="shared" si="14"/>
        <v>1.987634765724797E-2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9:M14 I16:M16">
    <cfRule type="expression" dxfId="5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1"/>
      <c r="Q1" s="105"/>
    </row>
    <row r="2" spans="1:17" ht="19.5" thickTop="1" thickBot="1" x14ac:dyDescent="0.25">
      <c r="A2" s="105"/>
      <c r="B2" s="105"/>
      <c r="C2" s="642" t="s">
        <v>860</v>
      </c>
      <c r="D2" s="640"/>
      <c r="E2" s="640"/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1"/>
      <c r="Q2" s="105"/>
    </row>
    <row r="3" spans="1:17" ht="19.5" thickTop="1" thickBot="1" x14ac:dyDescent="0.25">
      <c r="A3" s="105"/>
      <c r="B3" s="105"/>
      <c r="C3" s="639" t="str">
        <f>ReportPeriod</f>
        <v>לתקופה: רבעון 4, שנת 2018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1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1064439</v>
      </c>
      <c r="D6" s="115"/>
      <c r="E6" s="573">
        <v>120.16</v>
      </c>
      <c r="F6" s="115"/>
      <c r="G6" s="573">
        <v>34.68</v>
      </c>
      <c r="H6" s="115"/>
      <c r="I6" s="575">
        <f t="shared" ref="I6:I18" si="0">IF(C6=0,0,O6*1000/C6)</f>
        <v>36.490583302565952</v>
      </c>
      <c r="J6" s="115"/>
      <c r="K6" s="573">
        <v>35.70874132234632</v>
      </c>
      <c r="L6" s="115"/>
      <c r="M6" s="120">
        <f t="shared" ref="M6:M18" si="1">IF(K6=0,0,(I6-K6)/K6)</f>
        <v>2.1894974487111356E-2</v>
      </c>
      <c r="N6" s="115"/>
      <c r="O6" s="118">
        <v>38842</v>
      </c>
      <c r="P6" s="116"/>
      <c r="Q6" s="111"/>
    </row>
    <row r="7" spans="1:17" x14ac:dyDescent="0.2">
      <c r="A7" s="110"/>
      <c r="B7" s="114" t="s">
        <v>758</v>
      </c>
      <c r="C7" s="118">
        <v>119731</v>
      </c>
      <c r="D7" s="115"/>
      <c r="E7" s="573">
        <v>384.95</v>
      </c>
      <c r="F7" s="115"/>
      <c r="G7" s="573">
        <v>68.08</v>
      </c>
      <c r="H7" s="115"/>
      <c r="I7" s="575">
        <f t="shared" si="0"/>
        <v>77.47367014390592</v>
      </c>
      <c r="J7" s="115"/>
      <c r="K7" s="573">
        <v>75.759496345121903</v>
      </c>
      <c r="L7" s="115"/>
      <c r="M7" s="120">
        <f t="shared" si="1"/>
        <v>2.2626520521930472E-2</v>
      </c>
      <c r="N7" s="115"/>
      <c r="O7" s="118">
        <v>9276</v>
      </c>
      <c r="P7" s="116"/>
      <c r="Q7" s="111"/>
    </row>
    <row r="8" spans="1:17" x14ac:dyDescent="0.2">
      <c r="A8" s="110"/>
      <c r="B8" s="114" t="s">
        <v>759</v>
      </c>
      <c r="C8" s="177">
        <v>973</v>
      </c>
      <c r="D8" s="115"/>
      <c r="E8" s="573">
        <v>1386.4</v>
      </c>
      <c r="F8" s="115"/>
      <c r="G8" s="573">
        <v>462.96</v>
      </c>
      <c r="H8" s="115"/>
      <c r="I8" s="575">
        <f t="shared" si="0"/>
        <v>567.31757451181909</v>
      </c>
      <c r="J8" s="115"/>
      <c r="K8" s="573">
        <v>554.98458376156213</v>
      </c>
      <c r="L8" s="115"/>
      <c r="M8" s="120">
        <f t="shared" si="1"/>
        <v>2.2222222222222254E-2</v>
      </c>
      <c r="N8" s="115"/>
      <c r="O8" s="118">
        <v>552</v>
      </c>
      <c r="P8" s="116"/>
      <c r="Q8" s="111"/>
    </row>
    <row r="9" spans="1:17" x14ac:dyDescent="0.2">
      <c r="A9" s="110"/>
      <c r="B9" s="114" t="s">
        <v>760</v>
      </c>
      <c r="C9" s="118">
        <v>8390</v>
      </c>
      <c r="D9" s="115"/>
      <c r="E9" s="573">
        <v>165.9</v>
      </c>
      <c r="F9" s="115"/>
      <c r="G9" s="573">
        <v>24.82</v>
      </c>
      <c r="H9" s="115"/>
      <c r="I9" s="575">
        <f t="shared" si="0"/>
        <v>61.501787842669842</v>
      </c>
      <c r="J9" s="115"/>
      <c r="K9" s="573">
        <v>60.502976552059287</v>
      </c>
      <c r="L9" s="115"/>
      <c r="M9" s="120">
        <f t="shared" si="1"/>
        <v>1.6508465327340304E-2</v>
      </c>
      <c r="N9" s="115"/>
      <c r="O9" s="118">
        <v>516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>
        <v>0</v>
      </c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28482</v>
      </c>
      <c r="D11" s="115"/>
      <c r="E11" s="573">
        <v>223.83</v>
      </c>
      <c r="F11" s="115"/>
      <c r="G11" s="573">
        <v>45.96</v>
      </c>
      <c r="H11" s="115"/>
      <c r="I11" s="575">
        <f t="shared" si="0"/>
        <v>68.850502071483746</v>
      </c>
      <c r="J11" s="115"/>
      <c r="K11" s="573">
        <v>66.80100755667506</v>
      </c>
      <c r="L11" s="115"/>
      <c r="M11" s="120">
        <f t="shared" si="1"/>
        <v>3.0680592849888697E-2</v>
      </c>
      <c r="N11" s="115"/>
      <c r="O11" s="118">
        <v>1961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>
        <v>0.67</v>
      </c>
      <c r="F12" s="115"/>
      <c r="G12" s="574">
        <v>9.6290000000000004E-3</v>
      </c>
      <c r="H12" s="115"/>
      <c r="I12" s="576">
        <f t="shared" si="0"/>
        <v>1.0997478285233959E-2</v>
      </c>
      <c r="J12" s="115"/>
      <c r="K12" s="574">
        <v>1.0016811431773607E-2</v>
      </c>
      <c r="L12" s="115"/>
      <c r="M12" s="120">
        <f t="shared" si="1"/>
        <v>9.7902097902097848E-2</v>
      </c>
      <c r="N12" s="115"/>
      <c r="O12" s="118">
        <v>0.157</v>
      </c>
      <c r="P12" s="116"/>
      <c r="Q12" s="111"/>
    </row>
    <row r="13" spans="1:17" x14ac:dyDescent="0.2">
      <c r="A13" s="110"/>
      <c r="B13" s="117" t="s">
        <v>569</v>
      </c>
      <c r="C13" s="118">
        <v>85969</v>
      </c>
      <c r="D13" s="115"/>
      <c r="E13" s="574">
        <v>55.84</v>
      </c>
      <c r="F13" s="115"/>
      <c r="G13" s="574">
        <v>1.0961E-2</v>
      </c>
      <c r="H13" s="115"/>
      <c r="I13" s="576">
        <f t="shared" si="0"/>
        <v>13.272226034966092</v>
      </c>
      <c r="J13" s="115"/>
      <c r="K13" s="574">
        <v>12.762202871758243</v>
      </c>
      <c r="L13" s="115"/>
      <c r="M13" s="120">
        <f t="shared" si="1"/>
        <v>3.9963568071503607E-2</v>
      </c>
      <c r="N13" s="115"/>
      <c r="O13" s="118">
        <v>1141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>
        <v>0</v>
      </c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>
        <v>10391</v>
      </c>
      <c r="D15" s="115"/>
      <c r="E15" s="573">
        <v>67.11</v>
      </c>
      <c r="F15" s="115"/>
      <c r="G15" s="573">
        <v>1.42</v>
      </c>
      <c r="H15" s="115"/>
      <c r="I15" s="575">
        <f t="shared" si="0"/>
        <v>25.021653353863922</v>
      </c>
      <c r="J15" s="115"/>
      <c r="K15" s="573">
        <v>0</v>
      </c>
      <c r="L15" s="115"/>
      <c r="M15" s="120">
        <f t="shared" si="1"/>
        <v>0</v>
      </c>
      <c r="N15" s="115"/>
      <c r="O15" s="118">
        <v>260</v>
      </c>
      <c r="P15" s="116"/>
      <c r="Q15" s="111"/>
    </row>
    <row r="16" spans="1:17" x14ac:dyDescent="0.2">
      <c r="A16" s="110"/>
      <c r="B16" s="114" t="s">
        <v>764</v>
      </c>
      <c r="C16" s="118">
        <v>62832</v>
      </c>
      <c r="D16" s="115"/>
      <c r="E16" s="573">
        <v>45.78</v>
      </c>
      <c r="F16" s="115"/>
      <c r="G16" s="573">
        <v>0.34899999999999998</v>
      </c>
      <c r="H16" s="115"/>
      <c r="I16" s="575">
        <f t="shared" si="0"/>
        <v>2.3873185637891519</v>
      </c>
      <c r="J16" s="115"/>
      <c r="K16" s="573">
        <v>2.2596799804568217</v>
      </c>
      <c r="L16" s="115"/>
      <c r="M16" s="120">
        <f t="shared" si="1"/>
        <v>5.648524766171821E-2</v>
      </c>
      <c r="N16" s="115"/>
      <c r="O16" s="118">
        <v>150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1395483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52698.156999999999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7" t="str">
        <f t="shared" ref="C300:N315" si="2">C1</f>
        <v>עיריית באקה אלגרבייה</v>
      </c>
      <c r="D300" s="638"/>
      <c r="E300" s="638"/>
      <c r="F300" s="638"/>
      <c r="G300" s="638"/>
      <c r="H300" s="638"/>
      <c r="I300" s="638"/>
      <c r="J300" s="638"/>
      <c r="K300" s="638"/>
      <c r="L300" s="638"/>
      <c r="M300" s="638"/>
      <c r="N300" s="638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7" t="str">
        <f t="shared" si="2"/>
        <v>תעריפי ארנונה וסך חיוב</v>
      </c>
      <c r="D301" s="638"/>
      <c r="E301" s="638"/>
      <c r="F301" s="638"/>
      <c r="G301" s="638"/>
      <c r="H301" s="638"/>
      <c r="I301" s="638"/>
      <c r="J301" s="638"/>
      <c r="K301" s="638"/>
      <c r="L301" s="638"/>
      <c r="M301" s="638"/>
      <c r="N301" s="638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7" t="str">
        <f t="shared" si="2"/>
        <v>לתקופה: רבעון 4, שנת 2018</v>
      </c>
      <c r="D302" s="638"/>
      <c r="E302" s="638"/>
      <c r="F302" s="638"/>
      <c r="G302" s="638"/>
      <c r="H302" s="638"/>
      <c r="I302" s="638"/>
      <c r="J302" s="638"/>
      <c r="K302" s="638"/>
      <c r="L302" s="638"/>
      <c r="M302" s="638"/>
      <c r="N302" s="638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1064439</v>
      </c>
      <c r="D305" s="208">
        <f t="shared" si="2"/>
        <v>0</v>
      </c>
      <c r="E305" s="207">
        <f t="shared" si="2"/>
        <v>120.16</v>
      </c>
      <c r="F305" s="208">
        <f t="shared" si="2"/>
        <v>0</v>
      </c>
      <c r="G305" s="207">
        <f t="shared" si="2"/>
        <v>34.68</v>
      </c>
      <c r="H305" s="208">
        <f t="shared" si="2"/>
        <v>0</v>
      </c>
      <c r="I305" s="209">
        <f t="shared" si="2"/>
        <v>36.490583302565952</v>
      </c>
      <c r="J305" s="208">
        <f t="shared" si="2"/>
        <v>0</v>
      </c>
      <c r="K305" s="207">
        <f t="shared" si="2"/>
        <v>35.70874132234632</v>
      </c>
      <c r="L305" s="208">
        <f t="shared" si="2"/>
        <v>0</v>
      </c>
      <c r="M305" s="210">
        <f t="shared" si="2"/>
        <v>2.1894974487111356E-2</v>
      </c>
      <c r="N305" s="208">
        <f t="shared" si="2"/>
        <v>0</v>
      </c>
      <c r="O305" s="207">
        <f t="shared" si="3"/>
        <v>38842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119731</v>
      </c>
      <c r="D306" s="208">
        <f t="shared" si="2"/>
        <v>0</v>
      </c>
      <c r="E306" s="212">
        <f t="shared" si="2"/>
        <v>384.95</v>
      </c>
      <c r="F306" s="208">
        <f t="shared" si="2"/>
        <v>0</v>
      </c>
      <c r="G306" s="212">
        <f t="shared" si="2"/>
        <v>68.08</v>
      </c>
      <c r="H306" s="208">
        <f t="shared" si="2"/>
        <v>0</v>
      </c>
      <c r="I306" s="213">
        <f t="shared" si="2"/>
        <v>77.47367014390592</v>
      </c>
      <c r="J306" s="208">
        <f t="shared" si="2"/>
        <v>0</v>
      </c>
      <c r="K306" s="212">
        <f t="shared" si="2"/>
        <v>75.759496345121903</v>
      </c>
      <c r="L306" s="208">
        <f t="shared" si="2"/>
        <v>0</v>
      </c>
      <c r="M306" s="214">
        <f t="shared" si="2"/>
        <v>2.2626520521930472E-2</v>
      </c>
      <c r="N306" s="208">
        <f t="shared" si="2"/>
        <v>0</v>
      </c>
      <c r="O306" s="212">
        <f t="shared" si="3"/>
        <v>9276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1386.4</v>
      </c>
      <c r="F307" s="208">
        <f t="shared" si="2"/>
        <v>0</v>
      </c>
      <c r="G307" s="212">
        <f t="shared" si="2"/>
        <v>462.96</v>
      </c>
      <c r="H307" s="208">
        <f t="shared" si="2"/>
        <v>0</v>
      </c>
      <c r="I307" s="213">
        <f t="shared" si="2"/>
        <v>567.31757451181909</v>
      </c>
      <c r="J307" s="208">
        <f t="shared" si="2"/>
        <v>0</v>
      </c>
      <c r="K307" s="212">
        <f t="shared" si="2"/>
        <v>554.98458376156213</v>
      </c>
      <c r="L307" s="208">
        <f t="shared" si="2"/>
        <v>0</v>
      </c>
      <c r="M307" s="214">
        <f t="shared" si="2"/>
        <v>2.2222222222222254E-2</v>
      </c>
      <c r="N307" s="208">
        <f t="shared" si="2"/>
        <v>0</v>
      </c>
      <c r="O307" s="212">
        <f t="shared" si="3"/>
        <v>552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8390</v>
      </c>
      <c r="D308" s="208">
        <f t="shared" si="2"/>
        <v>0</v>
      </c>
      <c r="E308" s="212">
        <f t="shared" si="2"/>
        <v>165.9</v>
      </c>
      <c r="F308" s="208">
        <f t="shared" si="2"/>
        <v>0</v>
      </c>
      <c r="G308" s="212">
        <f t="shared" si="2"/>
        <v>24.82</v>
      </c>
      <c r="H308" s="208">
        <f t="shared" si="2"/>
        <v>0</v>
      </c>
      <c r="I308" s="213">
        <f t="shared" si="2"/>
        <v>61.501787842669842</v>
      </c>
      <c r="J308" s="208">
        <f t="shared" si="2"/>
        <v>0</v>
      </c>
      <c r="K308" s="212">
        <f t="shared" si="2"/>
        <v>60.502976552059287</v>
      </c>
      <c r="L308" s="208">
        <f t="shared" si="2"/>
        <v>0</v>
      </c>
      <c r="M308" s="214">
        <f t="shared" si="2"/>
        <v>1.6508465327340304E-2</v>
      </c>
      <c r="N308" s="208">
        <f t="shared" si="2"/>
        <v>0</v>
      </c>
      <c r="O308" s="212">
        <f t="shared" si="3"/>
        <v>516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28482</v>
      </c>
      <c r="D310" s="208">
        <f t="shared" si="2"/>
        <v>0</v>
      </c>
      <c r="E310" s="212">
        <f t="shared" si="2"/>
        <v>223.83</v>
      </c>
      <c r="F310" s="208">
        <f t="shared" si="2"/>
        <v>0</v>
      </c>
      <c r="G310" s="212">
        <f t="shared" si="2"/>
        <v>45.96</v>
      </c>
      <c r="H310" s="208">
        <f t="shared" si="2"/>
        <v>0</v>
      </c>
      <c r="I310" s="213">
        <f t="shared" si="2"/>
        <v>68.850502071483746</v>
      </c>
      <c r="J310" s="208">
        <f t="shared" si="2"/>
        <v>0</v>
      </c>
      <c r="K310" s="212">
        <f t="shared" si="2"/>
        <v>66.80100755667506</v>
      </c>
      <c r="L310" s="208">
        <f t="shared" si="2"/>
        <v>0</v>
      </c>
      <c r="M310" s="214">
        <f t="shared" si="2"/>
        <v>3.0680592849888697E-2</v>
      </c>
      <c r="N310" s="208">
        <f t="shared" si="2"/>
        <v>0</v>
      </c>
      <c r="O310" s="212">
        <f t="shared" si="3"/>
        <v>1961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0.67</v>
      </c>
      <c r="F311" s="208">
        <f t="shared" si="2"/>
        <v>0</v>
      </c>
      <c r="G311" s="212">
        <f t="shared" si="2"/>
        <v>9.6290000000000004E-3</v>
      </c>
      <c r="H311" s="208">
        <f t="shared" si="2"/>
        <v>0</v>
      </c>
      <c r="I311" s="213">
        <f t="shared" si="2"/>
        <v>1.0997478285233959E-2</v>
      </c>
      <c r="J311" s="208">
        <f t="shared" si="2"/>
        <v>0</v>
      </c>
      <c r="K311" s="212">
        <f t="shared" si="2"/>
        <v>1.0016811431773607E-2</v>
      </c>
      <c r="L311" s="208">
        <f t="shared" si="2"/>
        <v>0</v>
      </c>
      <c r="M311" s="214">
        <f t="shared" si="2"/>
        <v>9.7902097902097848E-2</v>
      </c>
      <c r="N311" s="208">
        <f t="shared" si="2"/>
        <v>0</v>
      </c>
      <c r="O311" s="212">
        <f t="shared" si="3"/>
        <v>0.157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85969</v>
      </c>
      <c r="D312" s="208">
        <f t="shared" si="2"/>
        <v>0</v>
      </c>
      <c r="E312" s="212">
        <f t="shared" si="2"/>
        <v>55.84</v>
      </c>
      <c r="F312" s="208">
        <f t="shared" si="2"/>
        <v>0</v>
      </c>
      <c r="G312" s="212">
        <f t="shared" si="2"/>
        <v>1.0961E-2</v>
      </c>
      <c r="H312" s="208">
        <f t="shared" si="2"/>
        <v>0</v>
      </c>
      <c r="I312" s="213">
        <f t="shared" si="2"/>
        <v>13.272226034966092</v>
      </c>
      <c r="J312" s="208">
        <f t="shared" si="2"/>
        <v>0</v>
      </c>
      <c r="K312" s="212">
        <f t="shared" si="2"/>
        <v>12.762202871758243</v>
      </c>
      <c r="L312" s="208">
        <f t="shared" si="2"/>
        <v>0</v>
      </c>
      <c r="M312" s="214">
        <f t="shared" si="2"/>
        <v>3.9963568071503607E-2</v>
      </c>
      <c r="N312" s="208">
        <f t="shared" si="2"/>
        <v>0</v>
      </c>
      <c r="O312" s="212">
        <f t="shared" si="3"/>
        <v>1141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10391</v>
      </c>
      <c r="D314" s="208">
        <f t="shared" si="2"/>
        <v>0</v>
      </c>
      <c r="E314" s="212">
        <f t="shared" si="2"/>
        <v>67.11</v>
      </c>
      <c r="F314" s="208">
        <f t="shared" si="2"/>
        <v>0</v>
      </c>
      <c r="G314" s="212">
        <f t="shared" si="2"/>
        <v>1.42</v>
      </c>
      <c r="H314" s="208">
        <f t="shared" si="2"/>
        <v>0</v>
      </c>
      <c r="I314" s="213">
        <f t="shared" si="2"/>
        <v>25.021653353863922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260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62832</v>
      </c>
      <c r="D315" s="208">
        <f t="shared" si="2"/>
        <v>0</v>
      </c>
      <c r="E315" s="212">
        <f t="shared" si="2"/>
        <v>45.78</v>
      </c>
      <c r="F315" s="208">
        <f t="shared" si="2"/>
        <v>0</v>
      </c>
      <c r="G315" s="212">
        <f t="shared" si="2"/>
        <v>0.34899999999999998</v>
      </c>
      <c r="H315" s="208">
        <f t="shared" si="2"/>
        <v>0</v>
      </c>
      <c r="I315" s="213">
        <f t="shared" si="2"/>
        <v>2.3873185637891519</v>
      </c>
      <c r="J315" s="208">
        <f t="shared" si="2"/>
        <v>0</v>
      </c>
      <c r="K315" s="212">
        <f t="shared" si="2"/>
        <v>2.2596799804568217</v>
      </c>
      <c r="L315" s="208">
        <f t="shared" si="2"/>
        <v>0</v>
      </c>
      <c r="M315" s="214">
        <f t="shared" si="2"/>
        <v>5.648524766171821E-2</v>
      </c>
      <c r="N315" s="208">
        <f t="shared" si="2"/>
        <v>0</v>
      </c>
      <c r="O315" s="212">
        <f t="shared" si="3"/>
        <v>150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1395483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52698.156999999999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9" t="str">
        <f>GufMevukar</f>
        <v>עיריית באקה אלגרבייה</v>
      </c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1"/>
      <c r="R1" s="105"/>
    </row>
    <row r="2" spans="1:18" ht="19.5" thickTop="1" thickBot="1" x14ac:dyDescent="0.25">
      <c r="A2" s="105"/>
      <c r="B2" s="105"/>
      <c r="C2" s="105"/>
      <c r="D2" s="642" t="s">
        <v>699</v>
      </c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5"/>
      <c r="R2" s="105"/>
    </row>
    <row r="3" spans="1:18" ht="19.5" thickTop="1" thickBot="1" x14ac:dyDescent="0.25">
      <c r="A3" s="105"/>
      <c r="B3" s="105"/>
      <c r="C3" s="105"/>
      <c r="D3" s="639" t="str">
        <f>ReportPeriod</f>
        <v>לתקופה: רבעון 4, שנת 2018</v>
      </c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1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6"/>
      <c r="D5" s="646"/>
      <c r="E5" s="646"/>
      <c r="F5" s="646"/>
      <c r="G5" s="646"/>
      <c r="H5" s="646"/>
      <c r="I5" s="646"/>
      <c r="J5" s="646"/>
      <c r="K5" s="646"/>
      <c r="L5" s="646"/>
      <c r="M5" s="646"/>
      <c r="N5" s="646"/>
      <c r="O5" s="646"/>
      <c r="P5" s="646"/>
      <c r="Q5" s="110"/>
      <c r="R5" s="111"/>
    </row>
    <row r="6" spans="1:18" ht="12.75" customHeight="1" x14ac:dyDescent="0.2">
      <c r="A6" s="110"/>
      <c r="B6" s="112"/>
      <c r="C6" s="112"/>
      <c r="D6" s="647" t="str">
        <f>CONCATENATE("תקציב ",Shana)</f>
        <v>תקציב 2018</v>
      </c>
      <c r="E6" s="648"/>
      <c r="F6" s="648"/>
      <c r="G6" s="112"/>
      <c r="H6" s="112"/>
      <c r="I6" s="112"/>
      <c r="J6" s="647" t="str">
        <f>CONCATENATE("ביצוע בפועל"," ",Shana)</f>
        <v>ביצוע בפועל 2018</v>
      </c>
      <c r="K6" s="648"/>
      <c r="L6" s="648"/>
      <c r="M6" s="112"/>
      <c r="N6" s="648" t="s">
        <v>700</v>
      </c>
      <c r="O6" s="648"/>
      <c r="P6" s="648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1991</v>
      </c>
      <c r="G10" s="115"/>
      <c r="H10" s="119">
        <f>(F10*'הגדרות כלליות'!$D$20/4)</f>
        <v>1991</v>
      </c>
      <c r="I10" s="115"/>
      <c r="J10" s="118">
        <v>3</v>
      </c>
      <c r="K10" s="115"/>
      <c r="L10" s="118">
        <v>2223</v>
      </c>
      <c r="M10" s="115"/>
      <c r="N10" s="119">
        <f>D10-J10</f>
        <v>0</v>
      </c>
      <c r="O10" s="115"/>
      <c r="P10" s="119">
        <f>H10-L10</f>
        <v>-232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19.5</v>
      </c>
      <c r="E11" s="115"/>
      <c r="F11" s="118">
        <v>4130</v>
      </c>
      <c r="G11" s="115"/>
      <c r="H11" s="119">
        <f>(F11*'הגדרות כלליות'!$D$20/4)</f>
        <v>4130</v>
      </c>
      <c r="I11" s="115"/>
      <c r="J11" s="118">
        <v>13.06</v>
      </c>
      <c r="K11" s="115"/>
      <c r="L11" s="118">
        <v>3732</v>
      </c>
      <c r="M11" s="115"/>
      <c r="N11" s="119">
        <f>D11-J11</f>
        <v>6.4399999999999995</v>
      </c>
      <c r="O11" s="115"/>
      <c r="P11" s="119">
        <f>H11-L11</f>
        <v>398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16</v>
      </c>
      <c r="E12" s="115"/>
      <c r="F12" s="118">
        <v>3182</v>
      </c>
      <c r="G12" s="115"/>
      <c r="H12" s="119">
        <f>(F12*'הגדרות כלליות'!$D$20/4)</f>
        <v>3182</v>
      </c>
      <c r="I12" s="115"/>
      <c r="J12" s="118">
        <v>12.87</v>
      </c>
      <c r="K12" s="115"/>
      <c r="L12" s="177">
        <v>2950</v>
      </c>
      <c r="M12" s="115"/>
      <c r="N12" s="119">
        <f>D12-J12</f>
        <v>3.1300000000000008</v>
      </c>
      <c r="O12" s="115"/>
      <c r="P12" s="119">
        <f>H12-L12</f>
        <v>232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38.5</v>
      </c>
      <c r="E13" s="115"/>
      <c r="F13" s="192">
        <f>SUM(F10:F12)</f>
        <v>9303</v>
      </c>
      <c r="G13" s="115"/>
      <c r="H13" s="192">
        <f>SUM(H10:H12)</f>
        <v>9303</v>
      </c>
      <c r="I13" s="115"/>
      <c r="J13" s="192">
        <f>SUM(J10:J12)</f>
        <v>28.93</v>
      </c>
      <c r="K13" s="115"/>
      <c r="L13" s="192">
        <f>SUM(L10:L12)</f>
        <v>8905</v>
      </c>
      <c r="M13" s="115"/>
      <c r="N13" s="192">
        <f>SUM(N10:N12)</f>
        <v>9.57</v>
      </c>
      <c r="O13" s="115"/>
      <c r="P13" s="192">
        <f>SUM(P10:P12)</f>
        <v>398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6</v>
      </c>
      <c r="E15" s="115"/>
      <c r="F15" s="118">
        <v>628</v>
      </c>
      <c r="G15" s="115"/>
      <c r="H15" s="119">
        <f>(F15*'הגדרות כלליות'!$D$20/4)</f>
        <v>628</v>
      </c>
      <c r="I15" s="115"/>
      <c r="J15" s="118">
        <v>3.91</v>
      </c>
      <c r="K15" s="115"/>
      <c r="L15" s="118">
        <v>602</v>
      </c>
      <c r="M15" s="115"/>
      <c r="N15" s="119">
        <f t="shared" ref="N15:N21" si="0">D15-J15</f>
        <v>2.09</v>
      </c>
      <c r="O15" s="115"/>
      <c r="P15" s="119">
        <f t="shared" ref="P15:P21" si="1">H15-L15</f>
        <v>26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f>10.51+1+0.5</f>
        <v>12.01</v>
      </c>
      <c r="E16" s="115"/>
      <c r="F16" s="118">
        <v>1464</v>
      </c>
      <c r="G16" s="115"/>
      <c r="H16" s="119">
        <f>(F16*'הגדרות כלליות'!$D$20/4)</f>
        <v>1464</v>
      </c>
      <c r="I16" s="115"/>
      <c r="J16" s="118">
        <v>9</v>
      </c>
      <c r="K16" s="115"/>
      <c r="L16" s="118">
        <v>1280</v>
      </c>
      <c r="M16" s="115"/>
      <c r="N16" s="119">
        <f t="shared" si="0"/>
        <v>3.01</v>
      </c>
      <c r="O16" s="115"/>
      <c r="P16" s="119">
        <f t="shared" si="1"/>
        <v>184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6</v>
      </c>
      <c r="E17" s="115"/>
      <c r="F17" s="118">
        <v>1420</v>
      </c>
      <c r="G17" s="115"/>
      <c r="H17" s="119">
        <f>(F17*'הגדרות כלליות'!$D$20/4)</f>
        <v>1420</v>
      </c>
      <c r="I17" s="115"/>
      <c r="J17" s="118">
        <v>5.83</v>
      </c>
      <c r="K17" s="115"/>
      <c r="L17" s="118">
        <v>1347</v>
      </c>
      <c r="M17" s="115"/>
      <c r="N17" s="119">
        <f t="shared" si="0"/>
        <v>0.16999999999999993</v>
      </c>
      <c r="O17" s="115"/>
      <c r="P17" s="119">
        <f t="shared" si="1"/>
        <v>73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5</v>
      </c>
      <c r="E18" s="115"/>
      <c r="F18" s="118">
        <v>686</v>
      </c>
      <c r="G18" s="115"/>
      <c r="H18" s="119">
        <f>(F18*'הגדרות כלליות'!$D$20/4)</f>
        <v>686</v>
      </c>
      <c r="I18" s="115"/>
      <c r="J18" s="118">
        <v>3.91</v>
      </c>
      <c r="K18" s="115"/>
      <c r="L18" s="118">
        <v>614</v>
      </c>
      <c r="M18" s="115"/>
      <c r="N18" s="119">
        <f t="shared" si="0"/>
        <v>1.0899999999999999</v>
      </c>
      <c r="O18" s="115"/>
      <c r="P18" s="119">
        <f t="shared" si="1"/>
        <v>72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906</v>
      </c>
      <c r="G20" s="115"/>
      <c r="H20" s="119">
        <f>(F20*'הגדרות כלליות'!$D$20/4)</f>
        <v>906</v>
      </c>
      <c r="I20" s="115"/>
      <c r="J20" s="118">
        <v>6.15</v>
      </c>
      <c r="K20" s="115"/>
      <c r="L20" s="118">
        <v>857</v>
      </c>
      <c r="M20" s="115"/>
      <c r="N20" s="119">
        <f t="shared" si="0"/>
        <v>0.84999999999999964</v>
      </c>
      <c r="O20" s="115"/>
      <c r="P20" s="119">
        <f t="shared" si="1"/>
        <v>49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36.01</v>
      </c>
      <c r="E22" s="194"/>
      <c r="F22" s="192">
        <f>SUM(F15:F21)</f>
        <v>5104</v>
      </c>
      <c r="G22" s="115"/>
      <c r="H22" s="192">
        <f>(F22*'הגדרות כלליות'!$D$20/4)</f>
        <v>5104</v>
      </c>
      <c r="I22" s="194"/>
      <c r="J22" s="192">
        <f>SUM(J15:J21)</f>
        <v>28.800000000000004</v>
      </c>
      <c r="K22" s="194"/>
      <c r="L22" s="192">
        <f>SUM(L15:L21)</f>
        <v>4700</v>
      </c>
      <c r="M22" s="194"/>
      <c r="N22" s="192">
        <f>SUM(N15:N21)</f>
        <v>7.2099999999999991</v>
      </c>
      <c r="O22" s="194"/>
      <c r="P22" s="192">
        <f>SUM(P15:P21)</f>
        <v>404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f>389+1.1+0.35</f>
        <v>390.45000000000005</v>
      </c>
      <c r="E24" s="115"/>
      <c r="F24" s="118">
        <v>51231</v>
      </c>
      <c r="G24" s="115"/>
      <c r="H24" s="119">
        <f>(F24*'הגדרות כלליות'!$D$20/4)</f>
        <v>51231</v>
      </c>
      <c r="I24" s="115"/>
      <c r="J24" s="118">
        <v>364.04</v>
      </c>
      <c r="K24" s="115"/>
      <c r="L24" s="118">
        <v>53654</v>
      </c>
      <c r="M24" s="115"/>
      <c r="N24" s="119">
        <f t="shared" ref="N24:N30" si="2">D24-J24</f>
        <v>26.410000000000025</v>
      </c>
      <c r="O24" s="115"/>
      <c r="P24" s="119">
        <f t="shared" ref="P24:P30" si="3">H24-L24</f>
        <v>-2423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20.3</v>
      </c>
      <c r="E25" s="115"/>
      <c r="F25" s="118">
        <v>2627</v>
      </c>
      <c r="G25" s="115"/>
      <c r="H25" s="119">
        <f>(F25*'הגדרות כלליות'!$D$20/4)</f>
        <v>2627</v>
      </c>
      <c r="I25" s="115"/>
      <c r="J25" s="118">
        <v>16.09</v>
      </c>
      <c r="K25" s="115"/>
      <c r="L25" s="118">
        <v>2385</v>
      </c>
      <c r="M25" s="115"/>
      <c r="N25" s="119">
        <f t="shared" si="2"/>
        <v>4.2100000000000009</v>
      </c>
      <c r="O25" s="115"/>
      <c r="P25" s="119">
        <f t="shared" si="3"/>
        <v>242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2.75</v>
      </c>
      <c r="E26" s="115"/>
      <c r="F26" s="118">
        <v>570</v>
      </c>
      <c r="G26" s="115"/>
      <c r="H26" s="119">
        <f>(F26*'הגדרות כלליות'!$D$20/4)</f>
        <v>570</v>
      </c>
      <c r="I26" s="115"/>
      <c r="J26" s="177">
        <v>2.75</v>
      </c>
      <c r="K26" s="115"/>
      <c r="L26" s="118">
        <v>565</v>
      </c>
      <c r="M26" s="115"/>
      <c r="N26" s="119">
        <f t="shared" si="2"/>
        <v>0</v>
      </c>
      <c r="O26" s="115"/>
      <c r="P26" s="119">
        <f t="shared" si="3"/>
        <v>5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f>51.84+2.98</f>
        <v>54.82</v>
      </c>
      <c r="E27" s="115"/>
      <c r="F27" s="118">
        <v>6565</v>
      </c>
      <c r="G27" s="115"/>
      <c r="H27" s="119">
        <f>(F27*'הגדרות כלליות'!$D$20/4)</f>
        <v>6565</v>
      </c>
      <c r="I27" s="115"/>
      <c r="J27" s="118">
        <v>42.59</v>
      </c>
      <c r="K27" s="115"/>
      <c r="L27" s="118">
        <v>6112</v>
      </c>
      <c r="M27" s="115"/>
      <c r="N27" s="119">
        <f t="shared" si="2"/>
        <v>12.229999999999997</v>
      </c>
      <c r="O27" s="115"/>
      <c r="P27" s="119">
        <f t="shared" si="3"/>
        <v>453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468.32000000000005</v>
      </c>
      <c r="E31" s="194"/>
      <c r="F31" s="192">
        <f>SUM(F24:F30)</f>
        <v>60993</v>
      </c>
      <c r="G31" s="115"/>
      <c r="H31" s="192">
        <f>(F31*'הגדרות כלליות'!$D$20/4)</f>
        <v>60993</v>
      </c>
      <c r="I31" s="194"/>
      <c r="J31" s="192">
        <f>SUM(J24:J30)</f>
        <v>425.47</v>
      </c>
      <c r="K31" s="194"/>
      <c r="L31" s="192">
        <f>SUM(L24:L30)</f>
        <v>62716</v>
      </c>
      <c r="M31" s="194"/>
      <c r="N31" s="192">
        <f>SUM(N24:N30)</f>
        <v>42.850000000000023</v>
      </c>
      <c r="O31" s="115"/>
      <c r="P31" s="192">
        <f>SUM(P24:P30)</f>
        <v>-1723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0</v>
      </c>
      <c r="G33" s="115"/>
      <c r="H33" s="119">
        <f>(F33*'הגדרות כלליות'!$D$20/4)</f>
        <v>0</v>
      </c>
      <c r="I33" s="115"/>
      <c r="J33" s="118">
        <v>1</v>
      </c>
      <c r="K33" s="115"/>
      <c r="L33" s="118">
        <v>194</v>
      </c>
      <c r="M33" s="115"/>
      <c r="N33" s="119">
        <f>D33-J33</f>
        <v>0</v>
      </c>
      <c r="O33" s="115"/>
      <c r="P33" s="119">
        <f>H33-L33</f>
        <v>-194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>
        <v>3</v>
      </c>
      <c r="E35" s="115"/>
      <c r="F35" s="118">
        <v>421</v>
      </c>
      <c r="G35" s="115"/>
      <c r="H35" s="119">
        <f>(F35*'הגדרות כלליות'!$D$20/4)</f>
        <v>421</v>
      </c>
      <c r="I35" s="115"/>
      <c r="J35" s="118">
        <v>3</v>
      </c>
      <c r="K35" s="115"/>
      <c r="L35" s="118">
        <v>396</v>
      </c>
      <c r="M35" s="115"/>
      <c r="N35" s="119">
        <f>D35-J35</f>
        <v>0</v>
      </c>
      <c r="O35" s="115"/>
      <c r="P35" s="119">
        <f>H35-L35</f>
        <v>25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421</v>
      </c>
      <c r="G39" s="115"/>
      <c r="H39" s="192">
        <f>(F39*'הגדרות כלליות'!$D$20/4)</f>
        <v>421</v>
      </c>
      <c r="I39" s="194"/>
      <c r="J39" s="192">
        <f>SUM(J33:J38)</f>
        <v>4</v>
      </c>
      <c r="K39" s="194"/>
      <c r="L39" s="192">
        <f>SUM(L33:L38)</f>
        <v>590</v>
      </c>
      <c r="M39" s="194"/>
      <c r="N39" s="192">
        <f>SUM(N33:N38)</f>
        <v>0</v>
      </c>
      <c r="O39" s="115"/>
      <c r="P39" s="192">
        <f>SUM(P33:P38)</f>
        <v>-169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24.5</v>
      </c>
      <c r="E41" s="115"/>
      <c r="F41" s="118">
        <v>3848</v>
      </c>
      <c r="G41" s="115"/>
      <c r="H41" s="119">
        <f>(F41*'הגדרות כלליות'!$D$20/4)</f>
        <v>3848</v>
      </c>
      <c r="I41" s="115"/>
      <c r="J41" s="118">
        <v>24.26</v>
      </c>
      <c r="K41" s="115"/>
      <c r="L41" s="118">
        <f>3848+97</f>
        <v>3945</v>
      </c>
      <c r="M41" s="115"/>
      <c r="N41" s="119">
        <f>D41-J41</f>
        <v>0.23999999999999844</v>
      </c>
      <c r="O41" s="115"/>
      <c r="P41" s="119">
        <f>H41-L41</f>
        <v>-97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571.33000000000004</v>
      </c>
      <c r="E43" s="194"/>
      <c r="F43" s="196">
        <f>F13+F22+F31+F39+F41</f>
        <v>79669</v>
      </c>
      <c r="G43" s="115"/>
      <c r="H43" s="196">
        <f>(F43*'הגדרות כלליות'!$D$20/4)</f>
        <v>79669</v>
      </c>
      <c r="I43" s="115"/>
      <c r="J43" s="196">
        <f>J13+J22+J31+J39+J41</f>
        <v>511.46000000000004</v>
      </c>
      <c r="K43" s="115"/>
      <c r="L43" s="196">
        <f>L13+L22+L31+L39+L41</f>
        <v>80856</v>
      </c>
      <c r="M43" s="115"/>
      <c r="N43" s="196">
        <f>D43-J43</f>
        <v>59.870000000000005</v>
      </c>
      <c r="O43" s="115"/>
      <c r="P43" s="196">
        <f>H43-L43</f>
        <v>-1187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9" t="str">
        <f>CONCATENATE("תקציב ",Shana)</f>
        <v>תקציב 2018</v>
      </c>
      <c r="E45" s="649"/>
      <c r="F45" s="649"/>
      <c r="G45" s="649"/>
      <c r="H45" s="649"/>
      <c r="I45" s="495"/>
      <c r="J45" s="649" t="str">
        <f>CONCATENATE(" ביצוע בפועל ",Shana)</f>
        <v xml:space="preserve"> ביצוע בפועל 2018</v>
      </c>
      <c r="K45" s="649"/>
      <c r="L45" s="649"/>
      <c r="M45" s="649"/>
      <c r="N45" s="649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7" t="str">
        <f>D1</f>
        <v>עיריית באקה אלגרבייה</v>
      </c>
      <c r="C305" s="637"/>
      <c r="D305" s="637"/>
      <c r="E305" s="637"/>
      <c r="F305" s="637"/>
      <c r="G305" s="637"/>
      <c r="H305" s="637"/>
      <c r="I305" s="637"/>
      <c r="J305" s="637"/>
      <c r="K305" s="637"/>
      <c r="L305" s="637"/>
      <c r="M305" s="637"/>
      <c r="N305" s="637"/>
      <c r="O305" s="637"/>
      <c r="P305" s="637"/>
      <c r="Q305" s="129"/>
    </row>
    <row r="306" spans="2:17" ht="15.75" customHeight="1" x14ac:dyDescent="0.2">
      <c r="B306" s="637" t="str">
        <f>D2</f>
        <v>שכר ומשרות לפי פרקי תקציב</v>
      </c>
      <c r="C306" s="637"/>
      <c r="D306" s="637"/>
      <c r="E306" s="637"/>
      <c r="F306" s="637"/>
      <c r="G306" s="637"/>
      <c r="H306" s="637"/>
      <c r="I306" s="637"/>
      <c r="J306" s="637"/>
      <c r="K306" s="637"/>
      <c r="L306" s="637"/>
      <c r="M306" s="637"/>
      <c r="N306" s="637"/>
      <c r="O306" s="637"/>
      <c r="P306" s="637"/>
      <c r="Q306" s="129"/>
    </row>
    <row r="307" spans="2:17" ht="18" x14ac:dyDescent="0.2">
      <c r="B307" s="637" t="str">
        <f>D3</f>
        <v>לתקופה: רבעון 4, שנת 2018</v>
      </c>
      <c r="C307" s="637"/>
      <c r="D307" s="637"/>
      <c r="E307" s="637"/>
      <c r="F307" s="637"/>
      <c r="G307" s="637"/>
      <c r="H307" s="637"/>
      <c r="I307" s="637"/>
      <c r="J307" s="637"/>
      <c r="K307" s="637"/>
      <c r="L307" s="637"/>
      <c r="M307" s="637"/>
      <c r="N307" s="637"/>
      <c r="O307" s="637"/>
      <c r="P307" s="637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50" t="str">
        <f t="shared" si="4"/>
        <v>תקציב 2018</v>
      </c>
      <c r="E311" s="650">
        <f t="shared" si="4"/>
        <v>0</v>
      </c>
      <c r="F311" s="650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50" t="str">
        <f t="shared" si="5"/>
        <v>ביצוע בפועל 2018</v>
      </c>
      <c r="K311" s="650">
        <f t="shared" si="5"/>
        <v>0</v>
      </c>
      <c r="L311" s="650">
        <f t="shared" si="5"/>
        <v>0</v>
      </c>
      <c r="M311" s="131">
        <f t="shared" si="5"/>
        <v>0</v>
      </c>
      <c r="N311" s="650" t="str">
        <f t="shared" si="5"/>
        <v>הפרש</v>
      </c>
      <c r="O311" s="650">
        <f t="shared" si="5"/>
        <v>0</v>
      </c>
      <c r="P311" s="650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1991</v>
      </c>
      <c r="G315" s="136"/>
      <c r="H315" s="136">
        <f t="shared" si="5"/>
        <v>1991</v>
      </c>
      <c r="I315" s="133">
        <f t="shared" si="5"/>
        <v>0</v>
      </c>
      <c r="J315" s="136">
        <f t="shared" si="5"/>
        <v>3</v>
      </c>
      <c r="K315" s="133">
        <f t="shared" si="5"/>
        <v>0</v>
      </c>
      <c r="L315" s="136">
        <f t="shared" si="5"/>
        <v>2223</v>
      </c>
      <c r="M315" s="133">
        <f t="shared" si="5"/>
        <v>0</v>
      </c>
      <c r="N315" s="137">
        <f t="shared" si="5"/>
        <v>0</v>
      </c>
      <c r="O315" s="133">
        <f t="shared" si="5"/>
        <v>0</v>
      </c>
      <c r="P315" s="137">
        <f t="shared" si="5"/>
        <v>-232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19.5</v>
      </c>
      <c r="E316" s="133">
        <f t="shared" si="4"/>
        <v>0</v>
      </c>
      <c r="F316" s="139">
        <f t="shared" si="4"/>
        <v>4130</v>
      </c>
      <c r="G316" s="136"/>
      <c r="H316" s="139">
        <f t="shared" si="5"/>
        <v>4130</v>
      </c>
      <c r="I316" s="133">
        <f t="shared" si="5"/>
        <v>0</v>
      </c>
      <c r="J316" s="139">
        <f t="shared" si="5"/>
        <v>13.06</v>
      </c>
      <c r="K316" s="133">
        <f t="shared" si="5"/>
        <v>0</v>
      </c>
      <c r="L316" s="139">
        <f t="shared" si="5"/>
        <v>3732</v>
      </c>
      <c r="M316" s="133">
        <f t="shared" si="5"/>
        <v>0</v>
      </c>
      <c r="N316" s="140">
        <f t="shared" si="5"/>
        <v>6.4399999999999995</v>
      </c>
      <c r="O316" s="133">
        <f t="shared" si="5"/>
        <v>0</v>
      </c>
      <c r="P316" s="140">
        <f t="shared" si="5"/>
        <v>398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16</v>
      </c>
      <c r="E317" s="133">
        <f t="shared" si="4"/>
        <v>0</v>
      </c>
      <c r="F317" s="226">
        <f t="shared" si="4"/>
        <v>3182</v>
      </c>
      <c r="G317" s="136"/>
      <c r="H317" s="226">
        <f t="shared" si="5"/>
        <v>3182</v>
      </c>
      <c r="I317" s="133">
        <f t="shared" si="5"/>
        <v>0</v>
      </c>
      <c r="J317" s="226">
        <f t="shared" si="5"/>
        <v>12.87</v>
      </c>
      <c r="K317" s="133">
        <f t="shared" si="5"/>
        <v>0</v>
      </c>
      <c r="L317" s="226">
        <f t="shared" si="5"/>
        <v>2950</v>
      </c>
      <c r="M317" s="133">
        <f t="shared" si="5"/>
        <v>0</v>
      </c>
      <c r="N317" s="186">
        <f t="shared" si="5"/>
        <v>3.1300000000000008</v>
      </c>
      <c r="O317" s="133">
        <f t="shared" si="5"/>
        <v>0</v>
      </c>
      <c r="P317" s="186">
        <f t="shared" si="5"/>
        <v>232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38.5</v>
      </c>
      <c r="E318" s="200">
        <f t="shared" si="4"/>
        <v>0</v>
      </c>
      <c r="F318" s="199">
        <f t="shared" si="4"/>
        <v>9303</v>
      </c>
      <c r="G318" s="201"/>
      <c r="H318" s="199">
        <f t="shared" si="5"/>
        <v>9303</v>
      </c>
      <c r="I318" s="200">
        <f t="shared" si="5"/>
        <v>0</v>
      </c>
      <c r="J318" s="199">
        <f t="shared" si="5"/>
        <v>28.93</v>
      </c>
      <c r="K318" s="200">
        <f t="shared" si="5"/>
        <v>0</v>
      </c>
      <c r="L318" s="199">
        <f t="shared" si="5"/>
        <v>8905</v>
      </c>
      <c r="M318" s="200">
        <f t="shared" si="5"/>
        <v>0</v>
      </c>
      <c r="N318" s="199">
        <f t="shared" si="5"/>
        <v>9.57</v>
      </c>
      <c r="O318" s="200">
        <f t="shared" si="5"/>
        <v>0</v>
      </c>
      <c r="P318" s="199">
        <f t="shared" si="5"/>
        <v>398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6</v>
      </c>
      <c r="E320" s="133">
        <f t="shared" si="4"/>
        <v>0</v>
      </c>
      <c r="F320" s="136">
        <f t="shared" si="4"/>
        <v>628</v>
      </c>
      <c r="G320" s="136"/>
      <c r="H320" s="136">
        <f t="shared" si="5"/>
        <v>628</v>
      </c>
      <c r="I320" s="133">
        <f t="shared" si="5"/>
        <v>0</v>
      </c>
      <c r="J320" s="136">
        <f t="shared" si="5"/>
        <v>3.91</v>
      </c>
      <c r="K320" s="133">
        <f t="shared" si="5"/>
        <v>0</v>
      </c>
      <c r="L320" s="136">
        <f t="shared" si="5"/>
        <v>602</v>
      </c>
      <c r="M320" s="133">
        <f t="shared" si="5"/>
        <v>0</v>
      </c>
      <c r="N320" s="137">
        <f t="shared" si="5"/>
        <v>2.09</v>
      </c>
      <c r="O320" s="133">
        <f t="shared" si="5"/>
        <v>0</v>
      </c>
      <c r="P320" s="137">
        <f t="shared" si="5"/>
        <v>26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12.01</v>
      </c>
      <c r="E321" s="133">
        <f t="shared" si="4"/>
        <v>0</v>
      </c>
      <c r="F321" s="139">
        <f t="shared" si="4"/>
        <v>1464</v>
      </c>
      <c r="G321" s="136"/>
      <c r="H321" s="139">
        <f t="shared" si="5"/>
        <v>1464</v>
      </c>
      <c r="I321" s="133">
        <f t="shared" si="5"/>
        <v>0</v>
      </c>
      <c r="J321" s="139">
        <f t="shared" si="5"/>
        <v>9</v>
      </c>
      <c r="K321" s="133">
        <f t="shared" si="5"/>
        <v>0</v>
      </c>
      <c r="L321" s="139">
        <f t="shared" si="5"/>
        <v>1280</v>
      </c>
      <c r="M321" s="133">
        <f t="shared" si="5"/>
        <v>0</v>
      </c>
      <c r="N321" s="140">
        <f t="shared" si="5"/>
        <v>3.01</v>
      </c>
      <c r="O321" s="133">
        <f t="shared" si="5"/>
        <v>0</v>
      </c>
      <c r="P321" s="140">
        <f t="shared" si="5"/>
        <v>184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6</v>
      </c>
      <c r="E322" s="133">
        <f t="shared" si="4"/>
        <v>0</v>
      </c>
      <c r="F322" s="139">
        <f t="shared" si="4"/>
        <v>1420</v>
      </c>
      <c r="G322" s="136"/>
      <c r="H322" s="139">
        <f t="shared" si="5"/>
        <v>1420</v>
      </c>
      <c r="I322" s="133">
        <f t="shared" si="5"/>
        <v>0</v>
      </c>
      <c r="J322" s="139">
        <f t="shared" si="5"/>
        <v>5.83</v>
      </c>
      <c r="K322" s="133">
        <f t="shared" si="5"/>
        <v>0</v>
      </c>
      <c r="L322" s="139">
        <f t="shared" si="5"/>
        <v>1347</v>
      </c>
      <c r="M322" s="133">
        <f t="shared" si="5"/>
        <v>0</v>
      </c>
      <c r="N322" s="140">
        <f t="shared" si="5"/>
        <v>0.16999999999999993</v>
      </c>
      <c r="O322" s="133">
        <f t="shared" si="5"/>
        <v>0</v>
      </c>
      <c r="P322" s="140">
        <f t="shared" si="5"/>
        <v>73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5</v>
      </c>
      <c r="E323" s="133">
        <f t="shared" si="4"/>
        <v>0</v>
      </c>
      <c r="F323" s="139">
        <f t="shared" si="4"/>
        <v>686</v>
      </c>
      <c r="G323" s="136"/>
      <c r="H323" s="139">
        <f t="shared" si="5"/>
        <v>686</v>
      </c>
      <c r="I323" s="133">
        <f t="shared" si="5"/>
        <v>0</v>
      </c>
      <c r="J323" s="139">
        <f t="shared" si="5"/>
        <v>3.91</v>
      </c>
      <c r="K323" s="133">
        <f t="shared" si="5"/>
        <v>0</v>
      </c>
      <c r="L323" s="139">
        <f t="shared" si="5"/>
        <v>614</v>
      </c>
      <c r="M323" s="133">
        <f t="shared" si="5"/>
        <v>0</v>
      </c>
      <c r="N323" s="140">
        <f t="shared" si="5"/>
        <v>1.0899999999999999</v>
      </c>
      <c r="O323" s="133">
        <f t="shared" si="5"/>
        <v>0</v>
      </c>
      <c r="P323" s="140">
        <f t="shared" si="5"/>
        <v>72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906</v>
      </c>
      <c r="G325" s="136"/>
      <c r="H325" s="139">
        <f t="shared" si="5"/>
        <v>906</v>
      </c>
      <c r="I325" s="133">
        <f t="shared" si="5"/>
        <v>0</v>
      </c>
      <c r="J325" s="139">
        <f t="shared" si="5"/>
        <v>6.15</v>
      </c>
      <c r="K325" s="133">
        <f t="shared" si="5"/>
        <v>0</v>
      </c>
      <c r="L325" s="139">
        <f t="shared" si="5"/>
        <v>857</v>
      </c>
      <c r="M325" s="133">
        <f t="shared" si="5"/>
        <v>0</v>
      </c>
      <c r="N325" s="140">
        <f t="shared" si="5"/>
        <v>0.84999999999999964</v>
      </c>
      <c r="O325" s="133">
        <f t="shared" si="5"/>
        <v>0</v>
      </c>
      <c r="P325" s="140">
        <f t="shared" si="5"/>
        <v>49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36.01</v>
      </c>
      <c r="E327" s="200">
        <f t="shared" si="6"/>
        <v>0</v>
      </c>
      <c r="F327" s="199">
        <f t="shared" si="6"/>
        <v>5104</v>
      </c>
      <c r="G327" s="201"/>
      <c r="H327" s="199">
        <f t="shared" ref="H327:Q343" si="7">H22</f>
        <v>5104</v>
      </c>
      <c r="I327" s="200">
        <f t="shared" si="7"/>
        <v>0</v>
      </c>
      <c r="J327" s="199">
        <f t="shared" si="7"/>
        <v>28.800000000000004</v>
      </c>
      <c r="K327" s="200">
        <f t="shared" si="7"/>
        <v>0</v>
      </c>
      <c r="L327" s="199">
        <f t="shared" si="7"/>
        <v>4700</v>
      </c>
      <c r="M327" s="200">
        <f t="shared" si="7"/>
        <v>0</v>
      </c>
      <c r="N327" s="199">
        <f t="shared" si="7"/>
        <v>7.2099999999999991</v>
      </c>
      <c r="O327" s="200">
        <f t="shared" si="7"/>
        <v>0</v>
      </c>
      <c r="P327" s="199">
        <f t="shared" si="7"/>
        <v>404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390.45000000000005</v>
      </c>
      <c r="E329" s="133">
        <f t="shared" si="6"/>
        <v>0</v>
      </c>
      <c r="F329" s="136">
        <f t="shared" si="6"/>
        <v>51231</v>
      </c>
      <c r="G329" s="136"/>
      <c r="H329" s="136">
        <f t="shared" si="7"/>
        <v>51231</v>
      </c>
      <c r="I329" s="133">
        <f t="shared" si="7"/>
        <v>0</v>
      </c>
      <c r="J329" s="136">
        <f t="shared" si="7"/>
        <v>364.04</v>
      </c>
      <c r="K329" s="133">
        <f t="shared" si="7"/>
        <v>0</v>
      </c>
      <c r="L329" s="136">
        <f t="shared" si="7"/>
        <v>53654</v>
      </c>
      <c r="M329" s="133">
        <f t="shared" si="7"/>
        <v>0</v>
      </c>
      <c r="N329" s="137">
        <f t="shared" si="7"/>
        <v>26.410000000000025</v>
      </c>
      <c r="O329" s="133">
        <f t="shared" si="7"/>
        <v>0</v>
      </c>
      <c r="P329" s="137">
        <f t="shared" si="7"/>
        <v>-2423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20.3</v>
      </c>
      <c r="E330" s="133">
        <f t="shared" si="6"/>
        <v>0</v>
      </c>
      <c r="F330" s="139">
        <f t="shared" si="6"/>
        <v>2627</v>
      </c>
      <c r="G330" s="136"/>
      <c r="H330" s="139">
        <f t="shared" si="7"/>
        <v>2627</v>
      </c>
      <c r="I330" s="133">
        <f t="shared" si="7"/>
        <v>0</v>
      </c>
      <c r="J330" s="139">
        <f t="shared" si="7"/>
        <v>16.09</v>
      </c>
      <c r="K330" s="133">
        <f t="shared" si="7"/>
        <v>0</v>
      </c>
      <c r="L330" s="139">
        <f t="shared" si="7"/>
        <v>2385</v>
      </c>
      <c r="M330" s="133">
        <f t="shared" si="7"/>
        <v>0</v>
      </c>
      <c r="N330" s="140">
        <f t="shared" si="7"/>
        <v>4.2100000000000009</v>
      </c>
      <c r="O330" s="133">
        <f t="shared" si="7"/>
        <v>0</v>
      </c>
      <c r="P330" s="140">
        <f t="shared" si="7"/>
        <v>242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570</v>
      </c>
      <c r="G331" s="136"/>
      <c r="H331" s="139">
        <f t="shared" si="7"/>
        <v>570</v>
      </c>
      <c r="I331" s="133">
        <f t="shared" si="7"/>
        <v>0</v>
      </c>
      <c r="J331" s="139">
        <f t="shared" si="7"/>
        <v>2.75</v>
      </c>
      <c r="K331" s="133">
        <f t="shared" si="7"/>
        <v>0</v>
      </c>
      <c r="L331" s="139">
        <f t="shared" si="7"/>
        <v>565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5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54.82</v>
      </c>
      <c r="E332" s="133">
        <f t="shared" si="6"/>
        <v>0</v>
      </c>
      <c r="F332" s="139">
        <f t="shared" si="6"/>
        <v>6565</v>
      </c>
      <c r="G332" s="136"/>
      <c r="H332" s="139">
        <f t="shared" si="7"/>
        <v>6565</v>
      </c>
      <c r="I332" s="133">
        <f t="shared" si="7"/>
        <v>0</v>
      </c>
      <c r="J332" s="139">
        <f t="shared" si="7"/>
        <v>42.59</v>
      </c>
      <c r="K332" s="133">
        <f t="shared" si="7"/>
        <v>0</v>
      </c>
      <c r="L332" s="139">
        <f t="shared" si="7"/>
        <v>6112</v>
      </c>
      <c r="M332" s="133">
        <f t="shared" si="7"/>
        <v>0</v>
      </c>
      <c r="N332" s="140">
        <f t="shared" si="7"/>
        <v>12.229999999999997</v>
      </c>
      <c r="O332" s="133">
        <f t="shared" si="7"/>
        <v>0</v>
      </c>
      <c r="P332" s="140">
        <f t="shared" si="7"/>
        <v>453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468.32000000000005</v>
      </c>
      <c r="E336" s="200">
        <f t="shared" si="6"/>
        <v>0</v>
      </c>
      <c r="F336" s="199">
        <f t="shared" si="6"/>
        <v>60993</v>
      </c>
      <c r="G336" s="201"/>
      <c r="H336" s="199">
        <f t="shared" si="7"/>
        <v>60993</v>
      </c>
      <c r="I336" s="200">
        <f t="shared" si="7"/>
        <v>0</v>
      </c>
      <c r="J336" s="199">
        <f t="shared" si="7"/>
        <v>425.47</v>
      </c>
      <c r="K336" s="200">
        <f t="shared" si="7"/>
        <v>0</v>
      </c>
      <c r="L336" s="199">
        <f t="shared" si="7"/>
        <v>62716</v>
      </c>
      <c r="M336" s="200">
        <f t="shared" si="7"/>
        <v>0</v>
      </c>
      <c r="N336" s="199">
        <f t="shared" si="7"/>
        <v>42.850000000000023</v>
      </c>
      <c r="O336" s="133">
        <f t="shared" si="7"/>
        <v>0</v>
      </c>
      <c r="P336" s="199">
        <f t="shared" si="7"/>
        <v>-1723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0</v>
      </c>
      <c r="G338" s="136"/>
      <c r="H338" s="136">
        <f t="shared" si="7"/>
        <v>0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194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-194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421</v>
      </c>
      <c r="G340" s="136"/>
      <c r="H340" s="139">
        <f t="shared" si="7"/>
        <v>421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396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25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421</v>
      </c>
      <c r="G344" s="201"/>
      <c r="H344" s="199">
        <f t="shared" ref="H344:Q344" si="9">H39</f>
        <v>421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590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-169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24.5</v>
      </c>
      <c r="E346" s="133">
        <f t="shared" si="8"/>
        <v>0</v>
      </c>
      <c r="F346" s="136">
        <f t="shared" si="8"/>
        <v>3848</v>
      </c>
      <c r="G346" s="136"/>
      <c r="H346" s="136">
        <f t="shared" ref="H346:Q346" si="11">H41</f>
        <v>3848</v>
      </c>
      <c r="I346" s="133">
        <f t="shared" si="11"/>
        <v>0</v>
      </c>
      <c r="J346" s="136">
        <f t="shared" si="11"/>
        <v>24.26</v>
      </c>
      <c r="K346" s="133">
        <f t="shared" si="11"/>
        <v>0</v>
      </c>
      <c r="L346" s="136">
        <f t="shared" si="11"/>
        <v>3945</v>
      </c>
      <c r="M346" s="133">
        <f t="shared" si="11"/>
        <v>0</v>
      </c>
      <c r="N346" s="137">
        <f t="shared" si="11"/>
        <v>0.23999999999999844</v>
      </c>
      <c r="O346" s="133">
        <f t="shared" si="11"/>
        <v>0</v>
      </c>
      <c r="P346" s="137">
        <f t="shared" si="11"/>
        <v>-97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571.33000000000004</v>
      </c>
      <c r="E348" s="200">
        <f t="shared" si="8"/>
        <v>0</v>
      </c>
      <c r="F348" s="203">
        <f t="shared" si="8"/>
        <v>79669</v>
      </c>
      <c r="G348" s="204"/>
      <c r="H348" s="203">
        <f t="shared" ref="H348:Q348" si="13">H43</f>
        <v>79669</v>
      </c>
      <c r="I348" s="133">
        <f t="shared" si="13"/>
        <v>0</v>
      </c>
      <c r="J348" s="203">
        <f t="shared" si="13"/>
        <v>511.46000000000004</v>
      </c>
      <c r="K348" s="133">
        <f t="shared" si="13"/>
        <v>0</v>
      </c>
      <c r="L348" s="203">
        <f t="shared" si="13"/>
        <v>80856</v>
      </c>
      <c r="M348" s="133">
        <f t="shared" si="13"/>
        <v>0</v>
      </c>
      <c r="N348" s="203">
        <f t="shared" si="13"/>
        <v>59.870000000000005</v>
      </c>
      <c r="O348" s="133">
        <f t="shared" si="13"/>
        <v>0</v>
      </c>
      <c r="P348" s="203">
        <f t="shared" si="13"/>
        <v>-1187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2018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2018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B305:P305"/>
    <mergeCell ref="D45:H45"/>
    <mergeCell ref="B306:P306"/>
    <mergeCell ref="B307:P307"/>
    <mergeCell ref="D311:F311"/>
    <mergeCell ref="J311:L311"/>
    <mergeCell ref="N311:P311"/>
    <mergeCell ref="J45:N45"/>
    <mergeCell ref="D1:Q1"/>
    <mergeCell ref="D2:Q2"/>
    <mergeCell ref="D3:Q3"/>
    <mergeCell ref="C5:P5"/>
    <mergeCell ref="D6:F6"/>
    <mergeCell ref="J6:L6"/>
    <mergeCell ref="N6:P6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9" t="str">
        <f>GufMevukar</f>
        <v>עיריית באקה אלגרבייה</v>
      </c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1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2" t="s">
        <v>686</v>
      </c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5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9" t="str">
        <f>ReportPeriod</f>
        <v>לתקופה: רבעון 4, שנת 2018</v>
      </c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1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e">
        <f>IF(Y38&lt;&gt;0,"חסר ערך בעמודה תיאור תפקיד","")</f>
        <v>#REF!</v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/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 t="s">
        <v>979</v>
      </c>
      <c r="C8" s="115"/>
      <c r="D8" s="588" t="s">
        <v>984</v>
      </c>
      <c r="E8" s="115"/>
      <c r="F8" s="118">
        <v>5</v>
      </c>
      <c r="G8" s="115"/>
      <c r="H8" s="118">
        <v>6</v>
      </c>
      <c r="I8" s="115"/>
      <c r="J8" s="118">
        <v>436301</v>
      </c>
      <c r="K8" s="115"/>
      <c r="L8" s="118"/>
      <c r="M8" s="115"/>
      <c r="N8" s="118"/>
      <c r="O8" s="115"/>
      <c r="P8" s="118">
        <v>47487</v>
      </c>
      <c r="Q8" s="115"/>
      <c r="R8" s="118">
        <v>17573</v>
      </c>
      <c r="S8" s="115"/>
      <c r="T8" s="119">
        <f t="shared" ref="T8:T37" si="0">J8+L8+N8+P8+R8</f>
        <v>501361</v>
      </c>
      <c r="U8" s="115"/>
      <c r="V8" s="118">
        <v>181918</v>
      </c>
      <c r="W8" s="115"/>
      <c r="X8" s="119">
        <f t="shared" ref="X8:X37" si="1">V8+T8</f>
        <v>683279</v>
      </c>
      <c r="Y8" s="107">
        <f t="shared" ref="Y8:Y37" si="2">IF(AND($B8=0,OR($J8&lt;&gt;0,$L8&lt;&gt;0,$N8&lt;&gt;0,$P8&lt;&gt;0,$R8&lt;&gt;0,$V8&lt;&gt;0)),1,0)</f>
        <v>0</v>
      </c>
      <c r="Z8" s="107">
        <f t="shared" ref="Z8:Z36" si="3">IF(X8 &lt;&gt;0,X8,"")</f>
        <v>683279</v>
      </c>
      <c r="AA8" s="116"/>
      <c r="AB8" s="111"/>
    </row>
    <row r="9" spans="1:28" x14ac:dyDescent="0.2">
      <c r="A9" s="110"/>
      <c r="B9" s="150" t="s">
        <v>980</v>
      </c>
      <c r="C9" s="115"/>
      <c r="D9" s="588" t="s">
        <v>985</v>
      </c>
      <c r="E9" s="115"/>
      <c r="F9" s="118">
        <v>5</v>
      </c>
      <c r="G9" s="115"/>
      <c r="H9" s="586">
        <v>4</v>
      </c>
      <c r="I9" s="115"/>
      <c r="J9" s="118">
        <v>311838</v>
      </c>
      <c r="K9" s="115"/>
      <c r="L9" s="118"/>
      <c r="M9" s="115"/>
      <c r="N9" s="118"/>
      <c r="O9" s="115"/>
      <c r="P9" s="118">
        <v>41467</v>
      </c>
      <c r="Q9" s="115"/>
      <c r="R9" s="118">
        <v>29163</v>
      </c>
      <c r="S9" s="115"/>
      <c r="T9" s="119">
        <f t="shared" si="0"/>
        <v>382468</v>
      </c>
      <c r="U9" s="115"/>
      <c r="V9" s="118">
        <v>157599</v>
      </c>
      <c r="W9" s="115"/>
      <c r="X9" s="119">
        <f t="shared" si="1"/>
        <v>540067</v>
      </c>
      <c r="Y9" s="107" t="e">
        <f>IF(AND(#REF!=0,OR($J9&lt;&gt;0,$L9&lt;&gt;0,$N9&lt;&gt;0,$P9&lt;&gt;0,$R9&lt;&gt;0,$V9&lt;&gt;0)),1,0)</f>
        <v>#REF!</v>
      </c>
      <c r="Z9" s="107">
        <f t="shared" si="3"/>
        <v>540067</v>
      </c>
      <c r="AA9" s="116"/>
      <c r="AB9" s="111"/>
    </row>
    <row r="10" spans="1:28" x14ac:dyDescent="0.2">
      <c r="A10" s="110"/>
      <c r="B10" s="152" t="s">
        <v>982</v>
      </c>
      <c r="C10" s="115"/>
      <c r="D10" s="588" t="s">
        <v>987</v>
      </c>
      <c r="E10" s="115"/>
      <c r="F10" s="118">
        <v>41</v>
      </c>
      <c r="G10" s="115"/>
      <c r="H10" s="118">
        <v>1</v>
      </c>
      <c r="I10" s="115"/>
      <c r="J10" s="118">
        <v>88445</v>
      </c>
      <c r="K10" s="115"/>
      <c r="L10" s="118">
        <v>115735</v>
      </c>
      <c r="M10" s="115"/>
      <c r="N10" s="118"/>
      <c r="O10" s="115"/>
      <c r="P10" s="118">
        <v>25415</v>
      </c>
      <c r="Q10" s="115"/>
      <c r="R10" s="118">
        <v>78191</v>
      </c>
      <c r="S10" s="115"/>
      <c r="T10" s="119">
        <f t="shared" si="0"/>
        <v>307786</v>
      </c>
      <c r="U10" s="115"/>
      <c r="V10" s="118">
        <v>107331</v>
      </c>
      <c r="W10" s="115"/>
      <c r="X10" s="119">
        <f t="shared" si="1"/>
        <v>415117</v>
      </c>
      <c r="Y10" s="107" t="e">
        <f>IF(AND(#REF!=0,OR($J10&lt;&gt;0,$L10&lt;&gt;0,$N10&lt;&gt;0,$P10&lt;&gt;0,$R10&lt;&gt;0,$V10&lt;&gt;0)),1,0)</f>
        <v>#REF!</v>
      </c>
      <c r="Z10" s="107">
        <f t="shared" si="3"/>
        <v>415117</v>
      </c>
      <c r="AA10" s="116"/>
      <c r="AB10" s="111"/>
    </row>
    <row r="11" spans="1:28" x14ac:dyDescent="0.2">
      <c r="A11" s="110"/>
      <c r="B11" s="152" t="s">
        <v>981</v>
      </c>
      <c r="C11" s="115"/>
      <c r="D11" s="588" t="s">
        <v>986</v>
      </c>
      <c r="E11" s="115"/>
      <c r="F11" s="118">
        <v>5</v>
      </c>
      <c r="G11" s="115"/>
      <c r="H11" s="118">
        <v>4</v>
      </c>
      <c r="I11" s="115"/>
      <c r="J11" s="177">
        <v>256082</v>
      </c>
      <c r="K11" s="115"/>
      <c r="L11" s="177"/>
      <c r="M11" s="115"/>
      <c r="N11" s="177"/>
      <c r="O11" s="115"/>
      <c r="P11" s="177">
        <v>39262</v>
      </c>
      <c r="Q11" s="115"/>
      <c r="R11" s="177">
        <v>21547</v>
      </c>
      <c r="S11" s="115"/>
      <c r="T11" s="119">
        <f t="shared" si="0"/>
        <v>316891</v>
      </c>
      <c r="U11" s="115"/>
      <c r="V11" s="118">
        <v>109224</v>
      </c>
      <c r="W11" s="115"/>
      <c r="X11" s="119">
        <f t="shared" si="1"/>
        <v>426115</v>
      </c>
      <c r="Y11" s="107">
        <f>IF(AND($B9=0,OR($J11&lt;&gt;0,$L11&lt;&gt;0,$N11&lt;&gt;0,$P11&lt;&gt;0,$R11&lt;&gt;0,$V11&lt;&gt;0)),1,0)</f>
        <v>0</v>
      </c>
      <c r="Z11" s="107">
        <f t="shared" si="3"/>
        <v>426115</v>
      </c>
      <c r="AA11" s="116"/>
      <c r="AB11" s="111"/>
    </row>
    <row r="12" spans="1:28" x14ac:dyDescent="0.2">
      <c r="A12" s="110"/>
      <c r="B12" s="152" t="s">
        <v>982</v>
      </c>
      <c r="C12" s="115"/>
      <c r="D12" s="588">
        <v>57618969</v>
      </c>
      <c r="E12" s="115"/>
      <c r="F12" s="118">
        <v>31</v>
      </c>
      <c r="G12" s="115"/>
      <c r="H12" s="118">
        <v>7</v>
      </c>
      <c r="I12" s="115"/>
      <c r="J12" s="118">
        <v>134255</v>
      </c>
      <c r="K12" s="115"/>
      <c r="L12" s="118">
        <v>7200</v>
      </c>
      <c r="M12" s="115"/>
      <c r="N12" s="118">
        <v>12508</v>
      </c>
      <c r="O12" s="115"/>
      <c r="P12" s="118">
        <v>17457</v>
      </c>
      <c r="Q12" s="115"/>
      <c r="R12" s="118">
        <v>128952</v>
      </c>
      <c r="S12" s="115"/>
      <c r="T12" s="119">
        <f t="shared" si="0"/>
        <v>300372</v>
      </c>
      <c r="U12" s="115"/>
      <c r="V12" s="118">
        <v>64329</v>
      </c>
      <c r="W12" s="115"/>
      <c r="X12" s="119">
        <f t="shared" si="1"/>
        <v>364701</v>
      </c>
      <c r="Y12" s="107">
        <f>IF(AND($B11=0,OR($J12&lt;&gt;0,$L12&lt;&gt;0,$N12&lt;&gt;0,$P12&lt;&gt;0,$R12&lt;&gt;0,$V12&lt;&gt;0)),1,0)</f>
        <v>0</v>
      </c>
      <c r="Z12" s="107">
        <f t="shared" si="3"/>
        <v>364701</v>
      </c>
      <c r="AA12" s="116"/>
      <c r="AB12" s="111"/>
    </row>
    <row r="13" spans="1:28" x14ac:dyDescent="0.2">
      <c r="A13" s="110"/>
      <c r="B13" s="152" t="s">
        <v>983</v>
      </c>
      <c r="C13" s="115"/>
      <c r="D13" s="588" t="s">
        <v>988</v>
      </c>
      <c r="E13" s="115"/>
      <c r="F13" s="118">
        <v>5</v>
      </c>
      <c r="G13" s="115"/>
      <c r="H13" s="118">
        <v>4</v>
      </c>
      <c r="I13" s="115"/>
      <c r="J13" s="118">
        <v>240839</v>
      </c>
      <c r="K13" s="115"/>
      <c r="L13" s="118"/>
      <c r="M13" s="115"/>
      <c r="N13" s="118"/>
      <c r="O13" s="115"/>
      <c r="P13" s="118">
        <v>47326</v>
      </c>
      <c r="Q13" s="115"/>
      <c r="R13" s="118">
        <v>22565</v>
      </c>
      <c r="S13" s="115"/>
      <c r="T13" s="119">
        <f t="shared" si="0"/>
        <v>310730</v>
      </c>
      <c r="U13" s="115"/>
      <c r="V13" s="118">
        <v>68192</v>
      </c>
      <c r="W13" s="115"/>
      <c r="X13" s="119">
        <f t="shared" si="1"/>
        <v>378922</v>
      </c>
      <c r="Y13" s="107">
        <f>IF(AND($B10=0,OR($J13&lt;&gt;0,$L13&lt;&gt;0,$N13&lt;&gt;0,$P13&lt;&gt;0,$R13&lt;&gt;0,$V13&lt;&gt;0)),1,0)</f>
        <v>0</v>
      </c>
      <c r="Z13" s="107">
        <f t="shared" si="3"/>
        <v>378922</v>
      </c>
      <c r="AA13" s="116"/>
      <c r="AB13" s="111"/>
    </row>
    <row r="14" spans="1:28" x14ac:dyDescent="0.2">
      <c r="A14" s="110"/>
      <c r="B14" s="152" t="s">
        <v>991</v>
      </c>
      <c r="C14" s="115"/>
      <c r="D14" s="588">
        <v>33428806</v>
      </c>
      <c r="E14" s="115"/>
      <c r="F14" s="118">
        <v>41</v>
      </c>
      <c r="G14" s="115"/>
      <c r="H14" s="118">
        <v>1</v>
      </c>
      <c r="I14" s="115"/>
      <c r="J14" s="118">
        <v>68231</v>
      </c>
      <c r="K14" s="115"/>
      <c r="L14" s="118">
        <v>145501</v>
      </c>
      <c r="M14" s="115"/>
      <c r="N14" s="118"/>
      <c r="O14" s="115"/>
      <c r="P14" s="118">
        <v>12255</v>
      </c>
      <c r="Q14" s="115"/>
      <c r="R14" s="118">
        <v>57318</v>
      </c>
      <c r="S14" s="115"/>
      <c r="T14" s="119">
        <f t="shared" si="0"/>
        <v>283305</v>
      </c>
      <c r="U14" s="115"/>
      <c r="V14" s="118">
        <v>95956</v>
      </c>
      <c r="W14" s="115"/>
      <c r="X14" s="119">
        <f t="shared" si="1"/>
        <v>379261</v>
      </c>
      <c r="Y14" s="107">
        <f>IF(AND($B13=0,OR($J14&lt;&gt;0,$L14&lt;&gt;0,$N14&lt;&gt;0,$P14&lt;&gt;0,$R14&lt;&gt;0,$V14&lt;&gt;0)),1,0)</f>
        <v>0</v>
      </c>
      <c r="Z14" s="107">
        <f t="shared" si="3"/>
        <v>379261</v>
      </c>
      <c r="AA14" s="116"/>
      <c r="AB14" s="111"/>
    </row>
    <row r="15" spans="1:28" x14ac:dyDescent="0.2">
      <c r="A15" s="110"/>
      <c r="B15" s="152" t="s">
        <v>982</v>
      </c>
      <c r="C15" s="115"/>
      <c r="D15" s="588">
        <v>55774582</v>
      </c>
      <c r="E15" s="115"/>
      <c r="F15" s="118">
        <v>41</v>
      </c>
      <c r="G15" s="115"/>
      <c r="H15" s="118">
        <v>1</v>
      </c>
      <c r="I15" s="115"/>
      <c r="J15" s="118">
        <v>104888</v>
      </c>
      <c r="K15" s="115"/>
      <c r="L15" s="118">
        <v>80096</v>
      </c>
      <c r="M15" s="115"/>
      <c r="N15" s="118"/>
      <c r="O15" s="115"/>
      <c r="P15" s="118">
        <v>2417</v>
      </c>
      <c r="Q15" s="115"/>
      <c r="R15" s="118">
        <v>75974</v>
      </c>
      <c r="S15" s="115"/>
      <c r="T15" s="119">
        <f t="shared" si="0"/>
        <v>263375</v>
      </c>
      <c r="U15" s="115"/>
      <c r="V15" s="118">
        <v>95590</v>
      </c>
      <c r="W15" s="115"/>
      <c r="X15" s="119">
        <f t="shared" si="1"/>
        <v>358965</v>
      </c>
      <c r="Y15" s="107">
        <f>IF(AND($B17=0,OR($J15&lt;&gt;0,$L15&lt;&gt;0,$N15&lt;&gt;0,$P15&lt;&gt;0,$R15&lt;&gt;0,$V15&lt;&gt;0)),1,0)</f>
        <v>0</v>
      </c>
      <c r="Z15" s="107">
        <f t="shared" si="3"/>
        <v>358965</v>
      </c>
      <c r="AA15" s="116"/>
      <c r="AB15" s="111"/>
    </row>
    <row r="16" spans="1:28" x14ac:dyDescent="0.2">
      <c r="A16" s="110"/>
      <c r="B16" s="152" t="s">
        <v>982</v>
      </c>
      <c r="C16" s="115"/>
      <c r="D16" s="588" t="s">
        <v>990</v>
      </c>
      <c r="E16" s="115"/>
      <c r="F16" s="118">
        <v>41</v>
      </c>
      <c r="G16" s="115"/>
      <c r="H16" s="118">
        <v>1</v>
      </c>
      <c r="I16" s="115"/>
      <c r="J16" s="118">
        <v>102067</v>
      </c>
      <c r="K16" s="115"/>
      <c r="L16" s="177">
        <v>87013</v>
      </c>
      <c r="M16" s="115"/>
      <c r="N16" s="118"/>
      <c r="O16" s="115"/>
      <c r="P16" s="118">
        <v>12153</v>
      </c>
      <c r="Q16" s="115"/>
      <c r="R16" s="118">
        <v>67592</v>
      </c>
      <c r="S16" s="115"/>
      <c r="T16" s="119">
        <f t="shared" si="0"/>
        <v>268825</v>
      </c>
      <c r="U16" s="115"/>
      <c r="V16" s="118">
        <v>93475</v>
      </c>
      <c r="W16" s="115"/>
      <c r="X16" s="119">
        <f t="shared" si="1"/>
        <v>362300</v>
      </c>
      <c r="Y16" s="107">
        <f>IF(AND($B16=0,OR($J16&lt;&gt;0,$L16&lt;&gt;0,$N16&lt;&gt;0,$P16&lt;&gt;0,$R16&lt;&gt;0,$V16&lt;&gt;0)),1,0)</f>
        <v>0</v>
      </c>
      <c r="Z16" s="107">
        <f t="shared" si="3"/>
        <v>362300</v>
      </c>
      <c r="AA16" s="116"/>
      <c r="AB16" s="111"/>
    </row>
    <row r="17" spans="1:28" x14ac:dyDescent="0.2">
      <c r="A17" s="110"/>
      <c r="B17" s="152" t="s">
        <v>982</v>
      </c>
      <c r="C17" s="115"/>
      <c r="D17" s="588" t="s">
        <v>989</v>
      </c>
      <c r="E17" s="115"/>
      <c r="F17" s="118">
        <v>41</v>
      </c>
      <c r="G17" s="115"/>
      <c r="H17" s="118">
        <v>1</v>
      </c>
      <c r="I17" s="115"/>
      <c r="J17" s="118">
        <v>91747</v>
      </c>
      <c r="K17" s="115"/>
      <c r="L17" s="118">
        <v>120748</v>
      </c>
      <c r="M17" s="115"/>
      <c r="N17" s="118"/>
      <c r="O17" s="115"/>
      <c r="P17" s="118">
        <v>3471</v>
      </c>
      <c r="Q17" s="115"/>
      <c r="R17" s="118">
        <v>49102</v>
      </c>
      <c r="S17" s="115"/>
      <c r="T17" s="119">
        <f t="shared" si="0"/>
        <v>265068</v>
      </c>
      <c r="U17" s="115"/>
      <c r="V17" s="118">
        <v>95200</v>
      </c>
      <c r="W17" s="115"/>
      <c r="X17" s="119">
        <f t="shared" si="1"/>
        <v>360268</v>
      </c>
      <c r="Y17" s="107">
        <f>IF(AND($B21=0,OR($J17&lt;&gt;0,$L17&lt;&gt;0,$N17&lt;&gt;0,$P17&lt;&gt;0,$R17&lt;&gt;0,$V17&lt;&gt;0)),1,0)</f>
        <v>0</v>
      </c>
      <c r="Z17" s="107">
        <f t="shared" si="3"/>
        <v>360268</v>
      </c>
      <c r="AA17" s="116"/>
      <c r="AB17" s="111"/>
    </row>
    <row r="18" spans="1:28" x14ac:dyDescent="0.2">
      <c r="A18" s="110"/>
      <c r="B18" s="152" t="s">
        <v>991</v>
      </c>
      <c r="C18" s="115"/>
      <c r="D18" s="588" t="s">
        <v>992</v>
      </c>
      <c r="E18" s="115"/>
      <c r="F18" s="118">
        <v>90</v>
      </c>
      <c r="G18" s="115"/>
      <c r="H18" s="118"/>
      <c r="I18" s="115"/>
      <c r="J18" s="118">
        <v>155166</v>
      </c>
      <c r="K18" s="115"/>
      <c r="L18" s="118"/>
      <c r="M18" s="115"/>
      <c r="N18" s="118">
        <v>70477</v>
      </c>
      <c r="O18" s="115"/>
      <c r="P18" s="118">
        <v>34264</v>
      </c>
      <c r="Q18" s="115"/>
      <c r="R18" s="118">
        <v>17488</v>
      </c>
      <c r="S18" s="115"/>
      <c r="T18" s="119">
        <f t="shared" si="0"/>
        <v>277395</v>
      </c>
      <c r="U18" s="115"/>
      <c r="V18" s="118">
        <v>87655</v>
      </c>
      <c r="W18" s="115"/>
      <c r="X18" s="119">
        <f t="shared" si="1"/>
        <v>365050</v>
      </c>
      <c r="Y18" s="107">
        <f t="shared" si="2"/>
        <v>0</v>
      </c>
      <c r="Z18" s="107">
        <f t="shared" si="3"/>
        <v>365050</v>
      </c>
      <c r="AA18" s="116"/>
      <c r="AB18" s="111"/>
    </row>
    <row r="19" spans="1:28" x14ac:dyDescent="0.2">
      <c r="A19" s="110"/>
      <c r="B19" s="152" t="s">
        <v>982</v>
      </c>
      <c r="C19" s="115"/>
      <c r="D19" s="588">
        <v>53785762</v>
      </c>
      <c r="E19" s="115"/>
      <c r="F19" s="118">
        <v>41</v>
      </c>
      <c r="G19" s="115"/>
      <c r="H19" s="118">
        <v>1</v>
      </c>
      <c r="I19" s="115"/>
      <c r="J19" s="118">
        <v>105339</v>
      </c>
      <c r="K19" s="115"/>
      <c r="L19" s="118">
        <v>79579</v>
      </c>
      <c r="M19" s="115"/>
      <c r="N19" s="118"/>
      <c r="O19" s="115"/>
      <c r="P19" s="118">
        <v>3203</v>
      </c>
      <c r="Q19" s="115"/>
      <c r="R19" s="118">
        <v>66239</v>
      </c>
      <c r="S19" s="115"/>
      <c r="T19" s="119">
        <f t="shared" si="0"/>
        <v>254360</v>
      </c>
      <c r="U19" s="115"/>
      <c r="V19" s="118">
        <v>89385</v>
      </c>
      <c r="W19" s="115"/>
      <c r="X19" s="119">
        <f t="shared" si="1"/>
        <v>343745</v>
      </c>
      <c r="Y19" s="107" t="e">
        <f>IF(AND(#REF!=0,OR($J19&lt;&gt;0,$L19&lt;&gt;0,$N19&lt;&gt;0,$P19&lt;&gt;0,$R19&lt;&gt;0,$V19&lt;&gt;0)),1,0)</f>
        <v>#REF!</v>
      </c>
      <c r="Z19" s="107">
        <f t="shared" si="3"/>
        <v>343745</v>
      </c>
      <c r="AA19" s="116"/>
      <c r="AB19" s="111"/>
    </row>
    <row r="20" spans="1:28" x14ac:dyDescent="0.2">
      <c r="A20" s="110"/>
      <c r="B20" s="152" t="s">
        <v>982</v>
      </c>
      <c r="C20" s="115"/>
      <c r="D20" s="588">
        <v>59897595</v>
      </c>
      <c r="E20" s="115"/>
      <c r="F20" s="118">
        <v>41</v>
      </c>
      <c r="G20" s="115"/>
      <c r="H20" s="118">
        <v>1</v>
      </c>
      <c r="I20" s="115"/>
      <c r="J20" s="177">
        <v>95157</v>
      </c>
      <c r="K20" s="115"/>
      <c r="L20" s="118">
        <v>91866</v>
      </c>
      <c r="M20" s="115"/>
      <c r="N20" s="118"/>
      <c r="O20" s="115"/>
      <c r="P20" s="118">
        <v>12173</v>
      </c>
      <c r="Q20" s="115"/>
      <c r="R20" s="118">
        <v>61357</v>
      </c>
      <c r="S20" s="115"/>
      <c r="T20" s="119">
        <f t="shared" si="0"/>
        <v>260553</v>
      </c>
      <c r="U20" s="115"/>
      <c r="V20" s="118">
        <v>89609</v>
      </c>
      <c r="W20" s="115"/>
      <c r="X20" s="119">
        <f t="shared" si="1"/>
        <v>350162</v>
      </c>
      <c r="Y20" s="107" t="e">
        <f>IF(AND(#REF!=0,OR($J20&lt;&gt;0,$L20&lt;&gt;0,$N20&lt;&gt;0,$P20&lt;&gt;0,$R20&lt;&gt;0,$V20&lt;&gt;0)),1,0)</f>
        <v>#REF!</v>
      </c>
      <c r="Z20" s="107">
        <f t="shared" si="3"/>
        <v>350162</v>
      </c>
      <c r="AA20" s="116"/>
      <c r="AB20" s="111"/>
    </row>
    <row r="21" spans="1:28" x14ac:dyDescent="0.2">
      <c r="A21" s="110"/>
      <c r="B21" s="152" t="s">
        <v>991</v>
      </c>
      <c r="C21" s="115"/>
      <c r="D21" s="588" t="s">
        <v>993</v>
      </c>
      <c r="E21" s="115"/>
      <c r="F21" s="118">
        <v>24</v>
      </c>
      <c r="G21" s="115"/>
      <c r="H21" s="118">
        <v>3</v>
      </c>
      <c r="I21" s="115"/>
      <c r="J21" s="118">
        <v>102087</v>
      </c>
      <c r="K21" s="115"/>
      <c r="L21" s="118">
        <v>37634</v>
      </c>
      <c r="M21" s="115"/>
      <c r="N21" s="118">
        <v>36433</v>
      </c>
      <c r="O21" s="115"/>
      <c r="P21" s="118">
        <v>32089</v>
      </c>
      <c r="Q21" s="115"/>
      <c r="R21" s="118">
        <v>62545</v>
      </c>
      <c r="S21" s="115"/>
      <c r="T21" s="119">
        <f t="shared" si="0"/>
        <v>270788</v>
      </c>
      <c r="U21" s="115"/>
      <c r="V21" s="118">
        <v>56249</v>
      </c>
      <c r="W21" s="115"/>
      <c r="X21" s="119">
        <f t="shared" si="1"/>
        <v>327037</v>
      </c>
      <c r="Y21" s="107" t="e">
        <f>IF(AND(#REF!=0,OR($J21&lt;&gt;0,$L21&lt;&gt;0,$N21&lt;&gt;0,$P21&lt;&gt;0,$R21&lt;&gt;0,$V21&lt;&gt;0)),1,0)</f>
        <v>#REF!</v>
      </c>
      <c r="Z21" s="107">
        <f t="shared" si="3"/>
        <v>327037</v>
      </c>
      <c r="AA21" s="116"/>
      <c r="AB21" s="111"/>
    </row>
    <row r="22" spans="1:28" x14ac:dyDescent="0.2">
      <c r="A22" s="110"/>
      <c r="B22" s="152"/>
      <c r="C22" s="115"/>
      <c r="D22" s="588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 t="e">
        <f>SUM(Y7:Y37)</f>
        <v>#REF!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14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3" t="str">
        <f>J1</f>
        <v>עיריית באקה אלגרבייה</v>
      </c>
      <c r="C299" s="643"/>
      <c r="D299" s="643"/>
      <c r="E299" s="643"/>
      <c r="F299" s="643"/>
      <c r="G299" s="643"/>
      <c r="H299" s="643"/>
      <c r="I299" s="643"/>
      <c r="J299" s="643"/>
      <c r="K299" s="643"/>
      <c r="L299" s="643"/>
      <c r="M299" s="643"/>
      <c r="N299" s="643"/>
      <c r="O299" s="643"/>
      <c r="P299" s="643"/>
      <c r="Q299" s="643"/>
      <c r="R299" s="643"/>
      <c r="S299" s="643"/>
      <c r="T299" s="643"/>
      <c r="U299" s="643"/>
      <c r="V299" s="643"/>
      <c r="W299" s="643"/>
      <c r="X299" s="643"/>
    </row>
    <row r="300" spans="2:24" ht="12.75" customHeight="1" x14ac:dyDescent="0.2">
      <c r="B300" s="643" t="str">
        <f>J2</f>
        <v>דוח בעלי השכר הגבוה</v>
      </c>
      <c r="C300" s="643"/>
      <c r="D300" s="643"/>
      <c r="E300" s="643"/>
      <c r="F300" s="643"/>
      <c r="G300" s="643"/>
      <c r="H300" s="643"/>
      <c r="I300" s="643"/>
      <c r="J300" s="643"/>
      <c r="K300" s="643"/>
      <c r="L300" s="643"/>
      <c r="M300" s="643"/>
      <c r="N300" s="643"/>
      <c r="O300" s="643"/>
      <c r="P300" s="643"/>
      <c r="Q300" s="643"/>
      <c r="R300" s="643"/>
      <c r="S300" s="643"/>
      <c r="T300" s="643"/>
      <c r="U300" s="643"/>
      <c r="V300" s="643"/>
      <c r="W300" s="643"/>
      <c r="X300" s="643"/>
    </row>
    <row r="301" spans="2:24" ht="18" x14ac:dyDescent="0.2">
      <c r="B301" s="643" t="str">
        <f>J3</f>
        <v>לתקופה: רבעון 4, שנת 2018</v>
      </c>
      <c r="C301" s="643"/>
      <c r="D301" s="643"/>
      <c r="E301" s="643"/>
      <c r="F301" s="643"/>
      <c r="G301" s="643"/>
      <c r="H301" s="643"/>
      <c r="I301" s="643"/>
      <c r="J301" s="643"/>
      <c r="K301" s="643"/>
      <c r="L301" s="643"/>
      <c r="M301" s="643"/>
      <c r="N301" s="643"/>
      <c r="O301" s="643"/>
      <c r="P301" s="643"/>
      <c r="Q301" s="643"/>
      <c r="R301" s="643"/>
      <c r="S301" s="643"/>
      <c r="T301" s="643"/>
      <c r="U301" s="643"/>
      <c r="V301" s="643"/>
      <c r="W301" s="643"/>
      <c r="X301" s="643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>
        <f t="shared" si="4"/>
        <v>683279</v>
      </c>
      <c r="AA306" s="134">
        <f t="shared" si="4"/>
        <v>0</v>
      </c>
    </row>
    <row r="307" spans="2:27" s="488" customFormat="1" x14ac:dyDescent="0.2">
      <c r="B307" s="142" t="str">
        <f t="shared" si="5"/>
        <v>יועץ משפטי</v>
      </c>
      <c r="C307" s="133">
        <f t="shared" si="5"/>
        <v>0</v>
      </c>
      <c r="D307" s="183" t="str">
        <f t="shared" si="6"/>
        <v>23382369</v>
      </c>
      <c r="E307" s="133">
        <f t="shared" si="6"/>
        <v>0</v>
      </c>
      <c r="F307" s="183">
        <f t="shared" si="5"/>
        <v>5</v>
      </c>
      <c r="G307" s="133">
        <f t="shared" si="5"/>
        <v>0</v>
      </c>
      <c r="H307" s="183">
        <f t="shared" si="5"/>
        <v>6</v>
      </c>
      <c r="I307" s="133">
        <f t="shared" si="5"/>
        <v>0</v>
      </c>
      <c r="J307" s="183">
        <f t="shared" si="5"/>
        <v>436301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47487</v>
      </c>
      <c r="Q307" s="133">
        <f t="shared" si="5"/>
        <v>0</v>
      </c>
      <c r="R307" s="183">
        <f t="shared" si="5"/>
        <v>17573</v>
      </c>
      <c r="S307" s="133">
        <f t="shared" si="5"/>
        <v>0</v>
      </c>
      <c r="T307" s="137">
        <f t="shared" si="5"/>
        <v>501361</v>
      </c>
      <c r="U307" s="133">
        <f t="shared" si="5"/>
        <v>0</v>
      </c>
      <c r="V307" s="183">
        <f t="shared" si="5"/>
        <v>181918</v>
      </c>
      <c r="W307" s="133">
        <f t="shared" si="5"/>
        <v>0</v>
      </c>
      <c r="X307" s="137">
        <f t="shared" si="5"/>
        <v>683279</v>
      </c>
      <c r="Y307" s="182" t="e">
        <f t="shared" si="4"/>
        <v>#REF!</v>
      </c>
      <c r="Z307" s="182">
        <f t="shared" si="4"/>
        <v>540067</v>
      </c>
      <c r="AA307" s="134">
        <f t="shared" si="4"/>
        <v>0</v>
      </c>
    </row>
    <row r="308" spans="2:27" x14ac:dyDescent="0.2">
      <c r="B308" s="142" t="e">
        <f>#REF!</f>
        <v>#REF!</v>
      </c>
      <c r="C308" s="133">
        <f t="shared" si="5"/>
        <v>0</v>
      </c>
      <c r="D308" s="184" t="e">
        <f>#REF!</f>
        <v>#REF!</v>
      </c>
      <c r="E308" s="133">
        <f t="shared" si="6"/>
        <v>0</v>
      </c>
      <c r="F308" s="184" t="e">
        <f>#REF!</f>
        <v>#REF!</v>
      </c>
      <c r="G308" s="133">
        <f t="shared" si="5"/>
        <v>0</v>
      </c>
      <c r="H308" s="184" t="e">
        <f>#REF!</f>
        <v>#REF!</v>
      </c>
      <c r="I308" s="133">
        <f t="shared" si="5"/>
        <v>0</v>
      </c>
      <c r="J308" s="184">
        <f t="shared" si="5"/>
        <v>311838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41467</v>
      </c>
      <c r="Q308" s="133">
        <f t="shared" si="5"/>
        <v>0</v>
      </c>
      <c r="R308" s="184">
        <f t="shared" si="5"/>
        <v>29163</v>
      </c>
      <c r="S308" s="133">
        <f t="shared" si="5"/>
        <v>0</v>
      </c>
      <c r="T308" s="140">
        <f t="shared" si="5"/>
        <v>382468</v>
      </c>
      <c r="U308" s="133">
        <f t="shared" si="5"/>
        <v>0</v>
      </c>
      <c r="V308" s="184">
        <f t="shared" si="5"/>
        <v>157599</v>
      </c>
      <c r="W308" s="133">
        <f t="shared" si="5"/>
        <v>0</v>
      </c>
      <c r="X308" s="140">
        <f t="shared" si="5"/>
        <v>540067</v>
      </c>
      <c r="Y308" s="182" t="e">
        <f t="shared" si="4"/>
        <v>#REF!</v>
      </c>
      <c r="Z308" s="182">
        <f t="shared" si="4"/>
        <v>415117</v>
      </c>
      <c r="AA308" s="134">
        <f t="shared" si="4"/>
        <v>0</v>
      </c>
    </row>
    <row r="309" spans="2:27" x14ac:dyDescent="0.2">
      <c r="B309" s="142" t="e">
        <f>#REF!</f>
        <v>#REF!</v>
      </c>
      <c r="C309" s="133">
        <f t="shared" si="5"/>
        <v>0</v>
      </c>
      <c r="D309" s="184" t="e">
        <f>#REF!</f>
        <v>#REF!</v>
      </c>
      <c r="E309" s="133">
        <f t="shared" si="6"/>
        <v>0</v>
      </c>
      <c r="F309" s="184" t="e">
        <f>#REF!</f>
        <v>#REF!</v>
      </c>
      <c r="G309" s="133">
        <f t="shared" si="5"/>
        <v>0</v>
      </c>
      <c r="H309" s="184">
        <f t="shared" si="5"/>
        <v>1</v>
      </c>
      <c r="I309" s="133">
        <f t="shared" si="5"/>
        <v>0</v>
      </c>
      <c r="J309" s="184">
        <f t="shared" si="5"/>
        <v>88445</v>
      </c>
      <c r="K309" s="133">
        <f t="shared" si="5"/>
        <v>0</v>
      </c>
      <c r="L309" s="184">
        <f t="shared" si="5"/>
        <v>115735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25415</v>
      </c>
      <c r="Q309" s="133">
        <f t="shared" si="5"/>
        <v>0</v>
      </c>
      <c r="R309" s="184">
        <f t="shared" si="5"/>
        <v>78191</v>
      </c>
      <c r="S309" s="133">
        <f t="shared" si="5"/>
        <v>0</v>
      </c>
      <c r="T309" s="140">
        <f t="shared" si="5"/>
        <v>307786</v>
      </c>
      <c r="U309" s="133">
        <f t="shared" si="5"/>
        <v>0</v>
      </c>
      <c r="V309" s="184">
        <f t="shared" si="5"/>
        <v>107331</v>
      </c>
      <c r="W309" s="133">
        <f t="shared" si="5"/>
        <v>0</v>
      </c>
      <c r="X309" s="140">
        <f t="shared" si="5"/>
        <v>415117</v>
      </c>
      <c r="Y309" s="182">
        <f t="shared" si="4"/>
        <v>0</v>
      </c>
      <c r="Z309" s="182">
        <f t="shared" si="4"/>
        <v>426115</v>
      </c>
      <c r="AA309" s="134">
        <f t="shared" si="4"/>
        <v>0</v>
      </c>
    </row>
    <row r="310" spans="2:27" x14ac:dyDescent="0.2">
      <c r="B310" s="132" t="str">
        <f>B9</f>
        <v>מהנדס</v>
      </c>
      <c r="C310" s="133">
        <f t="shared" si="5"/>
        <v>0</v>
      </c>
      <c r="D310" s="184" t="str">
        <f>D9</f>
        <v>23423411</v>
      </c>
      <c r="E310" s="133">
        <f t="shared" si="6"/>
        <v>0</v>
      </c>
      <c r="F310" s="184">
        <f>F9</f>
        <v>5</v>
      </c>
      <c r="G310" s="133">
        <f t="shared" si="5"/>
        <v>0</v>
      </c>
      <c r="H310" s="184">
        <f>H9</f>
        <v>4</v>
      </c>
      <c r="I310" s="133">
        <f t="shared" si="5"/>
        <v>0</v>
      </c>
      <c r="J310" s="184">
        <f t="shared" si="5"/>
        <v>256082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39262</v>
      </c>
      <c r="Q310" s="133">
        <f t="shared" si="5"/>
        <v>0</v>
      </c>
      <c r="R310" s="184">
        <f t="shared" si="5"/>
        <v>21547</v>
      </c>
      <c r="S310" s="133">
        <f t="shared" si="5"/>
        <v>0</v>
      </c>
      <c r="T310" s="140">
        <f t="shared" si="5"/>
        <v>316891</v>
      </c>
      <c r="U310" s="133">
        <f t="shared" si="5"/>
        <v>0</v>
      </c>
      <c r="V310" s="184">
        <f t="shared" si="5"/>
        <v>109224</v>
      </c>
      <c r="W310" s="133">
        <f t="shared" si="5"/>
        <v>0</v>
      </c>
      <c r="X310" s="140">
        <f t="shared" si="5"/>
        <v>426115</v>
      </c>
      <c r="Y310" s="182">
        <f t="shared" si="4"/>
        <v>0</v>
      </c>
      <c r="Z310" s="182">
        <f t="shared" si="4"/>
        <v>364701</v>
      </c>
      <c r="AA310" s="134">
        <f t="shared" si="4"/>
        <v>0</v>
      </c>
    </row>
    <row r="311" spans="2:27" x14ac:dyDescent="0.2">
      <c r="B311" s="132" t="str">
        <f>B11</f>
        <v>מנהל מחלקת חינוך</v>
      </c>
      <c r="C311" s="133">
        <f t="shared" si="5"/>
        <v>0</v>
      </c>
      <c r="D311" s="184" t="str">
        <f>D11</f>
        <v>23173107</v>
      </c>
      <c r="E311" s="133">
        <f t="shared" si="6"/>
        <v>0</v>
      </c>
      <c r="F311" s="184">
        <f t="shared" si="5"/>
        <v>31</v>
      </c>
      <c r="G311" s="133">
        <f t="shared" si="5"/>
        <v>0</v>
      </c>
      <c r="H311" s="184">
        <f t="shared" si="5"/>
        <v>7</v>
      </c>
      <c r="I311" s="133">
        <f t="shared" si="5"/>
        <v>0</v>
      </c>
      <c r="J311" s="184">
        <f t="shared" si="5"/>
        <v>134255</v>
      </c>
      <c r="K311" s="133">
        <f t="shared" si="5"/>
        <v>0</v>
      </c>
      <c r="L311" s="184">
        <f t="shared" si="5"/>
        <v>7200</v>
      </c>
      <c r="M311" s="133">
        <f t="shared" si="5"/>
        <v>0</v>
      </c>
      <c r="N311" s="184">
        <f t="shared" si="5"/>
        <v>12508</v>
      </c>
      <c r="O311" s="133">
        <f t="shared" si="5"/>
        <v>0</v>
      </c>
      <c r="P311" s="184">
        <f t="shared" si="5"/>
        <v>17457</v>
      </c>
      <c r="Q311" s="133">
        <f t="shared" si="5"/>
        <v>0</v>
      </c>
      <c r="R311" s="184">
        <f t="shared" si="5"/>
        <v>128952</v>
      </c>
      <c r="S311" s="133">
        <f t="shared" si="5"/>
        <v>0</v>
      </c>
      <c r="T311" s="140">
        <f t="shared" si="5"/>
        <v>300372</v>
      </c>
      <c r="U311" s="133">
        <f t="shared" si="5"/>
        <v>0</v>
      </c>
      <c r="V311" s="184">
        <f t="shared" si="5"/>
        <v>64329</v>
      </c>
      <c r="W311" s="133">
        <f t="shared" si="5"/>
        <v>0</v>
      </c>
      <c r="X311" s="140">
        <f t="shared" si="5"/>
        <v>364701</v>
      </c>
      <c r="Y311" s="182">
        <f t="shared" si="4"/>
        <v>0</v>
      </c>
      <c r="Z311" s="182">
        <f t="shared" si="4"/>
        <v>378922</v>
      </c>
      <c r="AA311" s="134">
        <f t="shared" si="4"/>
        <v>0</v>
      </c>
    </row>
    <row r="312" spans="2:27" x14ac:dyDescent="0.2">
      <c r="B312" s="132" t="str">
        <f>B10</f>
        <v>מורה תיכון</v>
      </c>
      <c r="C312" s="133">
        <f t="shared" si="5"/>
        <v>0</v>
      </c>
      <c r="D312" s="184" t="str">
        <f>D10</f>
        <v>27596469</v>
      </c>
      <c r="E312" s="133">
        <f t="shared" si="6"/>
        <v>0</v>
      </c>
      <c r="F312" s="184">
        <f>F10</f>
        <v>41</v>
      </c>
      <c r="G312" s="133">
        <f t="shared" si="5"/>
        <v>0</v>
      </c>
      <c r="H312" s="184">
        <f t="shared" si="5"/>
        <v>4</v>
      </c>
      <c r="I312" s="133">
        <f t="shared" si="5"/>
        <v>0</v>
      </c>
      <c r="J312" s="184">
        <f t="shared" si="5"/>
        <v>240839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47326</v>
      </c>
      <c r="Q312" s="133">
        <f t="shared" si="5"/>
        <v>0</v>
      </c>
      <c r="R312" s="184">
        <f t="shared" si="5"/>
        <v>22565</v>
      </c>
      <c r="S312" s="133">
        <f t="shared" si="5"/>
        <v>0</v>
      </c>
      <c r="T312" s="140">
        <f t="shared" si="5"/>
        <v>310730</v>
      </c>
      <c r="U312" s="133">
        <f t="shared" si="5"/>
        <v>0</v>
      </c>
      <c r="V312" s="184">
        <f t="shared" si="5"/>
        <v>68192</v>
      </c>
      <c r="W312" s="133">
        <f t="shared" si="5"/>
        <v>0</v>
      </c>
      <c r="X312" s="140">
        <f t="shared" si="5"/>
        <v>378922</v>
      </c>
      <c r="Y312" s="182">
        <f t="shared" si="4"/>
        <v>0</v>
      </c>
      <c r="Z312" s="182">
        <f t="shared" si="4"/>
        <v>379261</v>
      </c>
      <c r="AA312" s="134">
        <f t="shared" si="4"/>
        <v>0</v>
      </c>
    </row>
    <row r="313" spans="2:27" x14ac:dyDescent="0.2">
      <c r="B313" s="132" t="str">
        <f>B13</f>
        <v>סמנכ"ל</v>
      </c>
      <c r="C313" s="133">
        <f t="shared" si="5"/>
        <v>0</v>
      </c>
      <c r="D313" s="184" t="str">
        <f>D13</f>
        <v>24788341</v>
      </c>
      <c r="E313" s="133">
        <f t="shared" si="6"/>
        <v>0</v>
      </c>
      <c r="F313" s="184">
        <f t="shared" si="5"/>
        <v>41</v>
      </c>
      <c r="G313" s="133">
        <f t="shared" si="5"/>
        <v>0</v>
      </c>
      <c r="H313" s="184">
        <f t="shared" si="5"/>
        <v>1</v>
      </c>
      <c r="I313" s="133">
        <f t="shared" si="5"/>
        <v>0</v>
      </c>
      <c r="J313" s="184">
        <f t="shared" si="5"/>
        <v>68231</v>
      </c>
      <c r="K313" s="133">
        <f t="shared" si="5"/>
        <v>0</v>
      </c>
      <c r="L313" s="184">
        <f t="shared" si="5"/>
        <v>145501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12255</v>
      </c>
      <c r="Q313" s="133">
        <f t="shared" si="5"/>
        <v>0</v>
      </c>
      <c r="R313" s="184">
        <f t="shared" si="5"/>
        <v>57318</v>
      </c>
      <c r="S313" s="133">
        <f t="shared" si="5"/>
        <v>0</v>
      </c>
      <c r="T313" s="140">
        <f t="shared" si="5"/>
        <v>283305</v>
      </c>
      <c r="U313" s="133">
        <f t="shared" si="5"/>
        <v>0</v>
      </c>
      <c r="V313" s="184">
        <f t="shared" si="5"/>
        <v>95956</v>
      </c>
      <c r="W313" s="133">
        <f t="shared" si="5"/>
        <v>0</v>
      </c>
      <c r="X313" s="140">
        <f t="shared" si="5"/>
        <v>379261</v>
      </c>
      <c r="Y313" s="182">
        <f t="shared" si="4"/>
        <v>0</v>
      </c>
      <c r="Z313" s="182">
        <f t="shared" si="4"/>
        <v>358965</v>
      </c>
      <c r="AA313" s="134">
        <f t="shared" si="4"/>
        <v>0</v>
      </c>
    </row>
    <row r="314" spans="2:27" x14ac:dyDescent="0.2">
      <c r="B314" s="132" t="str">
        <f>B17</f>
        <v>מורה תיכון</v>
      </c>
      <c r="C314" s="133">
        <f t="shared" si="5"/>
        <v>0</v>
      </c>
      <c r="D314" s="184" t="str">
        <f>D17</f>
        <v>23173487</v>
      </c>
      <c r="E314" s="133">
        <f t="shared" si="6"/>
        <v>0</v>
      </c>
      <c r="F314" s="184">
        <f t="shared" si="5"/>
        <v>41</v>
      </c>
      <c r="G314" s="133">
        <f t="shared" si="5"/>
        <v>0</v>
      </c>
      <c r="H314" s="184">
        <f t="shared" si="5"/>
        <v>1</v>
      </c>
      <c r="I314" s="133">
        <f t="shared" si="5"/>
        <v>0</v>
      </c>
      <c r="J314" s="184">
        <f t="shared" si="5"/>
        <v>104888</v>
      </c>
      <c r="K314" s="133">
        <f t="shared" si="5"/>
        <v>0</v>
      </c>
      <c r="L314" s="184">
        <f t="shared" si="5"/>
        <v>80096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2417</v>
      </c>
      <c r="Q314" s="133">
        <f t="shared" si="5"/>
        <v>0</v>
      </c>
      <c r="R314" s="184">
        <f t="shared" si="5"/>
        <v>75974</v>
      </c>
      <c r="S314" s="133">
        <f t="shared" si="5"/>
        <v>0</v>
      </c>
      <c r="T314" s="140">
        <f t="shared" si="5"/>
        <v>263375</v>
      </c>
      <c r="U314" s="133">
        <f t="shared" si="5"/>
        <v>0</v>
      </c>
      <c r="V314" s="184">
        <f t="shared" si="5"/>
        <v>95590</v>
      </c>
      <c r="W314" s="133">
        <f t="shared" si="5"/>
        <v>0</v>
      </c>
      <c r="X314" s="140">
        <f t="shared" si="5"/>
        <v>358965</v>
      </c>
      <c r="Y314" s="182">
        <f t="shared" si="4"/>
        <v>0</v>
      </c>
      <c r="Z314" s="182">
        <f t="shared" si="4"/>
        <v>362300</v>
      </c>
      <c r="AA314" s="134">
        <f t="shared" si="4"/>
        <v>0</v>
      </c>
    </row>
    <row r="315" spans="2:27" x14ac:dyDescent="0.2">
      <c r="B315" s="132" t="str">
        <f>B16</f>
        <v>מורה תיכון</v>
      </c>
      <c r="C315" s="133">
        <f t="shared" si="5"/>
        <v>0</v>
      </c>
      <c r="D315" s="184" t="str">
        <f>D16</f>
        <v>53731147</v>
      </c>
      <c r="E315" s="133">
        <f t="shared" si="6"/>
        <v>0</v>
      </c>
      <c r="F315" s="184">
        <f t="shared" si="5"/>
        <v>41</v>
      </c>
      <c r="G315" s="133">
        <f t="shared" si="5"/>
        <v>0</v>
      </c>
      <c r="H315" s="184">
        <f t="shared" si="5"/>
        <v>1</v>
      </c>
      <c r="I315" s="133">
        <f t="shared" si="5"/>
        <v>0</v>
      </c>
      <c r="J315" s="184">
        <f t="shared" si="5"/>
        <v>102067</v>
      </c>
      <c r="K315" s="133">
        <f t="shared" si="5"/>
        <v>0</v>
      </c>
      <c r="L315" s="184">
        <f t="shared" si="5"/>
        <v>87013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12153</v>
      </c>
      <c r="Q315" s="133">
        <f t="shared" si="5"/>
        <v>0</v>
      </c>
      <c r="R315" s="184">
        <f t="shared" si="5"/>
        <v>67592</v>
      </c>
      <c r="S315" s="133">
        <f t="shared" si="5"/>
        <v>0</v>
      </c>
      <c r="T315" s="140">
        <f t="shared" si="5"/>
        <v>268825</v>
      </c>
      <c r="U315" s="133">
        <f t="shared" si="5"/>
        <v>0</v>
      </c>
      <c r="V315" s="184">
        <f t="shared" si="5"/>
        <v>93475</v>
      </c>
      <c r="W315" s="133">
        <f t="shared" si="5"/>
        <v>0</v>
      </c>
      <c r="X315" s="140">
        <f t="shared" si="5"/>
        <v>362300</v>
      </c>
      <c r="Y315" s="182">
        <f t="shared" si="4"/>
        <v>0</v>
      </c>
      <c r="Z315" s="182">
        <f t="shared" si="4"/>
        <v>360268</v>
      </c>
      <c r="AA315" s="134">
        <f t="shared" si="4"/>
        <v>0</v>
      </c>
    </row>
    <row r="316" spans="2:27" x14ac:dyDescent="0.2">
      <c r="B316" s="132" t="str">
        <f>B21</f>
        <v>מנהל מחלקה</v>
      </c>
      <c r="C316" s="133">
        <f t="shared" si="5"/>
        <v>0</v>
      </c>
      <c r="D316" s="184" t="str">
        <f>D21</f>
        <v>57619827</v>
      </c>
      <c r="E316" s="133">
        <f t="shared" si="6"/>
        <v>0</v>
      </c>
      <c r="F316" s="184">
        <f t="shared" si="5"/>
        <v>41</v>
      </c>
      <c r="G316" s="133">
        <f t="shared" si="5"/>
        <v>0</v>
      </c>
      <c r="H316" s="184">
        <f t="shared" si="5"/>
        <v>1</v>
      </c>
      <c r="I316" s="133">
        <f t="shared" si="5"/>
        <v>0</v>
      </c>
      <c r="J316" s="184">
        <f t="shared" si="5"/>
        <v>91747</v>
      </c>
      <c r="K316" s="133">
        <f t="shared" si="5"/>
        <v>0</v>
      </c>
      <c r="L316" s="184">
        <f t="shared" si="5"/>
        <v>120748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3471</v>
      </c>
      <c r="Q316" s="133">
        <f t="shared" si="5"/>
        <v>0</v>
      </c>
      <c r="R316" s="184">
        <f t="shared" si="5"/>
        <v>49102</v>
      </c>
      <c r="S316" s="133">
        <f t="shared" si="5"/>
        <v>0</v>
      </c>
      <c r="T316" s="140">
        <f t="shared" si="5"/>
        <v>265068</v>
      </c>
      <c r="U316" s="133">
        <f t="shared" si="5"/>
        <v>0</v>
      </c>
      <c r="V316" s="184">
        <f t="shared" si="5"/>
        <v>95200</v>
      </c>
      <c r="W316" s="133">
        <f t="shared" si="5"/>
        <v>0</v>
      </c>
      <c r="X316" s="140">
        <f t="shared" si="5"/>
        <v>360268</v>
      </c>
      <c r="Y316" s="182">
        <f t="shared" si="4"/>
        <v>0</v>
      </c>
      <c r="Z316" s="182">
        <f t="shared" si="4"/>
        <v>365050</v>
      </c>
      <c r="AA316" s="134">
        <f t="shared" si="4"/>
        <v>0</v>
      </c>
    </row>
    <row r="317" spans="2:27" x14ac:dyDescent="0.2">
      <c r="B317" s="132" t="str">
        <f t="shared" si="5"/>
        <v>מנהל מחלקה</v>
      </c>
      <c r="C317" s="133">
        <f t="shared" si="5"/>
        <v>0</v>
      </c>
      <c r="D317" s="184" t="str">
        <f t="shared" si="6"/>
        <v>36437374</v>
      </c>
      <c r="E317" s="133">
        <f t="shared" si="6"/>
        <v>0</v>
      </c>
      <c r="F317" s="184">
        <f t="shared" si="5"/>
        <v>90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155166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70477</v>
      </c>
      <c r="O317" s="133">
        <f t="shared" si="5"/>
        <v>0</v>
      </c>
      <c r="P317" s="184">
        <f t="shared" si="5"/>
        <v>34264</v>
      </c>
      <c r="Q317" s="133">
        <f t="shared" si="5"/>
        <v>0</v>
      </c>
      <c r="R317" s="184">
        <f t="shared" si="5"/>
        <v>17488</v>
      </c>
      <c r="S317" s="133">
        <f t="shared" si="5"/>
        <v>0</v>
      </c>
      <c r="T317" s="140">
        <f t="shared" si="5"/>
        <v>277395</v>
      </c>
      <c r="U317" s="133">
        <f t="shared" si="5"/>
        <v>0</v>
      </c>
      <c r="V317" s="184">
        <f t="shared" si="5"/>
        <v>87655</v>
      </c>
      <c r="W317" s="133">
        <f t="shared" si="5"/>
        <v>0</v>
      </c>
      <c r="X317" s="140">
        <f t="shared" si="5"/>
        <v>365050</v>
      </c>
      <c r="Y317" s="182" t="e">
        <f t="shared" si="4"/>
        <v>#REF!</v>
      </c>
      <c r="Z317" s="182">
        <f t="shared" si="4"/>
        <v>343745</v>
      </c>
      <c r="AA317" s="134">
        <f t="shared" si="4"/>
        <v>0</v>
      </c>
    </row>
    <row r="318" spans="2:27" x14ac:dyDescent="0.2">
      <c r="B318" s="132" t="e">
        <f>#REF!</f>
        <v>#REF!</v>
      </c>
      <c r="C318" s="133">
        <f t="shared" si="5"/>
        <v>0</v>
      </c>
      <c r="D318" s="184" t="e">
        <f>#REF!</f>
        <v>#REF!</v>
      </c>
      <c r="E318" s="133">
        <f t="shared" ref="D318:E330" si="7">E19</f>
        <v>0</v>
      </c>
      <c r="F318" s="184">
        <f t="shared" si="5"/>
        <v>41</v>
      </c>
      <c r="G318" s="133">
        <f t="shared" ref="G318:X318" si="8">G19</f>
        <v>0</v>
      </c>
      <c r="H318" s="184">
        <f t="shared" si="8"/>
        <v>1</v>
      </c>
      <c r="I318" s="133">
        <f t="shared" si="8"/>
        <v>0</v>
      </c>
      <c r="J318" s="184">
        <f t="shared" si="8"/>
        <v>105339</v>
      </c>
      <c r="K318" s="133">
        <f t="shared" si="8"/>
        <v>0</v>
      </c>
      <c r="L318" s="184">
        <f t="shared" si="8"/>
        <v>79579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3203</v>
      </c>
      <c r="Q318" s="133">
        <f t="shared" si="8"/>
        <v>0</v>
      </c>
      <c r="R318" s="184">
        <f t="shared" si="8"/>
        <v>66239</v>
      </c>
      <c r="S318" s="133">
        <f t="shared" si="8"/>
        <v>0</v>
      </c>
      <c r="T318" s="140">
        <f t="shared" si="8"/>
        <v>254360</v>
      </c>
      <c r="U318" s="133">
        <f t="shared" si="8"/>
        <v>0</v>
      </c>
      <c r="V318" s="184">
        <f t="shared" si="8"/>
        <v>89385</v>
      </c>
      <c r="W318" s="133">
        <f t="shared" si="8"/>
        <v>0</v>
      </c>
      <c r="X318" s="140">
        <f t="shared" si="8"/>
        <v>343745</v>
      </c>
      <c r="Y318" s="182" t="e">
        <f t="shared" si="4"/>
        <v>#REF!</v>
      </c>
      <c r="Z318" s="182">
        <f t="shared" si="4"/>
        <v>350162</v>
      </c>
      <c r="AA318" s="134">
        <f t="shared" si="4"/>
        <v>0</v>
      </c>
    </row>
    <row r="319" spans="2:27" x14ac:dyDescent="0.2">
      <c r="B319" s="132" t="e">
        <f>#REF!</f>
        <v>#REF!</v>
      </c>
      <c r="C319" s="133">
        <f t="shared" ref="B319:X331" si="9">C20</f>
        <v>0</v>
      </c>
      <c r="D319" s="184" t="e">
        <f>#REF!</f>
        <v>#REF!</v>
      </c>
      <c r="E319" s="133">
        <f t="shared" si="7"/>
        <v>0</v>
      </c>
      <c r="F319" s="184">
        <f t="shared" si="9"/>
        <v>41</v>
      </c>
      <c r="G319" s="133">
        <f t="shared" si="9"/>
        <v>0</v>
      </c>
      <c r="H319" s="184">
        <f t="shared" si="9"/>
        <v>1</v>
      </c>
      <c r="I319" s="133">
        <f t="shared" si="9"/>
        <v>0</v>
      </c>
      <c r="J319" s="184">
        <f t="shared" si="9"/>
        <v>95157</v>
      </c>
      <c r="K319" s="133">
        <f t="shared" si="9"/>
        <v>0</v>
      </c>
      <c r="L319" s="184">
        <f t="shared" si="9"/>
        <v>91866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12173</v>
      </c>
      <c r="Q319" s="133">
        <f t="shared" si="9"/>
        <v>0</v>
      </c>
      <c r="R319" s="184">
        <f t="shared" si="9"/>
        <v>61357</v>
      </c>
      <c r="S319" s="133">
        <f t="shared" si="9"/>
        <v>0</v>
      </c>
      <c r="T319" s="140">
        <f t="shared" si="9"/>
        <v>260553</v>
      </c>
      <c r="U319" s="133">
        <f t="shared" si="9"/>
        <v>0</v>
      </c>
      <c r="V319" s="184">
        <f t="shared" si="9"/>
        <v>89609</v>
      </c>
      <c r="W319" s="133">
        <f t="shared" si="9"/>
        <v>0</v>
      </c>
      <c r="X319" s="140">
        <f t="shared" si="9"/>
        <v>350162</v>
      </c>
      <c r="Y319" s="182" t="e">
        <f t="shared" si="4"/>
        <v>#REF!</v>
      </c>
      <c r="Z319" s="182">
        <f t="shared" si="4"/>
        <v>327037</v>
      </c>
      <c r="AA319" s="134">
        <f t="shared" si="4"/>
        <v>0</v>
      </c>
    </row>
    <row r="320" spans="2:27" x14ac:dyDescent="0.2">
      <c r="B320" s="132" t="e">
        <f>#REF!</f>
        <v>#REF!</v>
      </c>
      <c r="C320" s="133">
        <f t="shared" si="9"/>
        <v>0</v>
      </c>
      <c r="D320" s="184" t="e">
        <f>#REF!</f>
        <v>#REF!</v>
      </c>
      <c r="E320" s="133">
        <f t="shared" si="7"/>
        <v>0</v>
      </c>
      <c r="F320" s="184">
        <f t="shared" si="9"/>
        <v>24</v>
      </c>
      <c r="G320" s="133">
        <f t="shared" si="9"/>
        <v>0</v>
      </c>
      <c r="H320" s="184">
        <f t="shared" si="9"/>
        <v>3</v>
      </c>
      <c r="I320" s="133">
        <f t="shared" si="9"/>
        <v>0</v>
      </c>
      <c r="J320" s="184">
        <f t="shared" si="9"/>
        <v>102087</v>
      </c>
      <c r="K320" s="133">
        <f t="shared" si="9"/>
        <v>0</v>
      </c>
      <c r="L320" s="184">
        <f t="shared" si="9"/>
        <v>37634</v>
      </c>
      <c r="M320" s="133">
        <f t="shared" si="9"/>
        <v>0</v>
      </c>
      <c r="N320" s="184">
        <f t="shared" si="9"/>
        <v>36433</v>
      </c>
      <c r="O320" s="133">
        <f t="shared" si="9"/>
        <v>0</v>
      </c>
      <c r="P320" s="184">
        <f t="shared" si="9"/>
        <v>32089</v>
      </c>
      <c r="Q320" s="133">
        <f t="shared" si="9"/>
        <v>0</v>
      </c>
      <c r="R320" s="184">
        <f t="shared" si="9"/>
        <v>62545</v>
      </c>
      <c r="S320" s="133">
        <f t="shared" si="9"/>
        <v>0</v>
      </c>
      <c r="T320" s="140">
        <f t="shared" si="9"/>
        <v>270788</v>
      </c>
      <c r="U320" s="133">
        <f t="shared" si="9"/>
        <v>0</v>
      </c>
      <c r="V320" s="184">
        <f t="shared" si="9"/>
        <v>56249</v>
      </c>
      <c r="W320" s="133">
        <f t="shared" si="9"/>
        <v>0</v>
      </c>
      <c r="X320" s="140">
        <f t="shared" si="9"/>
        <v>327037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 t="e">
        <f t="shared" si="10"/>
        <v>#REF!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14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4" priority="8" stopIfTrue="1">
      <formula>Y38&lt;&gt;0</formula>
    </cfRule>
  </conditionalFormatting>
  <conditionalFormatting sqref="B307:B336 B23:B37">
    <cfRule type="expression" dxfId="3" priority="9" stopIfTrue="1">
      <formula>AND($B23=0,OR($J23&lt;&gt;0,$L23&lt;&gt;0,$N23&lt;&gt;0,$P23&lt;&gt;0,$R23&lt;&gt;0,$V23&lt;&gt;0))</formula>
    </cfRule>
  </conditionalFormatting>
  <conditionalFormatting sqref="B8">
    <cfRule type="expression" dxfId="2" priority="3" stopIfTrue="1">
      <formula>AND($B8=0,OR($J8&lt;&gt;0,$L8&lt;&gt;0,$N8&lt;&gt;0,$P8&lt;&gt;0,$R8&lt;&gt;0,$V8&lt;&gt;0))</formula>
    </cfRule>
  </conditionalFormatting>
  <conditionalFormatting sqref="B10:B22">
    <cfRule type="expression" dxfId="1" priority="2" stopIfTrue="1">
      <formula>AND($B10=0,OR($J12&lt;&gt;0,$L12&lt;&gt;0,$N12&lt;&gt;0,$P12&lt;&gt;0,$R12&lt;&gt;0,$V12&lt;&gt;0))</formula>
    </cfRule>
  </conditionalFormatting>
  <conditionalFormatting sqref="B9">
    <cfRule type="expression" dxfId="0" priority="1" stopIfTrue="1">
      <formula>AND($B9=0,OR($J9&lt;&gt;0,$L9&lt;&gt;0,$N9&lt;&gt;0,$P9&lt;&gt;0,$R9&lt;&gt;0,$V9&lt;&gt;0))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12:H37 H8:H10 F12 F8:F10 F14:F37">
      <formula1>0</formula1>
      <formula2>999999999999</formula2>
    </dataValidation>
    <dataValidation type="custom" allowBlank="1" showErrorMessage="1" errorTitle="יישום הדוח הרבעוני" error="יש להזין נתון מספרי" sqref="D8:D11 D13 D21:D37 D16:D18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ColWidth="9.140625"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ColWidth="9.140625"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2" t="e">
        <f>#REF!</f>
        <v>#REF!</v>
      </c>
      <c r="G1" s="654"/>
      <c r="H1" s="654"/>
      <c r="I1" s="654"/>
      <c r="J1" s="654"/>
      <c r="K1" s="4"/>
    </row>
    <row r="2" spans="1:11" ht="15.75" customHeight="1" x14ac:dyDescent="0.2">
      <c r="A2" s="3"/>
      <c r="B2" s="3"/>
      <c r="C2" s="3"/>
      <c r="D2" s="3"/>
      <c r="E2" s="3"/>
      <c r="F2" s="652" t="s">
        <v>514</v>
      </c>
      <c r="G2" s="653"/>
      <c r="H2" s="653"/>
      <c r="I2" s="653"/>
      <c r="J2" s="653"/>
      <c r="K2" s="4"/>
    </row>
    <row r="3" spans="1:11" ht="15.75" customHeight="1" x14ac:dyDescent="0.2">
      <c r="A3" s="3"/>
      <c r="B3" s="3"/>
      <c r="C3" s="3"/>
      <c r="D3" s="3"/>
      <c r="E3" s="3"/>
      <c r="F3" s="652" t="e">
        <f>CONCATENATE("לשנה שנסתיימה ביום 31 בדצמבר ",#REF!, " (אלפי ש''ח) ")</f>
        <v>#REF!</v>
      </c>
      <c r="G3" s="656"/>
      <c r="H3" s="656"/>
      <c r="I3" s="656"/>
      <c r="J3" s="657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5" t="e">
        <f>F1</f>
        <v>#REF!</v>
      </c>
      <c r="B5" s="655"/>
      <c r="C5" s="655"/>
      <c r="D5" s="655"/>
      <c r="E5" s="655"/>
      <c r="F5" s="655"/>
      <c r="G5" s="655"/>
      <c r="H5" s="655"/>
      <c r="I5" s="655"/>
      <c r="J5" s="9"/>
      <c r="K5" s="4"/>
    </row>
    <row r="6" spans="1:11" ht="15.75" customHeight="1" x14ac:dyDescent="0.2">
      <c r="A6" s="655" t="str">
        <f>F2</f>
        <v>באורים לדוחות הכספיים</v>
      </c>
      <c r="B6" s="655"/>
      <c r="C6" s="655"/>
      <c r="D6" s="655"/>
      <c r="E6" s="655"/>
      <c r="F6" s="655"/>
      <c r="G6" s="655"/>
      <c r="H6" s="655"/>
      <c r="I6" s="655"/>
      <c r="J6" s="9"/>
      <c r="K6" s="4"/>
    </row>
    <row r="7" spans="1:11" ht="15.75" customHeight="1" x14ac:dyDescent="0.2">
      <c r="A7" s="10"/>
      <c r="B7" s="655" t="e">
        <f>F3</f>
        <v>#REF!</v>
      </c>
      <c r="C7" s="655"/>
      <c r="D7" s="655"/>
      <c r="E7" s="655"/>
      <c r="F7" s="655"/>
      <c r="G7" s="655"/>
      <c r="H7" s="655"/>
      <c r="I7" s="655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51" t="s">
        <v>542</v>
      </c>
      <c r="D45" s="651"/>
      <c r="E45" s="651"/>
      <c r="F45" s="651"/>
      <c r="G45" s="651"/>
      <c r="H45" s="651"/>
      <c r="I45" s="651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admin</cp:lastModifiedBy>
  <cp:lastPrinted>2018-08-18T13:25:43Z</cp:lastPrinted>
  <dcterms:created xsi:type="dcterms:W3CDTF">2003-12-01T13:23:06Z</dcterms:created>
  <dcterms:modified xsi:type="dcterms:W3CDTF">2019-03-14T15:41:35Z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