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83C1" lockStructure="1"/>
  <bookViews>
    <workbookView showSheetTabs="0" xWindow="120" yWindow="120" windowWidth="12120" windowHeight="8330" activeTab="3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44525"/>
</workbook>
</file>

<file path=xl/calcChain.xml><?xml version="1.0" encoding="utf-8"?>
<calcChain xmlns="http://schemas.openxmlformats.org/spreadsheetml/2006/main">
  <c r="D79" i="54" l="1"/>
  <c r="D41" i="54" l="1"/>
  <c r="D13" i="54"/>
  <c r="F14" i="54"/>
  <c r="F13" i="54"/>
  <c r="I10" i="58" l="1"/>
  <c r="C20" i="58"/>
  <c r="I9" i="58"/>
  <c r="C9" i="58"/>
  <c r="D50" i="56"/>
  <c r="D49" i="56"/>
  <c r="F50" i="56"/>
  <c r="F49" i="56"/>
  <c r="F25" i="56"/>
  <c r="D34" i="56" l="1"/>
  <c r="D33" i="56"/>
  <c r="D25" i="56"/>
  <c r="F79" i="54" l="1"/>
  <c r="F41" i="54"/>
  <c r="F36" i="54"/>
  <c r="F34" i="56" l="1"/>
  <c r="G20" i="58" l="1"/>
  <c r="F22" i="56" l="1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I16" i="59"/>
  <c r="M16" i="59" s="1"/>
  <c r="M315" i="59" s="1"/>
  <c r="I17" i="59"/>
  <c r="E359" i="65" s="1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57" i="65"/>
  <c r="L357" i="65" s="1"/>
  <c r="E360" i="65"/>
  <c r="L360" i="65" s="1"/>
  <c r="J360" i="65"/>
  <c r="E364" i="65"/>
  <c r="I364" i="65"/>
  <c r="E225" i="65"/>
  <c r="L225" i="65" s="1"/>
  <c r="E223" i="65"/>
  <c r="J223" i="65" s="1"/>
  <c r="E222" i="65"/>
  <c r="L222" i="65" s="1"/>
  <c r="E221" i="65"/>
  <c r="E220" i="65"/>
  <c r="J220" i="65" s="1"/>
  <c r="E219" i="65"/>
  <c r="J219" i="65" s="1"/>
  <c r="E218" i="65"/>
  <c r="L218" i="65" s="1"/>
  <c r="J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 s="1"/>
  <c r="T29" i="61"/>
  <c r="X29" i="61" s="1"/>
  <c r="Z29" i="61" s="1"/>
  <c r="T30" i="61"/>
  <c r="T329" i="61" s="1"/>
  <c r="T31" i="61"/>
  <c r="X31" i="61" s="1"/>
  <c r="T32" i="61"/>
  <c r="X32" i="61" s="1"/>
  <c r="T33" i="61"/>
  <c r="X33" i="61" s="1"/>
  <c r="Z33" i="61" s="1"/>
  <c r="Z331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313" i="61" s="1"/>
  <c r="Y16" i="61"/>
  <c r="Y314" i="61" s="1"/>
  <c r="Y17" i="61"/>
  <c r="Y315" i="61" s="1"/>
  <c r="Y18" i="61"/>
  <c r="Y316" i="61" s="1"/>
  <c r="Y19" i="61"/>
  <c r="Y20" i="61"/>
  <c r="Y318" i="61" s="1"/>
  <c r="Y21" i="61"/>
  <c r="Y22" i="61"/>
  <c r="Y23" i="61"/>
  <c r="Y321" i="61" s="1"/>
  <c r="Y24" i="61"/>
  <c r="Y322" i="61" s="1"/>
  <c r="Y25" i="61"/>
  <c r="Y26" i="61"/>
  <c r="Y27" i="61"/>
  <c r="Y325" i="61" s="1"/>
  <c r="Y28" i="61"/>
  <c r="Y29" i="61"/>
  <c r="Y30" i="61"/>
  <c r="Y31" i="61"/>
  <c r="Y329" i="61" s="1"/>
  <c r="Y32" i="61"/>
  <c r="Y330" i="61" s="1"/>
  <c r="Y33" i="61"/>
  <c r="Y331" i="61" s="1"/>
  <c r="Y34" i="61"/>
  <c r="Y35" i="61"/>
  <c r="Y36" i="61"/>
  <c r="Y334" i="61" s="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L400" i="65" s="1"/>
  <c r="E400" i="65"/>
  <c r="I399" i="65"/>
  <c r="E399" i="65"/>
  <c r="J399" i="65" s="1"/>
  <c r="I398" i="65"/>
  <c r="E398" i="65"/>
  <c r="I397" i="65"/>
  <c r="E397" i="65"/>
  <c r="I396" i="65"/>
  <c r="E396" i="65"/>
  <c r="E395" i="65"/>
  <c r="E394" i="65"/>
  <c r="I393" i="65"/>
  <c r="E393" i="65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J383" i="65" s="1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J372" i="65" s="1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7" i="65"/>
  <c r="L157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J22" i="65" s="1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L399" i="65"/>
  <c r="L393" i="65"/>
  <c r="J379" i="65"/>
  <c r="H378" i="65"/>
  <c r="J371" i="65"/>
  <c r="D254" i="65"/>
  <c r="D232" i="65"/>
  <c r="L180" i="65"/>
  <c r="J180" i="65"/>
  <c r="L179" i="65"/>
  <c r="L171" i="65"/>
  <c r="L166" i="65"/>
  <c r="H88" i="65"/>
  <c r="D59" i="65"/>
  <c r="D23" i="65"/>
  <c r="J15" i="65"/>
  <c r="H8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324" i="54" s="1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/>
  <c r="K51" i="65"/>
  <c r="L51" i="65"/>
  <c r="E206" i="65"/>
  <c r="J206" i="65" s="1"/>
  <c r="D80" i="54"/>
  <c r="I16" i="65" s="1"/>
  <c r="F23" i="56"/>
  <c r="F30" i="56" s="1"/>
  <c r="F39" i="56"/>
  <c r="I79" i="65" s="1"/>
  <c r="C16" i="55"/>
  <c r="C25" i="55" s="1"/>
  <c r="C30" i="55" s="1"/>
  <c r="C342" i="55" s="1"/>
  <c r="I65" i="65"/>
  <c r="E75" i="65"/>
  <c r="I85" i="65"/>
  <c r="F51" i="56"/>
  <c r="E63" i="65" s="1"/>
  <c r="I66" i="65"/>
  <c r="E79" i="65"/>
  <c r="I86" i="65"/>
  <c r="D46" i="56"/>
  <c r="E61" i="65" s="1"/>
  <c r="D23" i="56"/>
  <c r="D30" i="56" s="1"/>
  <c r="D39" i="56"/>
  <c r="D342" i="56" s="1"/>
  <c r="D55" i="56"/>
  <c r="I95" i="65" s="1"/>
  <c r="H37" i="57"/>
  <c r="E85" i="65" s="1"/>
  <c r="J37" i="57"/>
  <c r="E86" i="65" s="1"/>
  <c r="L37" i="57"/>
  <c r="E87" i="65" s="1"/>
  <c r="P8" i="57"/>
  <c r="P312" i="57" s="1"/>
  <c r="P9" i="57"/>
  <c r="P10" i="57"/>
  <c r="P314" i="57" s="1"/>
  <c r="P11" i="57"/>
  <c r="P12" i="57"/>
  <c r="P13" i="57"/>
  <c r="P14" i="57"/>
  <c r="P318" i="57" s="1"/>
  <c r="P15" i="57"/>
  <c r="P319" i="57" s="1"/>
  <c r="P16" i="57"/>
  <c r="P17" i="57"/>
  <c r="P18" i="57"/>
  <c r="P322" i="57" s="1"/>
  <c r="P19" i="57"/>
  <c r="P323" i="57" s="1"/>
  <c r="P20" i="57"/>
  <c r="P324" i="57" s="1"/>
  <c r="P21" i="57"/>
  <c r="P22" i="57"/>
  <c r="P326" i="57" s="1"/>
  <c r="P23" i="57"/>
  <c r="P327" i="57" s="1"/>
  <c r="P24" i="57"/>
  <c r="P25" i="57"/>
  <c r="P26" i="57"/>
  <c r="P330" i="57" s="1"/>
  <c r="P27" i="57"/>
  <c r="P331" i="57" s="1"/>
  <c r="P28" i="57"/>
  <c r="P332" i="57" s="1"/>
  <c r="P29" i="57"/>
  <c r="P30" i="57"/>
  <c r="P31" i="57"/>
  <c r="P335" i="57" s="1"/>
  <c r="P32" i="57"/>
  <c r="P336" i="57" s="1"/>
  <c r="P33" i="57"/>
  <c r="P337" i="57" s="1"/>
  <c r="P34" i="57"/>
  <c r="P35" i="57"/>
  <c r="P339" i="57" s="1"/>
  <c r="P36" i="57"/>
  <c r="P340" i="57" s="1"/>
  <c r="N37" i="57"/>
  <c r="E88" i="65" s="1"/>
  <c r="R8" i="57"/>
  <c r="R9" i="57"/>
  <c r="R313" i="57" s="1"/>
  <c r="R10" i="57"/>
  <c r="V10" i="57" s="1"/>
  <c r="V314" i="57" s="1"/>
  <c r="R11" i="57"/>
  <c r="R12" i="57"/>
  <c r="R13" i="57"/>
  <c r="R14" i="57"/>
  <c r="R318" i="57" s="1"/>
  <c r="R15" i="57"/>
  <c r="R319" i="57" s="1"/>
  <c r="R16" i="57"/>
  <c r="R17" i="57"/>
  <c r="R321" i="57" s="1"/>
  <c r="R18" i="57"/>
  <c r="R322" i="57" s="1"/>
  <c r="R19" i="57"/>
  <c r="R323" i="57" s="1"/>
  <c r="R20" i="57"/>
  <c r="R324" i="57" s="1"/>
  <c r="R21" i="57"/>
  <c r="R325" i="57" s="1"/>
  <c r="R22" i="57"/>
  <c r="R326" i="57" s="1"/>
  <c r="R23" i="57"/>
  <c r="R24" i="57"/>
  <c r="R328" i="57" s="1"/>
  <c r="R25" i="57"/>
  <c r="R329" i="57" s="1"/>
  <c r="R26" i="57"/>
  <c r="R330" i="57" s="1"/>
  <c r="R27" i="57"/>
  <c r="R331" i="57" s="1"/>
  <c r="R28" i="57"/>
  <c r="R29" i="57"/>
  <c r="R30" i="57"/>
  <c r="R31" i="57"/>
  <c r="R335" i="57" s="1"/>
  <c r="R32" i="57"/>
  <c r="R33" i="57"/>
  <c r="R34" i="57"/>
  <c r="R35" i="57"/>
  <c r="R339" i="57" s="1"/>
  <c r="R36" i="57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M32" i="58" s="1"/>
  <c r="M334" i="58" s="1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J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J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36" i="60" s="1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W336" i="61"/>
  <c r="V336" i="61"/>
  <c r="U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W330" i="61"/>
  <c r="V330" i="61"/>
  <c r="U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3" i="58"/>
  <c r="I325" i="58" s="1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28" i="58" s="1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I15" i="58"/>
  <c r="I317" i="58" s="1"/>
  <c r="H337" i="58"/>
  <c r="F337" i="58"/>
  <c r="E15" i="58"/>
  <c r="E31" i="58" s="1"/>
  <c r="E333" i="58" s="1"/>
  <c r="E23" i="58"/>
  <c r="D337" i="58"/>
  <c r="C15" i="58"/>
  <c r="C31" i="58" s="1"/>
  <c r="C333" i="58" s="1"/>
  <c r="C23" i="58"/>
  <c r="B337" i="58"/>
  <c r="N334" i="58"/>
  <c r="L334" i="58"/>
  <c r="K32" i="58"/>
  <c r="K334" i="58" s="1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K28" i="58"/>
  <c r="K330" i="58" s="1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R340" i="57"/>
  <c r="Q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R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R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Q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N324" i="60" s="1"/>
  <c r="L350" i="60"/>
  <c r="D45" i="60"/>
  <c r="F350" i="60" s="1"/>
  <c r="E350" i="60"/>
  <c r="H350" i="60"/>
  <c r="J45" i="60"/>
  <c r="P49" i="60"/>
  <c r="P48" i="60"/>
  <c r="P352" i="60" s="1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315" i="60" s="1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325" i="60" s="1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M325" i="60"/>
  <c r="L325" i="60"/>
  <c r="K325" i="60"/>
  <c r="J325" i="60"/>
  <c r="I325" i="60"/>
  <c r="F325" i="60"/>
  <c r="E325" i="60"/>
  <c r="D325" i="60"/>
  <c r="C325" i="60"/>
  <c r="B325" i="60"/>
  <c r="O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L172" i="65" l="1"/>
  <c r="J376" i="65"/>
  <c r="L373" i="65"/>
  <c r="J366" i="65"/>
  <c r="Z31" i="61"/>
  <c r="Z329" i="61" s="1"/>
  <c r="X330" i="61"/>
  <c r="I28" i="58"/>
  <c r="I330" i="58" s="1"/>
  <c r="L372" i="65"/>
  <c r="V36" i="57"/>
  <c r="V340" i="57" s="1"/>
  <c r="T336" i="61"/>
  <c r="X336" i="61"/>
  <c r="X36" i="57"/>
  <c r="X340" i="57" s="1"/>
  <c r="X32" i="57"/>
  <c r="X336" i="57" s="1"/>
  <c r="X8" i="57"/>
  <c r="X312" i="57" s="1"/>
  <c r="H17" i="65"/>
  <c r="D31" i="65"/>
  <c r="D130" i="65"/>
  <c r="D313" i="65"/>
  <c r="L366" i="65"/>
  <c r="L223" i="65"/>
  <c r="B313" i="54"/>
  <c r="R314" i="57"/>
  <c r="T330" i="61"/>
  <c r="H24" i="65"/>
  <c r="E34" i="55"/>
  <c r="I34" i="55" s="1"/>
  <c r="I348" i="55" s="1"/>
  <c r="F325" i="56"/>
  <c r="E12" i="55"/>
  <c r="I12" i="55" s="1"/>
  <c r="I324" i="55" s="1"/>
  <c r="E21" i="55"/>
  <c r="I21" i="55" s="1"/>
  <c r="I333" i="55" s="1"/>
  <c r="F7" i="54"/>
  <c r="F319" i="54" s="1"/>
  <c r="P51" i="60"/>
  <c r="P355" i="60" s="1"/>
  <c r="V8" i="57"/>
  <c r="V312" i="57" s="1"/>
  <c r="X9" i="57"/>
  <c r="X313" i="57" s="1"/>
  <c r="L19" i="65"/>
  <c r="D44" i="65"/>
  <c r="D151" i="65"/>
  <c r="J176" i="65"/>
  <c r="H181" i="65"/>
  <c r="D393" i="65"/>
  <c r="K26" i="65"/>
  <c r="E358" i="65"/>
  <c r="J358" i="65" s="1"/>
  <c r="P15" i="60"/>
  <c r="P320" i="60" s="1"/>
  <c r="P25" i="60"/>
  <c r="P330" i="60" s="1"/>
  <c r="J168" i="65"/>
  <c r="X319" i="61"/>
  <c r="L398" i="65"/>
  <c r="T315" i="61"/>
  <c r="T307" i="61"/>
  <c r="L159" i="65"/>
  <c r="L394" i="65"/>
  <c r="I71" i="65"/>
  <c r="I74" i="65" s="1"/>
  <c r="D353" i="56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L66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I46" i="55" s="1"/>
  <c r="I360" i="55" s="1"/>
  <c r="E49" i="55"/>
  <c r="E363" i="55" s="1"/>
  <c r="E14" i="55"/>
  <c r="I14" i="55" s="1"/>
  <c r="I326" i="55" s="1"/>
  <c r="E19" i="55"/>
  <c r="I19" i="55" s="1"/>
  <c r="I331" i="55" s="1"/>
  <c r="E23" i="55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J157" i="65"/>
  <c r="C317" i="58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K65" i="65"/>
  <c r="L11" i="65"/>
  <c r="D17" i="65"/>
  <c r="H22" i="65"/>
  <c r="D24" i="65"/>
  <c r="G3" i="65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35" i="58"/>
  <c r="I337" i="58" s="1"/>
  <c r="I82" i="65"/>
  <c r="J82" i="65" s="1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L61" i="65" s="1"/>
  <c r="I75" i="65"/>
  <c r="I78" i="65" s="1"/>
  <c r="J78" i="65" s="1"/>
  <c r="F41" i="56"/>
  <c r="F333" i="56"/>
  <c r="C44" i="55"/>
  <c r="C51" i="55" s="1"/>
  <c r="E334" i="55"/>
  <c r="I13" i="55"/>
  <c r="I325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E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J17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61" i="65"/>
  <c r="K34" i="55"/>
  <c r="K348" i="55" s="1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H65" i="65"/>
  <c r="D86" i="65"/>
  <c r="D198" i="65"/>
  <c r="D220" i="65"/>
  <c r="D266" i="65"/>
  <c r="D336" i="65"/>
  <c r="I37" i="65"/>
  <c r="L189" i="65"/>
  <c r="L207" i="65"/>
  <c r="J225" i="65"/>
  <c r="D354" i="65"/>
  <c r="M319" i="58"/>
  <c r="L86" i="65"/>
  <c r="J86" i="65"/>
  <c r="K86" i="65"/>
  <c r="J11" i="65"/>
  <c r="K11" i="65"/>
  <c r="Z10" i="61"/>
  <c r="Z308" i="61" s="1"/>
  <c r="X309" i="61"/>
  <c r="E323" i="55"/>
  <c r="K21" i="55"/>
  <c r="K333" i="55" s="1"/>
  <c r="E360" i="55"/>
  <c r="Z34" i="61"/>
  <c r="Z332" i="61" s="1"/>
  <c r="X333" i="61"/>
  <c r="Z26" i="61"/>
  <c r="Z324" i="61" s="1"/>
  <c r="X325" i="61"/>
  <c r="P39" i="60"/>
  <c r="P344" i="60" s="1"/>
  <c r="P338" i="60"/>
  <c r="K85" i="65"/>
  <c r="J85" i="65"/>
  <c r="L85" i="65"/>
  <c r="Z22" i="61"/>
  <c r="Z320" i="61" s="1"/>
  <c r="X321" i="61"/>
  <c r="Z18" i="61"/>
  <c r="Z316" i="61" s="1"/>
  <c r="X317" i="61"/>
  <c r="I23" i="55"/>
  <c r="I335" i="55" s="1"/>
  <c r="E324" i="55"/>
  <c r="E335" i="55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13" i="65"/>
  <c r="H26" i="65"/>
  <c r="D30" i="65"/>
  <c r="H34" i="65"/>
  <c r="D39" i="65"/>
  <c r="H41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K12" i="55" l="1"/>
  <c r="K324" i="55" s="1"/>
  <c r="K22" i="55"/>
  <c r="K334" i="55" s="1"/>
  <c r="M30" i="58"/>
  <c r="E326" i="55"/>
  <c r="E333" i="55"/>
  <c r="L358" i="65"/>
  <c r="K14" i="55"/>
  <c r="K326" i="55" s="1"/>
  <c r="I24" i="55"/>
  <c r="I336" i="55" s="1"/>
  <c r="E336" i="55"/>
  <c r="E364" i="55"/>
  <c r="I29" i="55"/>
  <c r="I341" i="55" s="1"/>
  <c r="J353" i="65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K78" i="65"/>
  <c r="J61" i="65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K45" i="55"/>
  <c r="K359" i="55" s="1"/>
  <c r="J34" i="65"/>
  <c r="L87" i="65"/>
  <c r="I30" i="58"/>
  <c r="I332" i="58" s="1"/>
  <c r="K34" i="65"/>
  <c r="E30" i="58"/>
  <c r="E332" i="58" s="1"/>
  <c r="K29" i="55"/>
  <c r="K341" i="55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C30" i="58"/>
  <c r="C332" i="58" s="1"/>
  <c r="L63" i="65"/>
  <c r="L82" i="65"/>
  <c r="K82" i="65"/>
  <c r="I92" i="65"/>
  <c r="I94" i="65" s="1"/>
  <c r="E71" i="65"/>
  <c r="J74" i="65" s="1"/>
  <c r="J87" i="65"/>
  <c r="L78" i="65"/>
  <c r="F28" i="54"/>
  <c r="K40" i="55"/>
  <c r="K354" i="55" s="1"/>
  <c r="K32" i="55"/>
  <c r="K346" i="55" s="1"/>
  <c r="E39" i="55"/>
  <c r="I39" i="55" s="1"/>
  <c r="I353" i="55" s="1"/>
  <c r="E361" i="55"/>
  <c r="J31" i="65"/>
  <c r="K13" i="55"/>
  <c r="K325" i="55" s="1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M332" i="58"/>
  <c r="Z39" i="61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D28" i="54"/>
  <c r="D338" i="54"/>
  <c r="J10" i="65"/>
  <c r="P22" i="60"/>
  <c r="P327" i="60" s="1"/>
  <c r="K37" i="55" l="1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K16" i="55" l="1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K9" i="65" l="1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<sst xmlns="http://schemas.openxmlformats.org/spreadsheetml/2006/main" count="1911" uniqueCount="999">
  <si>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</si>
  <si>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</si>
  <si>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</si>
  <si>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</si>
  <si>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</si>
  <si>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</si>
  <si>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</si>
  <si>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</si>
  <si>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</si>
  <si>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</si>
  <si>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</si>
  <si>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</si>
  <si>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</si>
  <si>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</si>
  <si>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</si>
  <si>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</si>
  <si>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</si>
  <si>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</si>
  <si>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</si>
  <si>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</si>
  <si>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</si>
  <si>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</si>
  <si>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</si>
  <si>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</si>
  <si>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</si>
  <si>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</si>
  <si>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</si>
  <si>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</si>
  <si>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</si>
  <si>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</si>
  <si>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</si>
  <si>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</si>
  <si>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</si>
  <si>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</si>
  <si>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</si>
  <si>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</si>
  <si>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</si>
  <si>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</si>
  <si>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</si>
  <si>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</si>
  <si>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</si>
  <si>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</si>
  <si>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</si>
  <si>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</si>
  <si>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</si>
  <si>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</si>
  <si>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</si>
  <si>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</si>
  <si>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</si>
  <si>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</si>
  <si>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</si>
  <si>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</si>
  <si>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</si>
  <si>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</si>
  <si>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</si>
  <si>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</si>
  <si>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</si>
  <si>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</si>
  <si>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</si>
  <si>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</si>
  <si>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</si>
  <si>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</si>
  <si>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</si>
  <si>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</si>
  <si>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</si>
  <si>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</si>
  <si>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</si>
  <si>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</si>
  <si>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</si>
  <si>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</si>
  <si>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</si>
  <si>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</si>
  <si>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</si>
  <si>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</si>
  <si>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</si>
  <si>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</si>
  <si>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</si>
  <si>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</si>
  <si>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</si>
  <si>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</si>
  <si>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</si>
  <si>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</si>
  <si>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</si>
  <si>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</si>
  <si>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</si>
  <si>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</si>
  <si>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</si>
  <si>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</si>
  <si>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</si>
  <si>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</si>
  <si>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</si>
  <si>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</si>
  <si>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</si>
  <si>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</si>
  <si>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</si>
  <si>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</si>
  <si>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</si>
  <si>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</si>
  <si>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</si>
  <si>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</si>
  <si>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</si>
  <si>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</si>
  <si>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</si>
  <si>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</si>
  <si>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</si>
  <si>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</si>
  <si>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</si>
  <si>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</si>
  <si>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</si>
  <si>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</si>
  <si>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</si>
  <si>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</si>
  <si>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</si>
  <si>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</si>
  <si>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</si>
  <si>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</si>
  <si>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</si>
  <si>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</si>
  <si>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</si>
  <si>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</si>
  <si>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</si>
  <si>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</si>
  <si>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</si>
  <si>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</si>
  <si>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</si>
  <si>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</si>
  <si>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</si>
  <si>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</si>
  <si>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</si>
  <si>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</si>
  <si>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</si>
  <si>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</si>
  <si>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</si>
  <si>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</si>
  <si>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</si>
  <si>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</si>
  <si>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</si>
  <si>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</si>
  <si>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</si>
  <si>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</si>
  <si>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</si>
  <si>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</si>
  <si>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</si>
  <si>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</si>
  <si>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</si>
  <si>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</si>
  <si>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</si>
  <si>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</si>
  <si>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</si>
  <si>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</si>
  <si>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</si>
  <si>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</si>
  <si>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</si>
  <si>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</si>
  <si>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</si>
  <si>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</si>
  <si>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</si>
  <si>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</si>
  <si>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</si>
  <si>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</si>
  <si>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</si>
  <si>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</si>
  <si>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</si>
  <si>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</si>
  <si>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</si>
  <si>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</si>
  <si>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</si>
  <si>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</si>
  <si>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</si>
  <si>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</si>
  <si>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</si>
  <si>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</si>
  <si>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</si>
  <si>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</si>
  <si>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</si>
  <si>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</si>
  <si>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</si>
  <si>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</si>
  <si>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</si>
  <si>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</si>
  <si>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</si>
  <si>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</si>
  <si>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</si>
  <si>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</si>
  <si>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</si>
  <si>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</si>
  <si>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</si>
  <si>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</si>
  <si>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</si>
  <si>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</si>
  <si>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</si>
  <si>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</si>
  <si>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</si>
  <si>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</si>
  <si>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</si>
  <si>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</si>
  <si>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</si>
  <si>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</si>
  <si>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</si>
  <si>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</si>
  <si>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</si>
  <si>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</si>
  <si>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</si>
  <si>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</si>
  <si>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</si>
  <si>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</si>
  <si>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</si>
  <si>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</si>
  <si>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</si>
  <si>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</si>
  <si>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</si>
  <si>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</si>
  <si>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</si>
  <si>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</si>
  <si>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</si>
  <si>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</si>
  <si>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</si>
  <si>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</si>
  <si>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</si>
  <si>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</si>
  <si>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</si>
  <si>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</si>
  <si>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</si>
  <si>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</si>
  <si>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</si>
  <si>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</si>
  <si>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</si>
  <si>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</si>
  <si>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</si>
  <si>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</si>
  <si>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</si>
  <si>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</si>
  <si>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</si>
  <si>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</si>
  <si>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</si>
  <si>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</si>
  <si>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</si>
  <si>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</si>
  <si>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</si>
  <si>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</si>
  <si>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</si>
  <si>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</si>
  <si>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</si>
  <si>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</si>
  <si>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</si>
  <si>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</si>
  <si>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</si>
  <si>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</si>
  <si>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</si>
  <si>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</si>
  <si>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</si>
  <si>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</si>
  <si>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</si>
  <si>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</si>
  <si>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</si>
  <si>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</si>
  <si>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</si>
  <si>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</si>
  <si>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</si>
  <si>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</si>
  <si>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</si>
  <si>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</si>
  <si>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</si>
  <si>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</si>
  <si>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</si>
  <si>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</si>
  <si>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</si>
  <si>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</si>
  <si>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</si>
  <si>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</si>
  <si>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</si>
  <si>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</si>
  <si>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</si>
  <si>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</si>
  <si>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</si>
  <si>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</si>
  <si>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</si>
  <si>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</si>
  <si>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</si>
  <si>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</si>
  <si>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</si>
  <si>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</si>
  <si>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</si>
  <si>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</si>
  <si>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</si>
  <si>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</si>
  <si>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</si>
  <si>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</si>
  <si>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</si>
  <si>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</si>
  <si>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</si>
  <si>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</si>
  <si>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</si>
  <si>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</si>
  <si>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</si>
  <si>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</si>
  <si>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</si>
  <si>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</si>
  <si>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</si>
  <si>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</si>
  <si>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</si>
  <si>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</si>
  <si>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</si>
  <si>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</si>
  <si>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</si>
  <si>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</si>
  <si>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</si>
  <si>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</si>
  <si>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</si>
  <si>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</si>
  <si>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</si>
  <si>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</si>
  <si>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</si>
  <si>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</si>
  <si>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</si>
  <si>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</si>
  <si>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</si>
  <si>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</si>
  <si>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</si>
  <si>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</si>
  <si>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</si>
  <si>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</si>
  <si>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</si>
  <si>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</si>
  <si>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</si>
  <si>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</si>
  <si>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</si>
  <si>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</si>
  <si>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</si>
  <si>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</si>
  <si>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</si>
  <si>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</si>
  <si>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</si>
  <si>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</si>
  <si>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</si>
  <si>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</si>
  <si>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</si>
  <si>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</si>
  <si>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</si>
  <si>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</si>
  <si>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</si>
  <si>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</si>
  <si>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</si>
  <si>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</si>
  <si>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</si>
  <si>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</si>
  <si>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</si>
  <si>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</si>
  <si>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</si>
  <si>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</si>
  <si>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</si>
  <si>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</si>
  <si>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</si>
  <si>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</si>
  <si>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</si>
  <si>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</si>
  <si>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</si>
  <si>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</si>
  <si>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</si>
  <si>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</si>
  <si>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</si>
  <si>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</si>
  <si>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</si>
  <si>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</si>
  <si>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</si>
  <si>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</si>
  <si>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</si>
  <si>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</si>
  <si>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</si>
  <si>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</si>
  <si>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</si>
  <si>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</si>
  <si>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</si>
  <si>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</si>
  <si>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</si>
  <si>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</si>
  <si>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</si>
  <si>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</si>
  <si>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</si>
  <si>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</si>
  <si>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</si>
  <si>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</si>
  <si>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</si>
  <si>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</si>
  <si>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</si>
  <si>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</si>
  <si>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</si>
  <si>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</si>
  <si>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</si>
  <si>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</si>
  <si>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</si>
  <si>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</si>
  <si>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</si>
  <si>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</si>
  <si>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</si>
  <si>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</si>
  <si>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</si>
  <si>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</si>
  <si>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</si>
  <si>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</si>
  <si>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</si>
  <si>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</si>
  <si>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</si>
  <si>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</si>
  <si>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</si>
  <si>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</si>
  <si>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</si>
  <si>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</si>
  <si>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</si>
  <si>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</si>
  <si>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</si>
  <si>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</si>
  <si>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</si>
  <si>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</si>
  <si>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</si>
  <si>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</si>
  <si>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</si>
  <si>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</si>
  <si>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</si>
  <si>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</si>
  <si>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</si>
  <si>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</si>
  <si>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</si>
  <si>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</si>
  <si>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</si>
  <si>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</si>
  <si>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</si>
  <si>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</si>
  <si>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</si>
  <si>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</si>
  <si>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</si>
  <si>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</si>
  <si>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</si>
  <si>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</si>
  <si>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</si>
  <si>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</si>
  <si>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</si>
  <si>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</si>
  <si>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</si>
  <si>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</si>
  <si>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</si>
  <si>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</si>
  <si>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</si>
  <si>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</si>
  <si>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</si>
  <si>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</si>
  <si>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</si>
  <si>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</si>
  <si>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</si>
  <si>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</si>
  <si>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</si>
  <si>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</si>
  <si>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</si>
  <si>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</si>
  <si>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</si>
  <si>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</si>
  <si>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</si>
  <si>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</si>
  <si>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</si>
  <si>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</si>
  <si>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</si>
  <si>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</si>
  <si>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</si>
  <si>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</si>
  <si>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</si>
  <si>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</si>
  <si>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</si>
  <si>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</si>
  <si>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</si>
  <si>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</si>
  <si>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</si>
  <si>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</si>
  <si>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</si>
  <si>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</si>
  <si>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</si>
  <si>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</si>
  <si>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</si>
  <si>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</si>
  <si>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</si>
  <si>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</si>
  <si>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</si>
  <si>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</si>
  <si>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</si>
  <si>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</si>
  <si>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</si>
  <si>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</si>
  <si>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</si>
  <si>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</si>
  <si>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</si>
  <si>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</si>
  <si>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</si>
  <si>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</si>
  <si>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</si>
  <si>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</si>
  <si>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</si>
  <si>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</si>
  <si>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</si>
  <si>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</si>
  <si>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</si>
  <si>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</si>
  <si>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</si>
  <si>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</si>
  <si>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</si>
  <si>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</si>
  <si>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</si>
  <si>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</si>
  <si>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</si>
  <si>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</si>
  <si>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</si>
  <si>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</si>
  <si>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</si>
  <si>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</si>
  <si>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</si>
  <si>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</si>
  <si>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</si>
  <si>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</si>
  <si>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</si>
  <si>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</si>
  <si>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</si>
  <si>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</si>
  <si>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</si>
  <si>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</si>
  <si>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</si>
  <si>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</si>
  <si>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</si>
  <si>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</si>
  <si>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</si>
  <si>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</si>
  <si>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</si>
  <si>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</si>
  <si>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</si>
  <si>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</si>
  <si>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</si>
  <si>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</si>
  <si>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</si>
  <si>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</si>
  <si>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</si>
  <si>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</si>
  <si>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</si>
  <si>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</si>
  <si>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</si>
  <si>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</si>
  <si>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</si>
  <si>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</si>
  <si>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</si>
  <si>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</si>
  <si>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</si>
  <si>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</si>
  <si>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</si>
  <si>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</si>
  <si>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</si>
  <si>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</si>
  <si>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</si>
  <si>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</si>
  <si>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</si>
  <si>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</si>
  <si>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</si>
  <si>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</si>
  <si>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</si>
  <si>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</si>
  <si>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</si>
  <si>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</si>
  <si>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</si>
  <si>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</si>
  <si>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</si>
  <si>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</si>
  <si>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</si>
  <si>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</si>
  <si>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</si>
  <si>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</si>
  <si>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</si>
  <si>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</si>
  <si>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</si>
  <si>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</si>
  <si>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</si>
  <si>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</si>
  <si>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</si>
  <si>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</si>
  <si>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</si>
  <si>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</si>
  <si>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</si>
  <si>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</si>
  <si>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</si>
  <si>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</si>
  <si>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</si>
  <si>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</si>
  <si>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</si>
  <si>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</si>
  <si>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</si>
  <si>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</si>
  <si>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</si>
  <si>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</si>
  <si>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</si>
  <si>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</si>
  <si>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</si>
  <si>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</si>
  <si>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</si>
  <si>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</si>
  <si>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</si>
  <si>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</si>
  <si>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</si>
  <si>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</si>
  <si>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</si>
  <si>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</si>
  <si>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</si>
  <si>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</si>
  <si>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</si>
  <si>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</si>
  <si>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</si>
  <si>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</si>
  <si>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</si>
  <si>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</si>
  <si>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</si>
  <si>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</si>
  <si>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</si>
  <si>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</si>
  <si>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</si>
  <si>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</si>
  <si>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</si>
  <si>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</si>
  <si>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</si>
  <si>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</si>
  <si>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</si>
  <si>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</si>
  <si>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</si>
  <si>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</si>
  <si>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</si>
  <si>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</si>
  <si>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</si>
  <si>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</si>
  <si>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</si>
  <si>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</si>
  <si>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</si>
  <si>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</si>
  <si>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</si>
  <si>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</si>
  <si>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</si>
  <si>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</si>
  <si>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</si>
  <si>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</si>
  <si>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</si>
  <si>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</si>
  <si>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</si>
  <si>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</si>
  <si>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</si>
  <si>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</si>
  <si>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</si>
  <si>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</si>
  <si>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</si>
  <si>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</si>
  <si>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</si>
  <si>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</si>
  <si>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</si>
  <si>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</si>
  <si>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</si>
  <si>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</si>
  <si>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</si>
  <si>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</si>
  <si>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</si>
  <si>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</si>
  <si>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</si>
  <si>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</si>
  <si>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</si>
  <si>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</si>
  <si>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</si>
  <si>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</si>
  <si>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</si>
  <si>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</si>
  <si>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</si>
  <si>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</si>
  <si>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</si>
  <si>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</si>
  <si>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</si>
  <si>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</si>
  <si>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</si>
  <si>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</si>
  <si>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</si>
  <si>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</si>
  <si>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</si>
  <si>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</si>
  <si>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</si>
  <si>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</si>
  <si>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</si>
  <si>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</si>
  <si>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</si>
  <si>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</si>
  <si>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</si>
  <si>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</si>
  <si>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</si>
  <si>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</si>
  <si>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</si>
  <si>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</si>
  <si>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</si>
  <si>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</si>
  <si>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</si>
  <si>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</si>
  <si>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</si>
  <si>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</si>
  <si>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</si>
  <si>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</si>
  <si>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</si>
  <si>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</si>
  <si>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</si>
  <si>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</si>
  <si>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</si>
  <si>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</si>
  <si>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</si>
  <si>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</si>
  <si>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</si>
  <si>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</si>
  <si>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</si>
  <si>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</si>
  <si>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</si>
  <si>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</si>
  <si>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</si>
  <si>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</si>
  <si>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</si>
  <si>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</si>
  <si>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</si>
  <si>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</si>
  <si>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</si>
  <si>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</si>
  <si>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</si>
  <si>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</si>
  <si>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</si>
  <si>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</si>
  <si>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</si>
  <si>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</si>
  <si>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</si>
  <si>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</si>
  <si>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</si>
  <si>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</si>
  <si>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</si>
  <si>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</si>
  <si>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</si>
  <si>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</si>
  <si>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</si>
  <si>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</si>
  <si>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</si>
  <si>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</si>
  <si>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</si>
  <si>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</si>
  <si>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</si>
  <si>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</si>
  <si>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</si>
  <si>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</si>
  <si>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</si>
  <si>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</si>
  <si>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</si>
  <si>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</si>
  <si>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</si>
  <si>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</si>
  <si>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</si>
  <si>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</si>
  <si>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</si>
  <si>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</si>
  <si>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</si>
  <si>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</si>
  <si>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</si>
  <si>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</si>
  <si>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</si>
  <si>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</si>
  <si>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</si>
  <si>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</si>
  <si>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</si>
  <si>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</si>
  <si>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</si>
  <si>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</si>
  <si>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</si>
  <si>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</si>
  <si>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</si>
  <si>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</si>
  <si>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</si>
  <si>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</si>
  <si>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</si>
  <si>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</si>
  <si>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</si>
  <si>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</si>
  <si>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</si>
  <si>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</si>
  <si>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</si>
  <si>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</si>
  <si>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</si>
  <si>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</si>
  <si>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</si>
  <si>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</si>
  <si>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</si>
  <si>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</si>
  <si>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</si>
  <si>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</si>
  <si>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</si>
  <si>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</si>
  <si>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</si>
  <si>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</si>
  <si>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</si>
  <si>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</si>
  <si>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</si>
  <si>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</si>
  <si>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</si>
  <si>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</si>
  <si>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</si>
  <si>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</si>
  <si>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</si>
  <si>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</si>
  <si>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</si>
  <si>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</si>
  <si>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</si>
  <si>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</si>
  <si>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</si>
  <si>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</si>
  <si>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</si>
  <si>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</si>
  <si>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</si>
  <si>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</si>
  <si>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</si>
  <si>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</si>
  <si>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</si>
  <si>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</si>
  <si>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</si>
  <si>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</si>
  <si>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</si>
  <si>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</si>
  <si>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</si>
  <si>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</si>
  <si>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</si>
  <si>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</si>
  <si>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</si>
  <si>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</si>
  <si>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</si>
  <si>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</si>
  <si>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</si>
  <si>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</si>
  <si>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</si>
  <si>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</si>
  <si>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</si>
  <si>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</si>
  <si>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</si>
  <si>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</si>
  <si>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</si>
  <si>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</si>
  <si>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</si>
  <si>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</si>
  <si>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</si>
  <si>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</si>
  <si>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</si>
  <si>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</si>
  <si>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</si>
  <si>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</si>
  <si>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</si>
  <si>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</si>
  <si>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</si>
  <si>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</si>
  <si>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</si>
  <si>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</si>
  <si>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</si>
  <si>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</si>
  <si>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</si>
  <si>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</si>
  <si>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</si>
  <si>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</si>
  <si>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</si>
  <si>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</si>
  <si>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</si>
  <si>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</si>
  <si>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</si>
  <si>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</si>
  <si>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</si>
  <si>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</si>
  <si>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</si>
  <si>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</si>
  <si>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</si>
  <si>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</si>
  <si>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</si>
  <si>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</si>
  <si>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</si>
  <si>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</si>
  <si>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</si>
  <si>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</si>
  <si>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</si>
  <si>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</si>
  <si>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</si>
  <si>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</si>
  <si>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</si>
  <si>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</si>
  <si>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</si>
  <si>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</si>
  <si>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</si>
  <si>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</si>
  <si>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</si>
  <si>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</si>
  <si>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</si>
  <si>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</si>
  <si>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</si>
  <si>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</si>
  <si>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</si>
  <si>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</si>
  <si>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</si>
  <si>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</si>
  <si>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</si>
  <si>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</si>
  <si>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</si>
  <si>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</si>
  <si>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</si>
  <si>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</si>
  <si>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</si>
  <si>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</si>
  <si>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</si>
  <si>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</si>
  <si>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</si>
  <si>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</si>
  <si>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</si>
  <si>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</si>
  <si>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</si>
  <si>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</si>
  <si>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</si>
  <si>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</si>
  <si>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</si>
  <si>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</si>
  <si>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</si>
  <si>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</si>
  <si>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</si>
  <si>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</si>
  <si>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</si>
  <si>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</si>
  <si>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</si>
  <si>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</si>
  <si>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</si>
  <si>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</si>
  <si>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</si>
  <si>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</si>
  <si>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</si>
  <si>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</si>
  <si>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</si>
  <si>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</si>
  <si>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</si>
  <si>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</si>
  <si>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</si>
  <si>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</si>
  <si>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</si>
  <si>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</si>
  <si>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</si>
  <si>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</si>
  <si>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</si>
  <si>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</si>
  <si>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</si>
  <si>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</si>
  <si>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</si>
  <si>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</si>
  <si>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</si>
  <si>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</si>
  <si>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</si>
  <si>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</si>
  <si>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</si>
  <si>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</si>
  <si>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</si>
  <si>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</si>
  <si>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</si>
  <si>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</si>
  <si>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</si>
  <si>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</si>
  <si>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</si>
  <si>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</si>
  <si>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</si>
  <si>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</si>
  <si>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</si>
  <si>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</si>
  <si>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</si>
  <si>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</si>
  <si>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</si>
  <si>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</si>
  <si>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</si>
  <si>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</si>
  <si>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</si>
  <si>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</si>
  <si>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</si>
  <si>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</si>
  <si>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יועץ משפטי</t>
  </si>
  <si>
    <t>גזבר</t>
  </si>
  <si>
    <t>מנהל מחלקת חינוך</t>
  </si>
  <si>
    <t>מורה תיכון</t>
  </si>
  <si>
    <t>23382369</t>
  </si>
  <si>
    <t>23126360</t>
  </si>
  <si>
    <t>23173107</t>
  </si>
  <si>
    <t>28373256</t>
  </si>
  <si>
    <t>27596469</t>
  </si>
  <si>
    <t>53731147</t>
  </si>
  <si>
    <t>23423411</t>
  </si>
  <si>
    <t>מהנדס</t>
  </si>
  <si>
    <t>23173487</t>
  </si>
  <si>
    <t>סמנכ"ל</t>
  </si>
  <si>
    <t>24788341</t>
  </si>
  <si>
    <t>מיון הכנסות מראש</t>
  </si>
  <si>
    <t>הנחות מימון</t>
  </si>
  <si>
    <t>קיזוז שכר עובדים מושאלים</t>
  </si>
  <si>
    <t>עובד מושאל</t>
  </si>
  <si>
    <t>עובדים מושאלים</t>
  </si>
  <si>
    <t>מנהל בית ספר</t>
  </si>
  <si>
    <t>33428896</t>
  </si>
  <si>
    <t>אין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</si>
</sst>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9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49" fontId="1" fillId="6" borderId="2" xfId="17" applyNumberFormat="1" applyFont="1" applyProtection="1">
      <protection locked="0"/>
    </xf>
    <xf numFmtId="165" fontId="59" fillId="6" borderId="2" xfId="17" applyFont="1" applyProtection="1">
      <protection locked="0"/>
    </xf>
    <xf numFmtId="165" fontId="1" fillId="6" borderId="0" xfId="17" applyFont="1" applyBorder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5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ColWidth="9.1796875" defaultRowHeight="12.5"/>
  <cols>
    <col min="1" max="3" width="9.1796875" style="106"/>
    <col min="4" max="4" width="3" style="106" customWidth="1"/>
    <col min="5" max="5" width="45.26953125" style="106" customWidth="1"/>
    <col min="6" max="6" width="10.1796875" style="106" customWidth="1"/>
    <col min="7" max="16384" width="9.1796875" style="106"/>
  </cols>
  <sheetData>
    <row r="1" spans="1:8" ht="17.25" customHeight="1" thickTop="1" thickBot="1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>
      <c r="A4" s="591" t="s">
        <v>584</v>
      </c>
      <c r="B4" s="591"/>
      <c r="C4" s="591"/>
      <c r="D4" s="110"/>
      <c r="E4" s="110"/>
      <c r="F4" s="110"/>
      <c r="G4" s="110"/>
      <c r="H4" s="111"/>
    </row>
    <row r="5" spans="1:8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>
      <c r="A6" s="110"/>
      <c r="B6" s="112"/>
      <c r="C6" s="431" t="s">
        <v>576</v>
      </c>
      <c r="D6" s="112"/>
      <c r="E6" s="432" t="s">
        <v>577</v>
      </c>
      <c r="F6" s="592" t="s">
        <v>578</v>
      </c>
      <c r="G6" s="593"/>
      <c r="H6" s="111"/>
    </row>
    <row r="7" spans="1:8">
      <c r="A7" s="110"/>
      <c r="B7" s="114"/>
      <c r="C7" s="115"/>
      <c r="D7" s="433"/>
      <c r="E7" s="433"/>
      <c r="F7" s="433"/>
      <c r="G7" s="434"/>
      <c r="H7" s="111"/>
    </row>
    <row r="8" spans="1:8" ht="12.75" customHeight="1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>
      <c r="A9" s="110"/>
      <c r="B9" s="114"/>
      <c r="C9" s="115"/>
      <c r="D9" s="115"/>
      <c r="E9" s="115"/>
      <c r="F9" s="435"/>
      <c r="G9" s="437"/>
      <c r="H9" s="111"/>
    </row>
    <row r="10" spans="1:8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>
      <c r="A11" s="110"/>
      <c r="B11" s="114"/>
      <c r="C11" s="115"/>
      <c r="D11" s="115"/>
      <c r="E11" s="115"/>
      <c r="F11" s="435"/>
      <c r="G11" s="437"/>
      <c r="H11" s="111"/>
    </row>
    <row r="12" spans="1:8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>
      <c r="A13" s="110"/>
      <c r="B13" s="114"/>
      <c r="C13" s="115"/>
      <c r="D13" s="115"/>
      <c r="E13" s="115"/>
      <c r="F13" s="435"/>
      <c r="G13" s="437"/>
      <c r="H13" s="111"/>
    </row>
    <row r="14" spans="1:8" ht="13" customHeight="1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>
      <c r="A15" s="110"/>
      <c r="B15" s="114"/>
      <c r="C15" s="115"/>
      <c r="D15" s="435"/>
      <c r="E15" s="435"/>
      <c r="F15" s="435"/>
      <c r="G15" s="437"/>
      <c r="H15" s="111"/>
    </row>
    <row r="16" spans="1:8" ht="13" thickBot="1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>
      <c r="A17" s="110"/>
      <c r="B17" s="114"/>
      <c r="C17" s="115"/>
      <c r="D17" s="435"/>
      <c r="E17" s="435"/>
      <c r="F17" s="435"/>
      <c r="G17" s="437"/>
      <c r="H17" s="111"/>
    </row>
    <row r="18" spans="1:8">
      <c r="A18" s="110"/>
      <c r="B18" s="114"/>
      <c r="C18" s="115"/>
      <c r="D18" s="435"/>
      <c r="E18" s="435"/>
      <c r="F18" s="435"/>
      <c r="G18" s="437"/>
      <c r="H18" s="111"/>
    </row>
    <row r="19" spans="1:8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>
      <c r="A20" s="127"/>
      <c r="B20" s="127"/>
      <c r="C20" s="127"/>
      <c r="D20" s="127"/>
      <c r="E20" s="127"/>
      <c r="F20" s="127"/>
      <c r="G20" s="127"/>
      <c r="H20" s="128"/>
    </row>
    <row r="21" spans="1:8" ht="13" thickTop="1"/>
    <row r="24" spans="1:8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115" zoomScaleNormal="115" workbookViewId="0">
      <selection activeCell="C11" sqref="C11"/>
    </sheetView>
  </sheetViews>
  <sheetFormatPr defaultColWidth="9.1796875" defaultRowHeight="12.5"/>
  <cols>
    <col min="1" max="4" width="9.1796875" style="106"/>
    <col min="5" max="5" width="16.453125" style="106" customWidth="1"/>
    <col min="6" max="6" width="3" style="106" customWidth="1"/>
    <col min="7" max="16384" width="9.1796875" style="106"/>
  </cols>
  <sheetData>
    <row r="1" spans="1:9" ht="17.25" customHeight="1" thickTop="1" thickBot="1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>
      <c r="A4" s="110"/>
      <c r="B4" s="110"/>
      <c r="C4" s="110"/>
      <c r="D4" s="110"/>
      <c r="E4" s="110"/>
      <c r="F4" s="110"/>
      <c r="G4" s="110"/>
      <c r="H4" s="110"/>
      <c r="I4" s="111"/>
    </row>
    <row r="5" spans="1:9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>
      <c r="A6" s="110"/>
      <c r="B6" s="594" t="s">
        <v>506</v>
      </c>
      <c r="C6" s="595"/>
      <c r="D6" s="595"/>
      <c r="E6" s="595"/>
      <c r="F6" s="595"/>
      <c r="G6" s="595"/>
      <c r="H6" s="596"/>
      <c r="I6" s="111"/>
    </row>
    <row r="7" spans="1:9" ht="10.5" customHeight="1">
      <c r="A7" s="110"/>
      <c r="B7" s="597"/>
      <c r="C7" s="597"/>
      <c r="D7" s="597"/>
      <c r="E7" s="597"/>
      <c r="F7" s="597"/>
      <c r="G7" s="597"/>
      <c r="H7" s="598"/>
      <c r="I7" s="111"/>
    </row>
    <row r="8" spans="1:9">
      <c r="A8" s="110"/>
      <c r="B8" s="417"/>
      <c r="C8" s="418"/>
      <c r="D8" s="418"/>
      <c r="E8" s="418"/>
      <c r="F8" s="419"/>
      <c r="G8" s="420"/>
      <c r="H8" s="421"/>
      <c r="I8" s="111"/>
    </row>
    <row r="9" spans="1:9" ht="13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7" customHeight="1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ht="13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7" customHeight="1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ht="13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7" customHeight="1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ht="13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7" customHeight="1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t="13" hidden="1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t="13" hidden="1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ht="13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" thickTop="1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ColWidth="9.1796875" defaultRowHeight="12.5"/>
  <cols>
    <col min="1" max="3" width="9.1796875" style="42"/>
    <col min="4" max="4" width="9" style="42" customWidth="1"/>
    <col min="5" max="5" width="3" style="42" customWidth="1"/>
    <col min="6" max="13" width="9.1796875" style="42"/>
    <col min="14" max="14" width="9.26953125" style="42" customWidth="1"/>
    <col min="15" max="15" width="9.1796875" style="42" hidden="1" customWidth="1"/>
    <col min="16" max="16384" width="9.1796875" style="42"/>
  </cols>
  <sheetData>
    <row r="1" spans="1:15" ht="17.25" customHeight="1" thickTop="1" thickBot="1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4, שנת 2017</v>
      </c>
    </row>
    <row r="3" spans="1:15" ht="17.25" customHeight="1" thickTop="1" thickBot="1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12</v>
      </c>
    </row>
    <row r="4" spans="1:15" ht="17.25" customHeight="1" thickTop="1">
      <c r="A4" s="607" t="s">
        <v>584</v>
      </c>
      <c r="B4" s="607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31</v>
      </c>
    </row>
    <row r="5" spans="1:15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דצמבר</v>
      </c>
    </row>
    <row r="6" spans="1:15" ht="18" customHeight="1">
      <c r="A6" s="43"/>
      <c r="B6" s="608" t="s">
        <v>737</v>
      </c>
      <c r="C6" s="609"/>
      <c r="D6" s="609"/>
      <c r="E6" s="609"/>
      <c r="F6" s="609"/>
      <c r="G6" s="609"/>
      <c r="H6" s="609"/>
      <c r="I6" s="610"/>
      <c r="J6" s="44"/>
    </row>
    <row r="7" spans="1:15">
      <c r="A7" s="43"/>
      <c r="B7" s="611"/>
      <c r="C7" s="612"/>
      <c r="D7" s="612"/>
      <c r="E7" s="612"/>
      <c r="F7" s="612"/>
      <c r="G7" s="612"/>
      <c r="H7" s="612"/>
      <c r="I7" s="613"/>
      <c r="J7" s="44"/>
    </row>
    <row r="8" spans="1:15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>
      <c r="A9" s="43"/>
      <c r="B9" s="614" t="s">
        <v>738</v>
      </c>
      <c r="C9" s="602"/>
      <c r="D9" s="615" t="s">
        <v>974</v>
      </c>
      <c r="E9" s="616"/>
      <c r="F9" s="616"/>
      <c r="G9" s="616"/>
      <c r="H9" s="617"/>
      <c r="I9" s="165"/>
      <c r="J9" s="44"/>
    </row>
    <row r="10" spans="1:15" ht="7" customHeight="1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>
      <c r="A11" s="43"/>
      <c r="B11" s="601" t="s">
        <v>739</v>
      </c>
      <c r="C11" s="602"/>
      <c r="D11" s="168">
        <v>2017</v>
      </c>
      <c r="E11" s="164"/>
      <c r="F11" s="602" t="s">
        <v>740</v>
      </c>
      <c r="G11" s="602"/>
      <c r="H11" s="602"/>
      <c r="I11" s="603"/>
      <c r="J11" s="44"/>
    </row>
    <row r="12" spans="1:15" ht="7" customHeight="1">
      <c r="A12" s="43"/>
      <c r="B12" s="166"/>
      <c r="C12" s="164"/>
      <c r="D12" s="164"/>
      <c r="E12" s="164"/>
      <c r="F12" s="602"/>
      <c r="G12" s="602"/>
      <c r="H12" s="602"/>
      <c r="I12" s="603"/>
      <c r="J12" s="44"/>
    </row>
    <row r="13" spans="1:15">
      <c r="A13" s="43"/>
      <c r="B13" s="601" t="s">
        <v>590</v>
      </c>
      <c r="C13" s="602"/>
      <c r="D13" s="169">
        <f>D11-1</f>
        <v>2016</v>
      </c>
      <c r="E13" s="164"/>
      <c r="F13" s="602" t="s">
        <v>740</v>
      </c>
      <c r="G13" s="602"/>
      <c r="H13" s="602"/>
      <c r="I13" s="603"/>
      <c r="J13" s="44"/>
    </row>
    <row r="14" spans="1:15" ht="7" customHeight="1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>
      <c r="A15" s="43"/>
      <c r="B15" s="601" t="s">
        <v>741</v>
      </c>
      <c r="C15" s="602"/>
      <c r="D15" s="169">
        <f>D11-2</f>
        <v>2015</v>
      </c>
      <c r="E15" s="164"/>
      <c r="F15" s="602" t="s">
        <v>740</v>
      </c>
      <c r="G15" s="602"/>
      <c r="H15" s="602"/>
      <c r="I15" s="603"/>
      <c r="J15" s="44"/>
    </row>
    <row r="16" spans="1:15" ht="7" customHeight="1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>
      <c r="A17" s="43"/>
      <c r="B17" s="601" t="s">
        <v>742</v>
      </c>
      <c r="C17" s="602"/>
      <c r="D17" s="164">
        <v>1.01</v>
      </c>
      <c r="E17" s="164"/>
      <c r="F17" s="602" t="s">
        <v>743</v>
      </c>
      <c r="G17" s="602"/>
      <c r="H17" s="602"/>
      <c r="I17" s="603"/>
      <c r="J17" s="44"/>
    </row>
    <row r="18" spans="1:10" ht="8.25" hidden="1" customHeight="1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>
      <c r="A19" s="43"/>
      <c r="B19" s="601" t="s">
        <v>744</v>
      </c>
      <c r="C19" s="602"/>
      <c r="D19" s="164">
        <v>31.12</v>
      </c>
      <c r="E19" s="164"/>
      <c r="F19" s="602" t="s">
        <v>743</v>
      </c>
      <c r="G19" s="602"/>
      <c r="H19" s="602"/>
      <c r="I19" s="603"/>
      <c r="J19" s="44"/>
    </row>
    <row r="20" spans="1:10">
      <c r="A20" s="43"/>
      <c r="B20" s="166" t="s">
        <v>745</v>
      </c>
      <c r="C20" s="164"/>
      <c r="D20" s="170">
        <v>4</v>
      </c>
      <c r="E20" s="164"/>
      <c r="F20" s="164"/>
      <c r="G20" s="164"/>
      <c r="H20" s="164"/>
      <c r="I20" s="167"/>
      <c r="J20" s="44"/>
    </row>
    <row r="21" spans="1:10" ht="7.5" customHeight="1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>
      <c r="A22" s="43"/>
      <c r="B22" s="166" t="s">
        <v>746</v>
      </c>
      <c r="C22" s="164"/>
      <c r="D22" s="604" t="s">
        <v>975</v>
      </c>
      <c r="E22" s="605"/>
      <c r="F22" s="606"/>
      <c r="G22" s="164"/>
      <c r="H22" s="164"/>
      <c r="I22" s="167"/>
      <c r="J22" s="44"/>
    </row>
    <row r="23" spans="1:10" ht="8.25" customHeight="1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>
      <c r="A30" s="43"/>
      <c r="B30" s="172" t="s">
        <v>848</v>
      </c>
      <c r="C30" s="164"/>
      <c r="D30" s="164"/>
      <c r="E30" s="164"/>
      <c r="F30" s="173"/>
      <c r="G30" s="599" t="s">
        <v>832</v>
      </c>
      <c r="H30" s="600"/>
      <c r="I30" s="167"/>
      <c r="J30" s="44"/>
    </row>
    <row r="31" spans="1:10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" thickTop="1"/>
    <row r="36" spans="1:1">
      <c r="A36" s="58"/>
    </row>
  </sheetData>
  <sheetProtection password="83C1" sheet="1" objects="1" scenarios="1"/>
  <mergeCells count="17">
    <mergeCell ref="F13:I13"/>
    <mergeCell ref="A4:B4"/>
    <mergeCell ref="B6:I7"/>
    <mergeCell ref="B9:C9"/>
    <mergeCell ref="D9:H9"/>
    <mergeCell ref="B11:C11"/>
    <mergeCell ref="F11:I11"/>
    <mergeCell ref="F12:I12"/>
    <mergeCell ref="B13:C13"/>
    <mergeCell ref="G30:H30"/>
    <mergeCell ref="B19:C19"/>
    <mergeCell ref="F19:I19"/>
    <mergeCell ref="D22:F22"/>
    <mergeCell ref="B15:C15"/>
    <mergeCell ref="F15:I15"/>
    <mergeCell ref="B17:C17"/>
    <mergeCell ref="F17:I17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tabSelected="1" topLeftCell="A189" zoomScale="75" zoomScaleNormal="75" workbookViewId="0">
      <selection activeCell="M412" sqref="M412"/>
    </sheetView>
  </sheetViews>
  <sheetFormatPr defaultColWidth="9.1796875" defaultRowHeight="12.5"/>
  <cols>
    <col min="1" max="1" width="4.54296875" style="415" customWidth="1"/>
    <col min="2" max="2" width="12.81640625" style="42" customWidth="1"/>
    <col min="3" max="3" width="29.81640625" style="42" customWidth="1"/>
    <col min="4" max="4" width="5.453125" style="416" customWidth="1"/>
    <col min="5" max="5" width="10" style="223" customWidth="1"/>
    <col min="6" max="6" width="13" style="42" customWidth="1"/>
    <col min="7" max="7" width="26" style="42" customWidth="1"/>
    <col min="8" max="8" width="5.26953125" style="457" customWidth="1"/>
    <col min="9" max="9" width="10" style="223" customWidth="1"/>
    <col min="10" max="10" width="8.7265625" style="42" customWidth="1"/>
    <col min="11" max="11" width="10" style="223" customWidth="1"/>
    <col min="12" max="12" width="41.81640625" style="42" customWidth="1"/>
    <col min="13" max="13" width="10.81640625" style="42" customWidth="1"/>
    <col min="14" max="14" width="9.26953125" style="42" customWidth="1"/>
    <col min="15" max="15" width="9.1796875" style="42"/>
    <col min="16" max="16" width="30.54296875" style="42" hidden="1" customWidth="1"/>
    <col min="17" max="16384" width="9.1796875" style="42"/>
  </cols>
  <sheetData>
    <row r="1" spans="1:16" ht="15.75" customHeight="1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>
      <c r="A2" s="618">
        <f>'הגדרות כלליות'!D6</f>
        <v>0</v>
      </c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278"/>
      <c r="N2" s="281"/>
    </row>
    <row r="3" spans="1:16" ht="36" hidden="1" customHeight="1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2017</v>
      </c>
      <c r="G3" s="283">
        <f>ShanaKodemet</f>
        <v>2016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>
      <c r="A4" s="619" t="s">
        <v>910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286"/>
      <c r="N4" s="281"/>
    </row>
    <row r="5" spans="1:16" ht="15.5">
      <c r="A5" s="287"/>
      <c r="B5" s="620" t="s">
        <v>911</v>
      </c>
      <c r="C5" s="620"/>
      <c r="D5" s="620"/>
      <c r="E5" s="620"/>
      <c r="F5" s="620"/>
      <c r="G5" s="620"/>
      <c r="H5" s="620"/>
      <c r="I5" s="620"/>
      <c r="J5" s="620" t="s">
        <v>912</v>
      </c>
      <c r="K5" s="620"/>
      <c r="L5" s="620"/>
      <c r="M5" s="288"/>
      <c r="N5" s="281"/>
    </row>
    <row r="6" spans="1:16" ht="12" customHeight="1">
      <c r="A6" s="289"/>
      <c r="B6" s="622" t="s">
        <v>913</v>
      </c>
      <c r="C6" s="622"/>
      <c r="D6" s="622"/>
      <c r="E6" s="623"/>
      <c r="F6" s="624" t="s">
        <v>914</v>
      </c>
      <c r="G6" s="622"/>
      <c r="H6" s="622"/>
      <c r="I6" s="623"/>
      <c r="J6" s="290"/>
      <c r="K6" s="291"/>
      <c r="L6" s="291"/>
      <c r="M6" s="292"/>
      <c r="N6" s="281"/>
    </row>
    <row r="7" spans="1:16" ht="13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>
      <c r="A8" s="476">
        <v>1</v>
      </c>
      <c r="B8" s="296" t="s">
        <v>920</v>
      </c>
      <c r="C8" s="296" t="s">
        <v>607</v>
      </c>
      <c r="D8" s="297">
        <f>Shana</f>
        <v>2017</v>
      </c>
      <c r="E8" s="298">
        <f>'תמצית מאזן'!D30</f>
        <v>64045</v>
      </c>
      <c r="F8" s="299" t="s">
        <v>920</v>
      </c>
      <c r="G8" s="296" t="s">
        <v>921</v>
      </c>
      <c r="H8" s="449">
        <f>$F$3</f>
        <v>2017</v>
      </c>
      <c r="I8" s="298">
        <f>'תמצית מאזן'!D55</f>
        <v>64045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>
      <c r="A9" s="476">
        <v>2</v>
      </c>
      <c r="B9" s="296" t="s">
        <v>920</v>
      </c>
      <c r="C9" s="296" t="s">
        <v>607</v>
      </c>
      <c r="D9" s="297">
        <f>ShanaKodemet</f>
        <v>2016</v>
      </c>
      <c r="E9" s="298">
        <f>'תמצית מאזן'!F30</f>
        <v>58016</v>
      </c>
      <c r="F9" s="302" t="s">
        <v>920</v>
      </c>
      <c r="G9" s="296" t="s">
        <v>921</v>
      </c>
      <c r="H9" s="449">
        <f>$G$3</f>
        <v>2016</v>
      </c>
      <c r="I9" s="298">
        <f>'תמצית מאזן'!F55</f>
        <v>58016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>
      <c r="A10" s="476">
        <v>3</v>
      </c>
      <c r="B10" s="296" t="s">
        <v>920</v>
      </c>
      <c r="C10" s="296" t="s">
        <v>924</v>
      </c>
      <c r="D10" s="297">
        <f>$F$3</f>
        <v>2017</v>
      </c>
      <c r="E10" s="298">
        <f>'תמצית מאזן'!D17</f>
        <v>9301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2016</v>
      </c>
      <c r="I10" s="298">
        <f>IF(E10&lt;&gt;0,IF('תמצית מאזן'!F20&lt;&gt;0,'תמצית מאזן'!F20,'תמצית מאזן'!F47*(-1)),0)</f>
        <v>9301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>
      <c r="A11" s="476">
        <v>4</v>
      </c>
      <c r="B11" s="296" t="s">
        <v>920</v>
      </c>
      <c r="C11" s="296" t="s">
        <v>926</v>
      </c>
      <c r="D11" s="297">
        <f>$F$3</f>
        <v>2017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2016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>
      <c r="A12" s="476">
        <v>5</v>
      </c>
      <c r="B12" s="296" t="s">
        <v>920</v>
      </c>
      <c r="C12" s="296" t="s">
        <v>928</v>
      </c>
      <c r="D12" s="297">
        <f>$F$3</f>
        <v>2017</v>
      </c>
      <c r="E12" s="298">
        <f>'תמצית מאזן'!D18</f>
        <v>-26</v>
      </c>
      <c r="F12" s="302" t="s">
        <v>920</v>
      </c>
      <c r="G12" s="296" t="s">
        <v>929</v>
      </c>
      <c r="H12" s="449">
        <f>$F$3</f>
        <v>2017</v>
      </c>
      <c r="I12" s="298">
        <f>'תמצית מאזן'!D66</f>
        <v>26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>
      <c r="A13" s="476">
        <v>6</v>
      </c>
      <c r="B13" s="296" t="s">
        <v>920</v>
      </c>
      <c r="C13" s="296" t="s">
        <v>928</v>
      </c>
      <c r="D13" s="297">
        <f>ShanaKodemet</f>
        <v>2016</v>
      </c>
      <c r="E13" s="298">
        <f>'תמצית מאזן'!F18</f>
        <v>-300</v>
      </c>
      <c r="F13" s="302" t="s">
        <v>920</v>
      </c>
      <c r="G13" s="296" t="s">
        <v>929</v>
      </c>
      <c r="H13" s="449">
        <f>$G$3</f>
        <v>2016</v>
      </c>
      <c r="I13" s="298">
        <f>'תמצית מאזן'!F66</f>
        <v>300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>
      <c r="A14" s="476">
        <v>7</v>
      </c>
      <c r="B14" s="296" t="s">
        <v>920</v>
      </c>
      <c r="C14" s="296" t="s">
        <v>932</v>
      </c>
      <c r="D14" s="297">
        <f>$F$3</f>
        <v>2017</v>
      </c>
      <c r="E14" s="298">
        <f>'תמצית מאזן'!D19</f>
        <v>-289</v>
      </c>
      <c r="F14" s="302" t="s">
        <v>933</v>
      </c>
      <c r="G14" s="296" t="s">
        <v>934</v>
      </c>
      <c r="H14" s="449">
        <f>$F$3</f>
        <v>2017</v>
      </c>
      <c r="I14" s="298">
        <f>IF(E14&lt;&gt;0,'תקציב רגיל'!G57*(-1),0)</f>
        <v>-289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>
      <c r="A15" s="476">
        <v>8</v>
      </c>
      <c r="B15" s="296" t="s">
        <v>920</v>
      </c>
      <c r="C15" s="296" t="s">
        <v>936</v>
      </c>
      <c r="D15" s="297">
        <f>$F$3</f>
        <v>2017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2017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ht="13">
      <c r="A16" s="476">
        <v>9</v>
      </c>
      <c r="B16" s="296" t="s">
        <v>920</v>
      </c>
      <c r="C16" s="296" t="s">
        <v>939</v>
      </c>
      <c r="D16" s="297">
        <f>$F$3</f>
        <v>2017</v>
      </c>
      <c r="E16" s="298">
        <f>'תמצית מאזן'!D41</f>
        <v>2136</v>
      </c>
      <c r="F16" s="302" t="s">
        <v>920</v>
      </c>
      <c r="G16" s="296" t="s">
        <v>639</v>
      </c>
      <c r="H16" s="449">
        <f>$F$3</f>
        <v>2017</v>
      </c>
      <c r="I16" s="298">
        <f>'תמצית מאזן'!D80</f>
        <v>2136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>
      <c r="A17" s="476">
        <v>10</v>
      </c>
      <c r="B17" s="296" t="s">
        <v>920</v>
      </c>
      <c r="C17" s="296" t="s">
        <v>939</v>
      </c>
      <c r="D17" s="297">
        <f>ShanaKodemet</f>
        <v>2016</v>
      </c>
      <c r="E17" s="298">
        <f>'תמצית מאזן'!F41</f>
        <v>2216</v>
      </c>
      <c r="F17" s="302" t="s">
        <v>920</v>
      </c>
      <c r="G17" s="296" t="s">
        <v>639</v>
      </c>
      <c r="H17" s="449">
        <f>ShanaKodemet</f>
        <v>2016</v>
      </c>
      <c r="I17" s="298">
        <f>'תמצית מאזן'!F80</f>
        <v>2216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>
      <c r="A18" s="476">
        <v>15</v>
      </c>
      <c r="B18" s="296" t="s">
        <v>920</v>
      </c>
      <c r="C18" s="296" t="s">
        <v>944</v>
      </c>
      <c r="D18" s="297">
        <f>$F$3</f>
        <v>2017</v>
      </c>
      <c r="E18" s="298">
        <f>'תמצית מאזן'!D59</f>
        <v>8234.9189999999999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>
      <c r="A19" s="476">
        <v>16</v>
      </c>
      <c r="B19" s="296" t="s">
        <v>920</v>
      </c>
      <c r="C19" s="296" t="s">
        <v>944</v>
      </c>
      <c r="D19" s="297">
        <f>ShanaKodemet</f>
        <v>2016</v>
      </c>
      <c r="E19" s="298">
        <f>'תמצית מאזן'!F59</f>
        <v>13535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>
      <c r="A20" s="476">
        <v>17</v>
      </c>
      <c r="B20" s="296" t="s">
        <v>920</v>
      </c>
      <c r="C20" s="296" t="s">
        <v>613</v>
      </c>
      <c r="D20" s="297">
        <f>$F$3</f>
        <v>2017</v>
      </c>
      <c r="E20" s="298">
        <f>'תמצית מאזן'!D38</f>
        <v>0</v>
      </c>
      <c r="F20" s="302" t="s">
        <v>947</v>
      </c>
      <c r="G20" s="296" t="s">
        <v>948</v>
      </c>
      <c r="H20" s="449">
        <f>$F$3</f>
        <v>2017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>
      <c r="A21" s="476">
        <v>18</v>
      </c>
      <c r="B21" s="296" t="s">
        <v>920</v>
      </c>
      <c r="C21" s="296" t="s">
        <v>597</v>
      </c>
      <c r="D21" s="297">
        <f>$F$3</f>
        <v>2017</v>
      </c>
      <c r="E21" s="298">
        <f>'תמצית מאזן'!D14</f>
        <v>28160</v>
      </c>
      <c r="F21" s="302" t="s">
        <v>920</v>
      </c>
      <c r="G21" s="296" t="s">
        <v>616</v>
      </c>
      <c r="H21" s="449">
        <f>$F$3</f>
        <v>2017</v>
      </c>
      <c r="I21" s="298">
        <f>'תמצית מאזן'!D43</f>
        <v>28160</v>
      </c>
      <c r="J21" s="306" t="str">
        <f>IF($E21=$I21,"תקין",0)</f>
        <v>תקין</v>
      </c>
      <c r="K21" s="536">
        <f>IF($E21=$I21,0,$E21-$I21)</f>
        <v>0</v>
      </c>
      <c r="L21" s="307">
        <f>IF($E21=$I21,0,$P$21)</f>
        <v>0</v>
      </c>
      <c r="M21" s="554"/>
      <c r="N21" s="281"/>
      <c r="P21" s="42" t="s">
        <v>950</v>
      </c>
    </row>
    <row r="22" spans="1:16" ht="36" customHeight="1">
      <c r="A22" s="476">
        <v>19</v>
      </c>
      <c r="B22" s="296" t="s">
        <v>920</v>
      </c>
      <c r="C22" s="296" t="s">
        <v>597</v>
      </c>
      <c r="D22" s="297">
        <f>ShanaKodemet</f>
        <v>2016</v>
      </c>
      <c r="E22" s="298">
        <f>'תמצית מאזן'!F14</f>
        <v>28153</v>
      </c>
      <c r="F22" s="302" t="s">
        <v>920</v>
      </c>
      <c r="G22" s="296" t="s">
        <v>616</v>
      </c>
      <c r="H22" s="449">
        <f>ShanaKodemet</f>
        <v>2016</v>
      </c>
      <c r="I22" s="298">
        <f>'תמצית מאזן'!F43</f>
        <v>28153</v>
      </c>
      <c r="J22" s="306" t="str">
        <f>IF($E22=$I22,"תקין",0)</f>
        <v>תקין</v>
      </c>
      <c r="K22" s="536">
        <f>IF($E22=$I22,0,$E22-$I22)</f>
        <v>0</v>
      </c>
      <c r="L22" s="307">
        <f>IF($E22=$I22,0,$P$22)</f>
        <v>0</v>
      </c>
      <c r="M22" s="554"/>
      <c r="N22" s="281"/>
      <c r="P22" s="42" t="s">
        <v>951</v>
      </c>
    </row>
    <row r="23" spans="1:16" ht="36" customHeight="1">
      <c r="A23" s="476">
        <v>20</v>
      </c>
      <c r="B23" s="296" t="s">
        <v>920</v>
      </c>
      <c r="C23" s="296" t="s">
        <v>602</v>
      </c>
      <c r="D23" s="297">
        <f>$F$3</f>
        <v>2017</v>
      </c>
      <c r="E23" s="298">
        <f>'תמצית מאזן'!D20</f>
        <v>8986</v>
      </c>
      <c r="F23" s="302" t="s">
        <v>920</v>
      </c>
      <c r="G23" s="296" t="s">
        <v>620</v>
      </c>
      <c r="H23" s="449">
        <f>$F$3</f>
        <v>2017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>
      <c r="A24" s="476">
        <v>21</v>
      </c>
      <c r="B24" s="296" t="s">
        <v>920</v>
      </c>
      <c r="C24" s="296" t="s">
        <v>602</v>
      </c>
      <c r="D24" s="297">
        <f>ShanaKodemet</f>
        <v>2016</v>
      </c>
      <c r="E24" s="298">
        <f>'תמצית מאזן'!F20</f>
        <v>9301</v>
      </c>
      <c r="F24" s="302" t="s">
        <v>920</v>
      </c>
      <c r="G24" s="296" t="s">
        <v>620</v>
      </c>
      <c r="H24" s="449">
        <f>ShanaKodemet</f>
        <v>2016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>
      <c r="A25" s="476">
        <v>22</v>
      </c>
      <c r="B25" s="296" t="s">
        <v>920</v>
      </c>
      <c r="C25" s="296" t="s">
        <v>954</v>
      </c>
      <c r="D25" s="297">
        <f>$F$3</f>
        <v>2017</v>
      </c>
      <c r="E25" s="298">
        <f>'תמצית מאזן'!D82</f>
        <v>5879</v>
      </c>
      <c r="F25" s="302" t="s">
        <v>920</v>
      </c>
      <c r="G25" s="296" t="s">
        <v>955</v>
      </c>
      <c r="H25" s="449">
        <f>$F$3</f>
        <v>2017</v>
      </c>
      <c r="I25" s="298">
        <f>'תמצית מאזן'!D36</f>
        <v>27305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>
      <c r="A26" s="476">
        <v>23</v>
      </c>
      <c r="B26" s="296" t="s">
        <v>920</v>
      </c>
      <c r="C26" s="296" t="s">
        <v>957</v>
      </c>
      <c r="D26" s="297">
        <f>$F$3</f>
        <v>2017</v>
      </c>
      <c r="E26" s="298">
        <f>'תמצית מאזן'!D63</f>
        <v>26</v>
      </c>
      <c r="F26" s="302" t="s">
        <v>933</v>
      </c>
      <c r="G26" s="296" t="s">
        <v>659</v>
      </c>
      <c r="H26" s="449">
        <f>$F$3</f>
        <v>2017</v>
      </c>
      <c r="I26" s="298">
        <f>'תקציב רגיל'!G28</f>
        <v>26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>
      <c r="A27" s="476">
        <v>24</v>
      </c>
      <c r="B27" s="474" t="s">
        <v>920</v>
      </c>
      <c r="C27" s="474" t="s">
        <v>606</v>
      </c>
      <c r="D27" s="297">
        <f>ShanaKodemet</f>
        <v>2016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2017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ht="13">
      <c r="A28" s="477"/>
      <c r="B28" s="625" t="s">
        <v>959</v>
      </c>
      <c r="C28" s="625"/>
      <c r="D28" s="625"/>
      <c r="E28" s="625"/>
      <c r="F28" s="625"/>
      <c r="G28" s="625"/>
      <c r="H28" s="625"/>
      <c r="I28" s="625"/>
      <c r="J28" s="45"/>
      <c r="K28" s="538"/>
      <c r="L28" s="45"/>
      <c r="M28" s="45"/>
      <c r="N28" s="281"/>
    </row>
    <row r="29" spans="1:16" ht="13">
      <c r="A29" s="478">
        <v>25</v>
      </c>
      <c r="B29" s="309" t="s">
        <v>933</v>
      </c>
      <c r="C29" s="309" t="s">
        <v>960</v>
      </c>
      <c r="D29" s="297">
        <f>$F$3</f>
        <v>2017</v>
      </c>
      <c r="E29" s="310">
        <f>'תקציב רגיל'!C30</f>
        <v>164335</v>
      </c>
      <c r="F29" s="302" t="s">
        <v>933</v>
      </c>
      <c r="G29" s="296" t="s">
        <v>961</v>
      </c>
      <c r="H29" s="449">
        <f>$F$3</f>
        <v>2017</v>
      </c>
      <c r="I29" s="298">
        <f>'תקציב רגיל'!C55</f>
        <v>164335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ht="13">
      <c r="A30" s="478">
        <v>26</v>
      </c>
      <c r="B30" s="309" t="s">
        <v>933</v>
      </c>
      <c r="C30" s="309" t="s">
        <v>682</v>
      </c>
      <c r="D30" s="297">
        <f>$F$3</f>
        <v>2017</v>
      </c>
      <c r="E30" s="310">
        <f>'תקציב רגיל'!C55</f>
        <v>164335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ht="13">
      <c r="A31" s="478">
        <v>27</v>
      </c>
      <c r="B31" s="309" t="s">
        <v>933</v>
      </c>
      <c r="C31" s="309" t="s">
        <v>661</v>
      </c>
      <c r="D31" s="297">
        <f>$F$3</f>
        <v>2017</v>
      </c>
      <c r="E31" s="310">
        <f>'תקציב רגיל'!C30</f>
        <v>164335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ht="13">
      <c r="A32" s="478">
        <v>28</v>
      </c>
      <c r="B32" s="309" t="s">
        <v>933</v>
      </c>
      <c r="C32" s="309" t="s">
        <v>965</v>
      </c>
      <c r="D32" s="297">
        <f>$F$3</f>
        <v>2017</v>
      </c>
      <c r="E32" s="298">
        <f>'תקציב רגיל'!$G$11</f>
        <v>30135</v>
      </c>
      <c r="F32" s="302" t="s">
        <v>966</v>
      </c>
      <c r="G32" s="314" t="s">
        <v>787</v>
      </c>
      <c r="H32" s="450">
        <f>$F$3</f>
        <v>2017</v>
      </c>
      <c r="I32" s="316">
        <f>'גבייה וחייבים'!C25</f>
        <v>23830</v>
      </c>
      <c r="J32" s="317"/>
      <c r="K32" s="541"/>
      <c r="L32" s="318"/>
      <c r="M32" s="319"/>
      <c r="N32" s="281"/>
    </row>
    <row r="33" spans="1:16" ht="13.5" customHeight="1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2017</v>
      </c>
      <c r="I33" s="320">
        <f>'גבייה וחייבים'!C16</f>
        <v>6305</v>
      </c>
      <c r="J33" s="317"/>
      <c r="K33" s="541"/>
      <c r="L33" s="318"/>
      <c r="M33" s="321"/>
      <c r="N33" s="281"/>
    </row>
    <row r="34" spans="1:16" ht="22.5" customHeight="1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2017</v>
      </c>
      <c r="I34" s="322">
        <f>I32+I33</f>
        <v>30135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ht="13">
      <c r="A35" s="479">
        <v>29</v>
      </c>
      <c r="B35" s="323" t="s">
        <v>933</v>
      </c>
      <c r="C35" s="323" t="s">
        <v>968</v>
      </c>
      <c r="D35" s="315">
        <f>$F$3</f>
        <v>2017</v>
      </c>
      <c r="E35" s="316">
        <f>'תקציב רגיל'!$G$12</f>
        <v>778</v>
      </c>
      <c r="F35" s="302" t="s">
        <v>966</v>
      </c>
      <c r="G35" s="314" t="s">
        <v>787</v>
      </c>
      <c r="H35" s="450">
        <f>$F$3</f>
        <v>2017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ht="13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2017</v>
      </c>
      <c r="I36" s="327">
        <f>'גבייה וחייבים'!I16</f>
        <v>778</v>
      </c>
      <c r="J36" s="324"/>
      <c r="K36" s="543"/>
      <c r="L36" s="325"/>
      <c r="M36" s="328"/>
      <c r="N36" s="281"/>
    </row>
    <row r="37" spans="1:16" ht="13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778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ht="25">
      <c r="A38" s="479">
        <v>30</v>
      </c>
      <c r="B38" s="323" t="s">
        <v>920</v>
      </c>
      <c r="C38" s="323" t="s">
        <v>970</v>
      </c>
      <c r="D38" s="329">
        <f>$F$3</f>
        <v>2017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2017</v>
      </c>
      <c r="I38" s="316">
        <f>'גבייה וחייבים'!C25</f>
        <v>23830</v>
      </c>
      <c r="J38" s="324"/>
      <c r="K38" s="543"/>
      <c r="L38" s="325"/>
      <c r="M38" s="326"/>
      <c r="N38" s="281"/>
    </row>
    <row r="39" spans="1:16" ht="25">
      <c r="A39" s="479"/>
      <c r="B39" s="323" t="s">
        <v>920</v>
      </c>
      <c r="C39" s="323" t="s">
        <v>971</v>
      </c>
      <c r="D39" s="329">
        <f>$F$3</f>
        <v>2017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2017</v>
      </c>
      <c r="I39" s="316">
        <f>'גבייה וחייבים'!C16</f>
        <v>6305</v>
      </c>
      <c r="J39" s="324"/>
      <c r="K39" s="543"/>
      <c r="L39" s="325"/>
      <c r="M39" s="326"/>
      <c r="N39" s="281"/>
    </row>
    <row r="40" spans="1:16" ht="13">
      <c r="A40" s="479"/>
      <c r="B40" s="323" t="s">
        <v>933</v>
      </c>
      <c r="C40" s="323" t="s">
        <v>965</v>
      </c>
      <c r="D40" s="329">
        <f>$F$3</f>
        <v>2017</v>
      </c>
      <c r="E40" s="316">
        <f>'תקציב רגיל'!G11</f>
        <v>30135</v>
      </c>
      <c r="F40" s="302" t="s">
        <v>966</v>
      </c>
      <c r="G40" s="314" t="s">
        <v>787</v>
      </c>
      <c r="H40" s="450">
        <f>$F$3</f>
        <v>2017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ht="13">
      <c r="A41" s="479"/>
      <c r="B41" s="323" t="s">
        <v>933</v>
      </c>
      <c r="C41" s="323" t="s">
        <v>968</v>
      </c>
      <c r="D41" s="329">
        <f>$F$3</f>
        <v>2017</v>
      </c>
      <c r="E41" s="316">
        <f>'תקציב רגיל'!G12</f>
        <v>778</v>
      </c>
      <c r="F41" s="302" t="s">
        <v>966</v>
      </c>
      <c r="G41" s="314" t="s">
        <v>785</v>
      </c>
      <c r="H41" s="450">
        <f>$F$3</f>
        <v>2017</v>
      </c>
      <c r="I41" s="316">
        <f>'גבייה וחייבים'!I16</f>
        <v>778</v>
      </c>
      <c r="J41" s="324"/>
      <c r="K41" s="543"/>
      <c r="L41" s="325"/>
      <c r="M41" s="326"/>
      <c r="N41" s="281"/>
    </row>
    <row r="42" spans="1:16" ht="25">
      <c r="A42" s="479"/>
      <c r="B42" s="323"/>
      <c r="C42" s="323" t="s">
        <v>767</v>
      </c>
      <c r="D42" s="315"/>
      <c r="E42" s="322">
        <f>SUM(E38:E41)</f>
        <v>30913</v>
      </c>
      <c r="F42" s="302" t="s">
        <v>767</v>
      </c>
      <c r="G42" s="314"/>
      <c r="H42" s="450"/>
      <c r="I42" s="322">
        <f>SUM(I38:I41)</f>
        <v>30913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 t="s">
        <v>991</v>
      </c>
      <c r="N42" s="281"/>
      <c r="P42" s="42" t="s">
        <v>972</v>
      </c>
    </row>
    <row r="43" spans="1:16" ht="33.75" customHeight="1">
      <c r="A43" s="479">
        <v>31</v>
      </c>
      <c r="B43" s="323" t="s">
        <v>933</v>
      </c>
      <c r="C43" s="323" t="s">
        <v>973</v>
      </c>
      <c r="D43" s="315">
        <f>$F$3</f>
        <v>2017</v>
      </c>
      <c r="E43" s="316">
        <f>'תקציב רגיל'!G29</f>
        <v>16585</v>
      </c>
      <c r="F43" s="302" t="s">
        <v>933</v>
      </c>
      <c r="G43" s="314" t="s">
        <v>0</v>
      </c>
      <c r="H43" s="450">
        <f>$F$3</f>
        <v>2017</v>
      </c>
      <c r="I43" s="316">
        <f>'תקציב רגיל'!G54</f>
        <v>16546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>
      <c r="A44" s="479">
        <v>32</v>
      </c>
      <c r="B44" s="323" t="s">
        <v>933</v>
      </c>
      <c r="C44" s="323" t="s">
        <v>973</v>
      </c>
      <c r="D44" s="315">
        <f>$F$3</f>
        <v>2017</v>
      </c>
      <c r="E44" s="316">
        <f>'תקציב רגיל'!G29</f>
        <v>16585</v>
      </c>
      <c r="F44" s="302" t="s">
        <v>966</v>
      </c>
      <c r="G44" s="472" t="s">
        <v>11</v>
      </c>
      <c r="H44" s="450">
        <f>$F$3</f>
        <v>2017</v>
      </c>
      <c r="I44" s="316">
        <f>'גבייה וחייבים'!C13</f>
        <v>-921</v>
      </c>
      <c r="J44" s="325"/>
      <c r="K44" s="543"/>
      <c r="L44" s="325"/>
      <c r="M44" s="61"/>
      <c r="N44" s="281"/>
    </row>
    <row r="45" spans="1:16" ht="15" customHeight="1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2017</v>
      </c>
      <c r="I45" s="316">
        <f>'גבייה וחייבים'!C21</f>
        <v>-16584</v>
      </c>
      <c r="J45" s="324"/>
      <c r="K45" s="543"/>
      <c r="L45" s="325"/>
      <c r="M45" s="326"/>
      <c r="N45" s="281"/>
    </row>
    <row r="46" spans="1:16" ht="12" customHeight="1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-17505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 t="s">
        <v>992</v>
      </c>
      <c r="N46" s="281"/>
      <c r="P46" s="42" t="s">
        <v>12</v>
      </c>
    </row>
    <row r="47" spans="1:16" ht="13">
      <c r="A47" s="479">
        <v>33</v>
      </c>
      <c r="B47" s="323" t="s">
        <v>13</v>
      </c>
      <c r="C47" s="323" t="s">
        <v>14</v>
      </c>
      <c r="D47" s="315">
        <f>$F$3</f>
        <v>2017</v>
      </c>
      <c r="E47" s="316">
        <f>'שכר ומשרות'!L43</f>
        <v>75731.404999999999</v>
      </c>
      <c r="F47" s="302" t="s">
        <v>933</v>
      </c>
      <c r="G47" s="314" t="s">
        <v>663</v>
      </c>
      <c r="H47" s="450">
        <f>$F$3</f>
        <v>2017</v>
      </c>
      <c r="I47" s="316">
        <f>'תקציב רגיל'!G32</f>
        <v>19621</v>
      </c>
      <c r="J47" s="324"/>
      <c r="K47" s="543"/>
      <c r="L47" s="325"/>
      <c r="M47" s="326"/>
      <c r="N47" s="281"/>
    </row>
    <row r="48" spans="1:16" ht="25.5" customHeight="1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2017</v>
      </c>
      <c r="I48" s="316">
        <f>'תקציב רגיל'!G37</f>
        <v>49779</v>
      </c>
      <c r="J48" s="324"/>
      <c r="K48" s="543"/>
      <c r="L48" s="325"/>
      <c r="M48" s="326"/>
      <c r="N48" s="281"/>
    </row>
    <row r="49" spans="1:18" ht="25.5" customHeight="1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2017</v>
      </c>
      <c r="I49" s="320">
        <f>'תקציב רגיל'!G40</f>
        <v>5850</v>
      </c>
      <c r="J49" s="334"/>
      <c r="K49" s="544"/>
      <c r="L49" s="335"/>
      <c r="M49" s="328"/>
      <c r="N49" s="281"/>
    </row>
    <row r="50" spans="1:18" ht="35.25" customHeight="1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75250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 t="s">
        <v>993</v>
      </c>
      <c r="N50" s="281"/>
      <c r="P50" s="42" t="s">
        <v>15</v>
      </c>
    </row>
    <row r="51" spans="1:18" ht="25.5" customHeight="1">
      <c r="A51" s="480">
        <v>34</v>
      </c>
      <c r="B51" s="331" t="s">
        <v>933</v>
      </c>
      <c r="C51" s="331" t="s">
        <v>674</v>
      </c>
      <c r="D51" s="315">
        <f t="shared" ref="D51:D56" si="0">$F$3</f>
        <v>2017</v>
      </c>
      <c r="E51" s="320">
        <f>'תקציב רגיל'!G45</f>
        <v>5875</v>
      </c>
      <c r="F51" s="332"/>
      <c r="G51" s="333"/>
      <c r="H51" s="444"/>
      <c r="I51" s="320"/>
      <c r="J51" s="337" t="str">
        <f>IF('תמצית מאזן'!$D$59&lt;&gt;'בדיקות הצלבה'!$I$3,IF('בדיקות הצלבה'!$E$51&gt;0,'בדיקות הצלבה'!$B$3,0),'בדיקות הצלבה'!$E$3)</f>
        <v>תקין</v>
      </c>
      <c r="K51" s="545">
        <f>IF('תמצית מאזן'!$D$59&lt;&gt;'בדיקות הצלבה'!$I$3,IF('בדיקות הצלבה'!$E$51&gt;0,0,0),'בדיקות הצלבה'!$E$3)</f>
        <v>0</v>
      </c>
      <c r="L51" s="339">
        <f>IF('תמצית מאזן'!$D$59&lt;&gt;'בדיקות הצלבה'!$I$3,IF('בדיקות הצלבה'!$E$51&gt;0,0,P51),'בדיקות הצלבה'!$E$3)</f>
        <v>0</v>
      </c>
      <c r="M51" s="557"/>
      <c r="N51" s="281"/>
      <c r="P51" s="42" t="s">
        <v>16</v>
      </c>
    </row>
    <row r="52" spans="1:18" ht="25.5" customHeight="1">
      <c r="A52" s="480">
        <v>35</v>
      </c>
      <c r="B52" s="331" t="s">
        <v>933</v>
      </c>
      <c r="C52" s="331" t="s">
        <v>675</v>
      </c>
      <c r="D52" s="315">
        <f t="shared" si="0"/>
        <v>2017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 t="s">
        <v>998</v>
      </c>
      <c r="N52" s="281"/>
      <c r="P52" s="42" t="s">
        <v>17</v>
      </c>
    </row>
    <row r="53" spans="1:18" s="308" customFormat="1" ht="26.25" customHeight="1">
      <c r="A53" s="480">
        <v>36</v>
      </c>
      <c r="B53" s="331" t="s">
        <v>933</v>
      </c>
      <c r="C53" s="331" t="s">
        <v>659</v>
      </c>
      <c r="D53" s="340">
        <f t="shared" si="0"/>
        <v>2017</v>
      </c>
      <c r="E53" s="320">
        <f>'תקציב רגיל'!G28</f>
        <v>26</v>
      </c>
      <c r="F53" s="332" t="s">
        <v>933</v>
      </c>
      <c r="G53" s="333" t="s">
        <v>680</v>
      </c>
      <c r="H53" s="445">
        <f>$F$3</f>
        <v>2017</v>
      </c>
      <c r="I53" s="320">
        <f>'תקציב רגיל'!G53</f>
        <v>26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>
      <c r="A54" s="480">
        <v>37</v>
      </c>
      <c r="B54" s="331" t="s">
        <v>933</v>
      </c>
      <c r="C54" s="331" t="s">
        <v>479</v>
      </c>
      <c r="D54" s="340">
        <f t="shared" si="0"/>
        <v>2017</v>
      </c>
      <c r="E54" s="460">
        <f>'תקציב רגיל'!G32</f>
        <v>19621</v>
      </c>
      <c r="F54" s="332" t="s">
        <v>13</v>
      </c>
      <c r="G54" s="333" t="s">
        <v>480</v>
      </c>
      <c r="H54" s="444">
        <f>$F$3</f>
        <v>2017</v>
      </c>
      <c r="I54" s="320">
        <f>'שכר ומשרות'!L43-'שכר ומשרות'!L36-'שכר ומשרות'!L27-'שכר ומשרות'!L24</f>
        <v>19822.731999999996</v>
      </c>
      <c r="J54" s="337" t="str">
        <f>IF(E54&lt;=I54,$B$3,"")</f>
        <v>תקין</v>
      </c>
      <c r="K54" s="545" t="str">
        <f>IF($E$54&lt;=$I$54,"",$E$54-$I$54)</f>
        <v/>
      </c>
      <c r="L54" s="339" t="str">
        <f>IF($E$54&lt;=$I$54,"",$P$54)</f>
        <v/>
      </c>
      <c r="M54" s="557" t="s">
        <v>993</v>
      </c>
      <c r="N54" s="281"/>
      <c r="O54" s="341"/>
      <c r="P54" s="341" t="s">
        <v>481</v>
      </c>
      <c r="Q54" s="341"/>
      <c r="R54" s="341"/>
    </row>
    <row r="55" spans="1:18" s="308" customFormat="1" ht="26.25" customHeight="1">
      <c r="A55" s="480">
        <v>38</v>
      </c>
      <c r="B55" s="459" t="s">
        <v>933</v>
      </c>
      <c r="C55" s="459" t="s">
        <v>667</v>
      </c>
      <c r="D55" s="340">
        <f t="shared" si="0"/>
        <v>2017</v>
      </c>
      <c r="E55" s="460">
        <f>'תקציב רגיל'!G37</f>
        <v>49779</v>
      </c>
      <c r="F55" s="442" t="s">
        <v>13</v>
      </c>
      <c r="G55" s="461" t="s">
        <v>482</v>
      </c>
      <c r="H55" s="444">
        <f>$F$3</f>
        <v>2017</v>
      </c>
      <c r="I55" s="320">
        <f>'שכר ומשרות'!L24</f>
        <v>50058.673000000003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7" t="s">
        <v>993</v>
      </c>
      <c r="N55" s="281"/>
      <c r="O55" s="341"/>
      <c r="P55" s="462" t="s">
        <v>483</v>
      </c>
      <c r="Q55" s="341"/>
      <c r="R55" s="341"/>
    </row>
    <row r="56" spans="1:18" s="308" customFormat="1" ht="26.25" customHeight="1">
      <c r="A56" s="480">
        <v>39</v>
      </c>
      <c r="B56" s="459" t="s">
        <v>933</v>
      </c>
      <c r="C56" s="459" t="s">
        <v>670</v>
      </c>
      <c r="D56" s="340">
        <f t="shared" si="0"/>
        <v>2017</v>
      </c>
      <c r="E56" s="460">
        <f>'תקציב רגיל'!G40</f>
        <v>5850</v>
      </c>
      <c r="F56" s="442" t="s">
        <v>13</v>
      </c>
      <c r="G56" s="461" t="s">
        <v>484</v>
      </c>
      <c r="H56" s="444">
        <f>$F$3</f>
        <v>2017</v>
      </c>
      <c r="I56" s="320">
        <f>'שכר ומשרות'!L27</f>
        <v>5850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8"/>
      <c r="N56" s="281"/>
      <c r="O56" s="341"/>
      <c r="P56" s="462" t="s">
        <v>485</v>
      </c>
      <c r="Q56" s="341"/>
      <c r="R56" s="341"/>
    </row>
    <row r="57" spans="1:18" s="308" customFormat="1" ht="26.25" customHeight="1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5">
      <c r="A58" s="342"/>
      <c r="B58" s="626" t="s">
        <v>19</v>
      </c>
      <c r="C58" s="626"/>
      <c r="D58" s="626"/>
      <c r="E58" s="626"/>
      <c r="F58" s="626"/>
      <c r="G58" s="626"/>
      <c r="H58" s="626"/>
      <c r="I58" s="626"/>
      <c r="J58" s="343"/>
      <c r="K58" s="547"/>
      <c r="L58" s="343"/>
      <c r="M58" s="45"/>
      <c r="N58" s="281"/>
    </row>
    <row r="59" spans="1:18" ht="27" customHeight="1">
      <c r="A59" s="481">
        <v>40</v>
      </c>
      <c r="B59" s="344" t="s">
        <v>20</v>
      </c>
      <c r="C59" s="344" t="s">
        <v>21</v>
      </c>
      <c r="D59" s="345">
        <f>$F$3</f>
        <v>2017</v>
      </c>
      <c r="E59" s="346">
        <f>תברים!D$41</f>
        <v>-2964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>
      <c r="A60" s="482">
        <v>41</v>
      </c>
      <c r="B60" s="348" t="s">
        <v>20</v>
      </c>
      <c r="C60" s="348" t="s">
        <v>21</v>
      </c>
      <c r="D60" s="315">
        <f>$G$3</f>
        <v>2016</v>
      </c>
      <c r="E60" s="316">
        <f>תברים!F$41</f>
        <v>1396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>
      <c r="A61" s="482">
        <v>42</v>
      </c>
      <c r="B61" s="348" t="s">
        <v>20</v>
      </c>
      <c r="C61" s="348" t="s">
        <v>878</v>
      </c>
      <c r="D61" s="315">
        <f>$F$3</f>
        <v>2017</v>
      </c>
      <c r="E61" s="316">
        <f>תברים!D46</f>
        <v>-2724</v>
      </c>
      <c r="F61" s="302" t="s">
        <v>20</v>
      </c>
      <c r="G61" s="314" t="s">
        <v>24</v>
      </c>
      <c r="H61" s="450">
        <f>$G$3</f>
        <v>2016</v>
      </c>
      <c r="I61" s="316">
        <f>תברים!F51</f>
        <v>-2724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>
      <c r="A62" s="482">
        <v>43</v>
      </c>
      <c r="B62" s="348" t="s">
        <v>20</v>
      </c>
      <c r="C62" s="348" t="s">
        <v>879</v>
      </c>
      <c r="D62" s="315">
        <f>$F$3</f>
        <v>2017</v>
      </c>
      <c r="E62" s="316">
        <f>תברים!D51</f>
        <v>-5688</v>
      </c>
      <c r="F62" s="302" t="s">
        <v>20</v>
      </c>
      <c r="G62" s="314" t="s">
        <v>879</v>
      </c>
      <c r="H62" s="450">
        <f>$F$3</f>
        <v>2017</v>
      </c>
      <c r="I62" s="316">
        <f>תברים!D55</f>
        <v>-5688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>
      <c r="A63" s="482">
        <v>44</v>
      </c>
      <c r="B63" s="348" t="s">
        <v>20</v>
      </c>
      <c r="C63" s="348" t="s">
        <v>879</v>
      </c>
      <c r="D63" s="315">
        <f>$G$3</f>
        <v>2016</v>
      </c>
      <c r="E63" s="316">
        <f>תברים!F51</f>
        <v>-2724</v>
      </c>
      <c r="F63" s="349" t="s">
        <v>20</v>
      </c>
      <c r="G63" s="314" t="s">
        <v>879</v>
      </c>
      <c r="H63" s="450">
        <f>$G$3</f>
        <v>2016</v>
      </c>
      <c r="I63" s="316">
        <f>תברים!F55</f>
        <v>-2724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>
      <c r="A64" s="482">
        <v>45</v>
      </c>
      <c r="B64" s="348" t="s">
        <v>20</v>
      </c>
      <c r="C64" s="348" t="s">
        <v>879</v>
      </c>
      <c r="D64" s="315">
        <f>$F$3</f>
        <v>2017</v>
      </c>
      <c r="E64" s="316">
        <f>תברים!D55</f>
        <v>-5688</v>
      </c>
      <c r="F64" s="349" t="s">
        <v>20</v>
      </c>
      <c r="G64" s="314" t="s">
        <v>27</v>
      </c>
      <c r="H64" s="450">
        <f>$F$3</f>
        <v>2017</v>
      </c>
      <c r="I64" s="316">
        <f>'ריכוז תברים'!X37</f>
        <v>-5688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>
      <c r="A65" s="482">
        <v>46</v>
      </c>
      <c r="B65" s="348" t="s">
        <v>20</v>
      </c>
      <c r="C65" s="348" t="s">
        <v>29</v>
      </c>
      <c r="D65" s="315">
        <f>$F$3</f>
        <v>2017</v>
      </c>
      <c r="E65" s="316">
        <f>תברים!D44</f>
        <v>57793</v>
      </c>
      <c r="F65" s="314" t="s">
        <v>20</v>
      </c>
      <c r="G65" s="314" t="s">
        <v>30</v>
      </c>
      <c r="H65" s="450">
        <f>$G$3</f>
        <v>2016</v>
      </c>
      <c r="I65" s="316">
        <f>תברים!F49</f>
        <v>57793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>
      <c r="A66" s="482">
        <v>47</v>
      </c>
      <c r="B66" s="348" t="s">
        <v>20</v>
      </c>
      <c r="C66" s="348" t="s">
        <v>32</v>
      </c>
      <c r="D66" s="315">
        <f>$F$3</f>
        <v>2017</v>
      </c>
      <c r="E66" s="316">
        <f>תברים!D45</f>
        <v>60517</v>
      </c>
      <c r="F66" s="314" t="s">
        <v>20</v>
      </c>
      <c r="G66" s="314" t="s">
        <v>33</v>
      </c>
      <c r="H66" s="450">
        <f>$G$3</f>
        <v>2016</v>
      </c>
      <c r="I66" s="316">
        <f>תברים!F50</f>
        <v>60517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>
      <c r="A67" s="482">
        <v>48</v>
      </c>
      <c r="B67" s="348" t="s">
        <v>20</v>
      </c>
      <c r="C67" s="348" t="s">
        <v>30</v>
      </c>
      <c r="D67" s="315">
        <f>$F$3</f>
        <v>2017</v>
      </c>
      <c r="E67" s="316">
        <f>תברים!D49</f>
        <v>69636</v>
      </c>
      <c r="F67" s="302" t="s">
        <v>20</v>
      </c>
      <c r="G67" s="314" t="s">
        <v>866</v>
      </c>
      <c r="H67" s="450">
        <f>$F$3</f>
        <v>2017</v>
      </c>
      <c r="I67" s="316">
        <f>תברים!D30</f>
        <v>11843</v>
      </c>
      <c r="J67" s="324"/>
      <c r="K67" s="543"/>
      <c r="L67" s="325"/>
      <c r="M67" s="326"/>
      <c r="N67" s="281"/>
    </row>
    <row r="68" spans="1:16" ht="27" customHeight="1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2017</v>
      </c>
      <c r="I68" s="316">
        <f>תברים!D44</f>
        <v>57793</v>
      </c>
      <c r="J68" s="324"/>
      <c r="K68" s="543"/>
      <c r="L68" s="325"/>
      <c r="M68" s="326"/>
      <c r="N68" s="281"/>
    </row>
    <row r="69" spans="1:16" ht="48.75" customHeight="1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2017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69636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>
      <c r="A71" s="482">
        <v>49</v>
      </c>
      <c r="B71" s="348" t="s">
        <v>20</v>
      </c>
      <c r="C71" s="348" t="s">
        <v>33</v>
      </c>
      <c r="D71" s="315">
        <f>$F$3</f>
        <v>2017</v>
      </c>
      <c r="E71" s="316">
        <f>תברים!D50</f>
        <v>75324</v>
      </c>
      <c r="F71" s="302" t="s">
        <v>20</v>
      </c>
      <c r="G71" s="314" t="s">
        <v>874</v>
      </c>
      <c r="H71" s="450">
        <f>$F$3</f>
        <v>2017</v>
      </c>
      <c r="I71" s="316">
        <f>תברים!D39</f>
        <v>14807</v>
      </c>
      <c r="J71" s="324"/>
      <c r="K71" s="543"/>
      <c r="L71" s="325"/>
      <c r="M71" s="326"/>
      <c r="N71" s="281"/>
    </row>
    <row r="72" spans="1:16" ht="27" customHeight="1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2017</v>
      </c>
      <c r="I72" s="316">
        <f>תברים!D45</f>
        <v>60517</v>
      </c>
      <c r="J72" s="324"/>
      <c r="K72" s="543"/>
      <c r="L72" s="325"/>
      <c r="M72" s="326"/>
      <c r="N72" s="281"/>
    </row>
    <row r="73" spans="1:16" ht="44.25" customHeight="1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2017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75324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>
      <c r="A75" s="482">
        <v>50</v>
      </c>
      <c r="B75" s="348" t="s">
        <v>20</v>
      </c>
      <c r="C75" s="348" t="s">
        <v>30</v>
      </c>
      <c r="D75" s="315">
        <f>$G$3</f>
        <v>2016</v>
      </c>
      <c r="E75" s="316">
        <f>תברים!F49</f>
        <v>57793</v>
      </c>
      <c r="F75" s="302" t="s">
        <v>20</v>
      </c>
      <c r="G75" s="314" t="s">
        <v>866</v>
      </c>
      <c r="H75" s="450">
        <f>$G$3</f>
        <v>2016</v>
      </c>
      <c r="I75" s="316">
        <f>תברים!F30</f>
        <v>13680</v>
      </c>
      <c r="J75" s="324"/>
      <c r="K75" s="543"/>
      <c r="L75" s="325"/>
      <c r="M75" s="326"/>
      <c r="N75" s="281"/>
    </row>
    <row r="76" spans="1:16" ht="27" customHeight="1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2016</v>
      </c>
      <c r="I76" s="316">
        <f>תברים!F44</f>
        <v>65649</v>
      </c>
      <c r="J76" s="324"/>
      <c r="K76" s="543"/>
      <c r="L76" s="325"/>
      <c r="M76" s="326"/>
      <c r="N76" s="281"/>
    </row>
    <row r="77" spans="1:16" ht="48.75" customHeight="1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2016</v>
      </c>
      <c r="I77" s="316">
        <f>תברים!F57</f>
        <v>21536</v>
      </c>
      <c r="J77" s="324"/>
      <c r="K77" s="543"/>
      <c r="L77" s="325"/>
      <c r="M77" s="326"/>
      <c r="N77" s="281"/>
    </row>
    <row r="78" spans="1:16" ht="27" customHeight="1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57793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>
      <c r="A79" s="482">
        <v>51</v>
      </c>
      <c r="B79" s="348" t="s">
        <v>20</v>
      </c>
      <c r="C79" s="348" t="s">
        <v>33</v>
      </c>
      <c r="D79" s="315">
        <f>$G$3</f>
        <v>2016</v>
      </c>
      <c r="E79" s="316">
        <f>תברים!F50</f>
        <v>60517</v>
      </c>
      <c r="F79" s="302" t="s">
        <v>20</v>
      </c>
      <c r="G79" s="314" t="s">
        <v>874</v>
      </c>
      <c r="H79" s="450">
        <f>$G$3</f>
        <v>2016</v>
      </c>
      <c r="I79" s="316">
        <f>תברים!F39</f>
        <v>12284</v>
      </c>
      <c r="J79" s="324"/>
      <c r="K79" s="543"/>
      <c r="L79" s="325"/>
      <c r="M79" s="326"/>
      <c r="N79" s="281"/>
    </row>
    <row r="80" spans="1:16" ht="27" customHeight="1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2016</v>
      </c>
      <c r="I80" s="316">
        <f>תברים!F45</f>
        <v>69769</v>
      </c>
      <c r="J80" s="324"/>
      <c r="K80" s="543"/>
      <c r="L80" s="325"/>
      <c r="M80" s="326"/>
      <c r="N80" s="281"/>
    </row>
    <row r="81" spans="1:16" ht="44.25" customHeight="1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2016</v>
      </c>
      <c r="I81" s="316">
        <f>תברים!F58</f>
        <v>21536</v>
      </c>
      <c r="J81" s="324"/>
      <c r="K81" s="543"/>
      <c r="L81" s="325"/>
      <c r="M81" s="326"/>
      <c r="N81" s="281"/>
    </row>
    <row r="82" spans="1:16" ht="27" customHeight="1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60517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5">
      <c r="A84" s="358"/>
      <c r="B84" s="621" t="s">
        <v>41</v>
      </c>
      <c r="C84" s="621"/>
      <c r="D84" s="621"/>
      <c r="E84" s="621"/>
      <c r="F84" s="621"/>
      <c r="G84" s="621"/>
      <c r="H84" s="621"/>
      <c r="I84" s="621"/>
      <c r="J84" s="359"/>
      <c r="K84" s="549"/>
      <c r="L84" s="360"/>
      <c r="M84" s="361"/>
      <c r="N84" s="281"/>
    </row>
    <row r="85" spans="1:16" ht="27.75" customHeight="1">
      <c r="A85" s="484">
        <v>52</v>
      </c>
      <c r="B85" s="362" t="s">
        <v>42</v>
      </c>
      <c r="C85" s="362" t="s">
        <v>43</v>
      </c>
      <c r="D85" s="345">
        <f>$G$3</f>
        <v>2016</v>
      </c>
      <c r="E85" s="346">
        <f>'ריכוז תברים'!H37</f>
        <v>57793</v>
      </c>
      <c r="F85" s="299" t="s">
        <v>20</v>
      </c>
      <c r="G85" s="347" t="s">
        <v>30</v>
      </c>
      <c r="H85" s="451">
        <f>$G$3</f>
        <v>2016</v>
      </c>
      <c r="I85" s="346">
        <f>תברים!F49</f>
        <v>57793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>
      <c r="A86" s="485">
        <v>53</v>
      </c>
      <c r="B86" s="365" t="s">
        <v>42</v>
      </c>
      <c r="C86" s="365" t="s">
        <v>45</v>
      </c>
      <c r="D86" s="315">
        <f>$G$3</f>
        <v>2016</v>
      </c>
      <c r="E86" s="316">
        <f>'ריכוז תברים'!J37</f>
        <v>60517</v>
      </c>
      <c r="F86" s="302" t="s">
        <v>20</v>
      </c>
      <c r="G86" s="314" t="s">
        <v>33</v>
      </c>
      <c r="H86" s="450">
        <f>$G$3</f>
        <v>2016</v>
      </c>
      <c r="I86" s="316">
        <f>תברים!F50</f>
        <v>60517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>
      <c r="A87" s="485">
        <v>54</v>
      </c>
      <c r="B87" s="365" t="s">
        <v>42</v>
      </c>
      <c r="C87" s="365" t="s">
        <v>47</v>
      </c>
      <c r="D87" s="315">
        <f>$F$3</f>
        <v>2017</v>
      </c>
      <c r="E87" s="316">
        <f>'ריכוז תברים'!L37</f>
        <v>11843</v>
      </c>
      <c r="F87" s="302" t="s">
        <v>20</v>
      </c>
      <c r="G87" s="314" t="s">
        <v>866</v>
      </c>
      <c r="H87" s="450">
        <f>$F$3</f>
        <v>2017</v>
      </c>
      <c r="I87" s="316">
        <f>תברים!D30</f>
        <v>11843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>
      <c r="A88" s="484">
        <v>55</v>
      </c>
      <c r="B88" s="365" t="s">
        <v>42</v>
      </c>
      <c r="C88" s="365" t="s">
        <v>49</v>
      </c>
      <c r="D88" s="315">
        <f>$F$3</f>
        <v>2017</v>
      </c>
      <c r="E88" s="316">
        <f>'ריכוז תברים'!N37</f>
        <v>14807</v>
      </c>
      <c r="F88" s="302" t="s">
        <v>20</v>
      </c>
      <c r="G88" s="314" t="s">
        <v>874</v>
      </c>
      <c r="H88" s="450">
        <f>$F$3</f>
        <v>2017</v>
      </c>
      <c r="I88" s="316">
        <f>תברים!D39</f>
        <v>14807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>
      <c r="A89" s="484">
        <v>56</v>
      </c>
      <c r="B89" s="365" t="s">
        <v>42</v>
      </c>
      <c r="C89" s="365" t="s">
        <v>807</v>
      </c>
      <c r="D89" s="315">
        <f>$F$3</f>
        <v>2017</v>
      </c>
      <c r="E89" s="316">
        <f>'ריכוז תברים'!P37</f>
        <v>69636</v>
      </c>
      <c r="F89" s="302" t="s">
        <v>20</v>
      </c>
      <c r="G89" s="314" t="s">
        <v>30</v>
      </c>
      <c r="H89" s="450">
        <f>$F$3</f>
        <v>2017</v>
      </c>
      <c r="I89" s="316">
        <f>תברים!D49</f>
        <v>69636</v>
      </c>
      <c r="J89" s="324"/>
      <c r="K89" s="543"/>
      <c r="L89" s="325"/>
      <c r="M89" s="366"/>
      <c r="N89" s="281"/>
    </row>
    <row r="90" spans="1:16" ht="39" customHeight="1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2017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69636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>
      <c r="A92" s="484">
        <v>57</v>
      </c>
      <c r="B92" s="365" t="s">
        <v>42</v>
      </c>
      <c r="C92" s="365" t="s">
        <v>808</v>
      </c>
      <c r="D92" s="315">
        <f>$F$3</f>
        <v>2017</v>
      </c>
      <c r="E92" s="316">
        <f>'ריכוז תברים'!R37</f>
        <v>75324</v>
      </c>
      <c r="F92" s="302" t="s">
        <v>20</v>
      </c>
      <c r="G92" s="314" t="s">
        <v>33</v>
      </c>
      <c r="H92" s="450">
        <f>$F$3</f>
        <v>2017</v>
      </c>
      <c r="I92" s="316">
        <f>תברים!D50</f>
        <v>75324</v>
      </c>
      <c r="J92" s="306"/>
      <c r="K92" s="536"/>
      <c r="L92" s="313"/>
      <c r="M92" s="556"/>
      <c r="N92" s="281"/>
    </row>
    <row r="93" spans="1:16" ht="30.75" customHeight="1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2017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75324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>
      <c r="A95" s="484">
        <v>58</v>
      </c>
      <c r="B95" s="365" t="s">
        <v>42</v>
      </c>
      <c r="C95" s="365" t="s">
        <v>54</v>
      </c>
      <c r="D95" s="315">
        <f t="shared" ref="D95:D153" si="2">$F$3</f>
        <v>2017</v>
      </c>
      <c r="E95" s="316">
        <f>'ריכוז תברים'!X37</f>
        <v>-5688</v>
      </c>
      <c r="F95" s="302" t="s">
        <v>20</v>
      </c>
      <c r="G95" s="314" t="s">
        <v>879</v>
      </c>
      <c r="H95" s="450">
        <f>$F$3</f>
        <v>2017</v>
      </c>
      <c r="I95" s="316">
        <f>תברים!D55</f>
        <v>-5688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ht="13">
      <c r="A96" s="484">
        <v>59</v>
      </c>
      <c r="B96" s="365" t="s">
        <v>42</v>
      </c>
      <c r="C96" s="365" t="s">
        <v>56</v>
      </c>
      <c r="D96" s="315">
        <f t="shared" si="2"/>
        <v>2017</v>
      </c>
      <c r="E96" s="316">
        <f>'ריכוז תברים'!D8</f>
        <v>1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ht="13">
      <c r="A97" s="484">
        <v>60</v>
      </c>
      <c r="B97" s="365" t="s">
        <v>42</v>
      </c>
      <c r="C97" s="365" t="s">
        <v>58</v>
      </c>
      <c r="D97" s="315">
        <f t="shared" si="2"/>
        <v>2017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ht="13">
      <c r="A98" s="484">
        <v>61</v>
      </c>
      <c r="B98" s="365" t="s">
        <v>42</v>
      </c>
      <c r="C98" s="365" t="s">
        <v>59</v>
      </c>
      <c r="D98" s="315">
        <f t="shared" si="2"/>
        <v>2017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ht="13">
      <c r="A99" s="484">
        <v>62</v>
      </c>
      <c r="B99" s="365" t="s">
        <v>42</v>
      </c>
      <c r="C99" s="365" t="s">
        <v>60</v>
      </c>
      <c r="D99" s="315">
        <f t="shared" si="2"/>
        <v>2017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ht="13">
      <c r="A100" s="484">
        <v>63</v>
      </c>
      <c r="B100" s="365" t="s">
        <v>42</v>
      </c>
      <c r="C100" s="365" t="s">
        <v>61</v>
      </c>
      <c r="D100" s="315">
        <f t="shared" si="2"/>
        <v>2017</v>
      </c>
      <c r="E100" s="316">
        <f>'ריכוז תברים'!D12</f>
        <v>1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ht="13">
      <c r="A101" s="484">
        <v>64</v>
      </c>
      <c r="B101" s="365" t="s">
        <v>42</v>
      </c>
      <c r="C101" s="365" t="s">
        <v>62</v>
      </c>
      <c r="D101" s="315">
        <f t="shared" si="2"/>
        <v>2017</v>
      </c>
      <c r="E101" s="316">
        <f>'ריכוז תברים'!D13</f>
        <v>1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ht="13">
      <c r="A102" s="484">
        <v>65</v>
      </c>
      <c r="B102" s="365" t="s">
        <v>42</v>
      </c>
      <c r="C102" s="365" t="s">
        <v>63</v>
      </c>
      <c r="D102" s="315">
        <f t="shared" si="2"/>
        <v>2017</v>
      </c>
      <c r="E102" s="316">
        <f>'ריכוז תברים'!D14</f>
        <v>7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ht="13">
      <c r="A103" s="484">
        <v>66</v>
      </c>
      <c r="B103" s="365" t="s">
        <v>42</v>
      </c>
      <c r="C103" s="365" t="s">
        <v>64</v>
      </c>
      <c r="D103" s="315">
        <f t="shared" si="2"/>
        <v>2017</v>
      </c>
      <c r="E103" s="316">
        <f>'ריכוז תברים'!D15</f>
        <v>32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ht="13">
      <c r="A104" s="484">
        <v>67</v>
      </c>
      <c r="B104" s="365" t="s">
        <v>42</v>
      </c>
      <c r="C104" s="365" t="s">
        <v>65</v>
      </c>
      <c r="D104" s="315">
        <f t="shared" si="2"/>
        <v>2017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ht="13">
      <c r="A105" s="484">
        <v>68</v>
      </c>
      <c r="B105" s="365" t="s">
        <v>42</v>
      </c>
      <c r="C105" s="365" t="s">
        <v>66</v>
      </c>
      <c r="D105" s="315">
        <f t="shared" si="2"/>
        <v>2017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ht="13">
      <c r="A106" s="484">
        <v>69</v>
      </c>
      <c r="B106" s="365" t="s">
        <v>42</v>
      </c>
      <c r="C106" s="365" t="s">
        <v>67</v>
      </c>
      <c r="D106" s="315">
        <f t="shared" si="2"/>
        <v>2017</v>
      </c>
      <c r="E106" s="316">
        <f>'ריכוז תברים'!D18</f>
        <v>1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ht="13">
      <c r="A107" s="484">
        <v>70</v>
      </c>
      <c r="B107" s="365" t="s">
        <v>42</v>
      </c>
      <c r="C107" s="365" t="s">
        <v>68</v>
      </c>
      <c r="D107" s="315">
        <f t="shared" si="2"/>
        <v>2017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ht="13">
      <c r="A108" s="484">
        <v>71</v>
      </c>
      <c r="B108" s="365" t="s">
        <v>42</v>
      </c>
      <c r="C108" s="365" t="s">
        <v>69</v>
      </c>
      <c r="D108" s="315">
        <f t="shared" si="2"/>
        <v>2017</v>
      </c>
      <c r="E108" s="316">
        <f>'ריכוז תברים'!D20</f>
        <v>1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ht="13">
      <c r="A109" s="484">
        <v>72</v>
      </c>
      <c r="B109" s="365" t="s">
        <v>42</v>
      </c>
      <c r="C109" s="365" t="s">
        <v>70</v>
      </c>
      <c r="D109" s="315">
        <f t="shared" si="2"/>
        <v>2017</v>
      </c>
      <c r="E109" s="316">
        <f>'ריכוז תברים'!D21</f>
        <v>48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ht="13">
      <c r="A110" s="484">
        <v>73</v>
      </c>
      <c r="B110" s="365" t="s">
        <v>42</v>
      </c>
      <c r="C110" s="365" t="s">
        <v>72</v>
      </c>
      <c r="D110" s="315">
        <f t="shared" si="2"/>
        <v>2017</v>
      </c>
      <c r="E110" s="316">
        <f>'ריכוז תברים'!D22</f>
        <v>10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ht="13">
      <c r="A111" s="484">
        <v>74</v>
      </c>
      <c r="B111" s="365" t="s">
        <v>42</v>
      </c>
      <c r="C111" s="365" t="s">
        <v>73</v>
      </c>
      <c r="D111" s="315">
        <f t="shared" si="2"/>
        <v>2017</v>
      </c>
      <c r="E111" s="316">
        <f>'ריכוז תברים'!D23</f>
        <v>1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ht="13">
      <c r="A112" s="484">
        <v>75</v>
      </c>
      <c r="B112" s="365" t="s">
        <v>42</v>
      </c>
      <c r="C112" s="365" t="s">
        <v>74</v>
      </c>
      <c r="D112" s="315">
        <f t="shared" si="2"/>
        <v>2017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ht="13">
      <c r="A113" s="484">
        <v>76</v>
      </c>
      <c r="B113" s="365" t="s">
        <v>42</v>
      </c>
      <c r="C113" s="365" t="s">
        <v>75</v>
      </c>
      <c r="D113" s="315">
        <f t="shared" si="2"/>
        <v>2017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ht="13">
      <c r="A114" s="484">
        <v>77</v>
      </c>
      <c r="B114" s="365" t="s">
        <v>42</v>
      </c>
      <c r="C114" s="365" t="s">
        <v>76</v>
      </c>
      <c r="D114" s="315">
        <f t="shared" si="2"/>
        <v>2017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ht="13">
      <c r="A115" s="484">
        <v>78</v>
      </c>
      <c r="B115" s="365" t="s">
        <v>42</v>
      </c>
      <c r="C115" s="365" t="s">
        <v>77</v>
      </c>
      <c r="D115" s="315">
        <f t="shared" si="2"/>
        <v>2017</v>
      </c>
      <c r="E115" s="316">
        <f>'ריכוז תברים'!D27</f>
        <v>1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ht="13">
      <c r="A116" s="484">
        <v>79</v>
      </c>
      <c r="B116" s="365" t="s">
        <v>42</v>
      </c>
      <c r="C116" s="365" t="s">
        <v>78</v>
      </c>
      <c r="D116" s="315">
        <f t="shared" si="2"/>
        <v>2017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ht="13">
      <c r="A117" s="484">
        <v>80</v>
      </c>
      <c r="B117" s="365" t="s">
        <v>42</v>
      </c>
      <c r="C117" s="365" t="s">
        <v>79</v>
      </c>
      <c r="D117" s="315">
        <f t="shared" si="2"/>
        <v>2017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ht="13">
      <c r="A118" s="484">
        <v>81</v>
      </c>
      <c r="B118" s="365" t="s">
        <v>42</v>
      </c>
      <c r="C118" s="365" t="s">
        <v>80</v>
      </c>
      <c r="D118" s="315">
        <f t="shared" si="2"/>
        <v>2017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ht="13">
      <c r="A119" s="484">
        <v>82</v>
      </c>
      <c r="B119" s="365" t="s">
        <v>42</v>
      </c>
      <c r="C119" s="365" t="s">
        <v>81</v>
      </c>
      <c r="D119" s="315">
        <f t="shared" si="2"/>
        <v>2017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ht="13">
      <c r="A120" s="484">
        <v>83</v>
      </c>
      <c r="B120" s="365" t="s">
        <v>42</v>
      </c>
      <c r="C120" s="365" t="s">
        <v>82</v>
      </c>
      <c r="D120" s="315">
        <f t="shared" si="2"/>
        <v>2017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ht="13">
      <c r="A121" s="484">
        <v>84</v>
      </c>
      <c r="B121" s="365" t="s">
        <v>42</v>
      </c>
      <c r="C121" s="365" t="s">
        <v>83</v>
      </c>
      <c r="D121" s="315">
        <f t="shared" si="2"/>
        <v>2017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ht="13">
      <c r="A122" s="484">
        <v>85</v>
      </c>
      <c r="B122" s="365" t="s">
        <v>42</v>
      </c>
      <c r="C122" s="365" t="s">
        <v>84</v>
      </c>
      <c r="D122" s="315">
        <f t="shared" si="2"/>
        <v>2017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ht="13">
      <c r="A123" s="484">
        <v>86</v>
      </c>
      <c r="B123" s="365" t="s">
        <v>42</v>
      </c>
      <c r="C123" s="365" t="s">
        <v>85</v>
      </c>
      <c r="D123" s="315">
        <f t="shared" si="2"/>
        <v>2017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ht="13">
      <c r="A124" s="484">
        <v>87</v>
      </c>
      <c r="B124" s="365" t="s">
        <v>42</v>
      </c>
      <c r="C124" s="365" t="s">
        <v>86</v>
      </c>
      <c r="D124" s="315">
        <f t="shared" si="2"/>
        <v>2017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ht="13">
      <c r="A125" s="484">
        <v>88</v>
      </c>
      <c r="B125" s="365" t="s">
        <v>42</v>
      </c>
      <c r="C125" s="365" t="s">
        <v>87</v>
      </c>
      <c r="D125" s="315">
        <f t="shared" si="2"/>
        <v>2017</v>
      </c>
      <c r="E125" s="320">
        <f>'ריכוז תברים'!F8</f>
        <v>700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ht="13">
      <c r="A126" s="484">
        <v>89</v>
      </c>
      <c r="B126" s="365" t="s">
        <v>42</v>
      </c>
      <c r="C126" s="365" t="s">
        <v>89</v>
      </c>
      <c r="D126" s="315">
        <f t="shared" si="2"/>
        <v>2017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ht="13">
      <c r="A127" s="484">
        <v>90</v>
      </c>
      <c r="B127" s="365" t="s">
        <v>42</v>
      </c>
      <c r="C127" s="365" t="s">
        <v>90</v>
      </c>
      <c r="D127" s="315">
        <f t="shared" si="2"/>
        <v>2017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ht="13">
      <c r="A128" s="484">
        <v>91</v>
      </c>
      <c r="B128" s="365" t="s">
        <v>42</v>
      </c>
      <c r="C128" s="365" t="s">
        <v>91</v>
      </c>
      <c r="D128" s="315">
        <f t="shared" si="2"/>
        <v>2017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ht="13">
      <c r="A129" s="484">
        <v>92</v>
      </c>
      <c r="B129" s="365" t="s">
        <v>42</v>
      </c>
      <c r="C129" s="365" t="s">
        <v>92</v>
      </c>
      <c r="D129" s="315">
        <f t="shared" si="2"/>
        <v>2017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ht="13">
      <c r="A130" s="484">
        <v>93</v>
      </c>
      <c r="B130" s="365" t="s">
        <v>42</v>
      </c>
      <c r="C130" s="365" t="s">
        <v>93</v>
      </c>
      <c r="D130" s="315">
        <f t="shared" si="2"/>
        <v>2017</v>
      </c>
      <c r="E130" s="320">
        <f>'ריכוז תברים'!F13</f>
        <v>308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ht="13">
      <c r="A131" s="484">
        <v>94</v>
      </c>
      <c r="B131" s="365" t="s">
        <v>42</v>
      </c>
      <c r="C131" s="365" t="s">
        <v>94</v>
      </c>
      <c r="D131" s="315">
        <f t="shared" si="2"/>
        <v>2017</v>
      </c>
      <c r="E131" s="320">
        <f>'ריכוז תברים'!F14</f>
        <v>5896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ht="13">
      <c r="A132" s="484">
        <v>95</v>
      </c>
      <c r="B132" s="365" t="s">
        <v>42</v>
      </c>
      <c r="C132" s="365" t="s">
        <v>95</v>
      </c>
      <c r="D132" s="315">
        <f t="shared" si="2"/>
        <v>2017</v>
      </c>
      <c r="E132" s="320">
        <f>'ריכוז תברים'!F15</f>
        <v>16074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ht="13">
      <c r="A133" s="484">
        <v>96</v>
      </c>
      <c r="B133" s="365" t="s">
        <v>42</v>
      </c>
      <c r="C133" s="365" t="s">
        <v>96</v>
      </c>
      <c r="D133" s="315">
        <f t="shared" si="2"/>
        <v>2017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ht="13">
      <c r="A134" s="484">
        <v>97</v>
      </c>
      <c r="B134" s="365" t="s">
        <v>42</v>
      </c>
      <c r="C134" s="365" t="s">
        <v>97</v>
      </c>
      <c r="D134" s="315">
        <f t="shared" si="2"/>
        <v>2017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ht="13">
      <c r="A135" s="484">
        <v>98</v>
      </c>
      <c r="B135" s="365" t="s">
        <v>42</v>
      </c>
      <c r="C135" s="365" t="s">
        <v>98</v>
      </c>
      <c r="D135" s="315">
        <f t="shared" si="2"/>
        <v>2017</v>
      </c>
      <c r="E135" s="320">
        <f>'ריכוז תברים'!F18</f>
        <v>800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ht="13">
      <c r="A136" s="484">
        <v>99</v>
      </c>
      <c r="B136" s="365" t="s">
        <v>42</v>
      </c>
      <c r="C136" s="365" t="s">
        <v>99</v>
      </c>
      <c r="D136" s="315">
        <f t="shared" si="2"/>
        <v>2017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ht="13">
      <c r="A137" s="484">
        <v>100</v>
      </c>
      <c r="B137" s="365" t="s">
        <v>42</v>
      </c>
      <c r="C137" s="365" t="s">
        <v>100</v>
      </c>
      <c r="D137" s="315">
        <f t="shared" si="2"/>
        <v>2017</v>
      </c>
      <c r="E137" s="320">
        <f>'ריכוז תברים'!F20</f>
        <v>247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ht="13">
      <c r="A138" s="484">
        <v>101</v>
      </c>
      <c r="B138" s="365" t="s">
        <v>42</v>
      </c>
      <c r="C138" s="365" t="s">
        <v>101</v>
      </c>
      <c r="D138" s="315">
        <f t="shared" si="2"/>
        <v>2017</v>
      </c>
      <c r="E138" s="320">
        <f>'ריכוז תברים'!F21</f>
        <v>85064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ht="13">
      <c r="A139" s="484">
        <v>102</v>
      </c>
      <c r="B139" s="365" t="s">
        <v>42</v>
      </c>
      <c r="C139" s="365" t="s">
        <v>102</v>
      </c>
      <c r="D139" s="315">
        <f t="shared" si="2"/>
        <v>2017</v>
      </c>
      <c r="E139" s="320">
        <f>'ריכוז תברים'!F22</f>
        <v>30957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ht="13">
      <c r="A140" s="484">
        <v>103</v>
      </c>
      <c r="B140" s="365" t="s">
        <v>42</v>
      </c>
      <c r="C140" s="365" t="s">
        <v>103</v>
      </c>
      <c r="D140" s="315">
        <f t="shared" si="2"/>
        <v>2017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ht="13">
      <c r="A141" s="484">
        <v>104</v>
      </c>
      <c r="B141" s="365" t="s">
        <v>42</v>
      </c>
      <c r="C141" s="365" t="s">
        <v>104</v>
      </c>
      <c r="D141" s="315">
        <f t="shared" si="2"/>
        <v>2017</v>
      </c>
      <c r="E141" s="320">
        <f>'ריכוז תברים'!F24</f>
        <v>4362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ht="13">
      <c r="A142" s="484">
        <v>105</v>
      </c>
      <c r="B142" s="365" t="s">
        <v>42</v>
      </c>
      <c r="C142" s="365" t="s">
        <v>105</v>
      </c>
      <c r="D142" s="315">
        <f t="shared" si="2"/>
        <v>2017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ht="13">
      <c r="A143" s="484">
        <v>106</v>
      </c>
      <c r="B143" s="365" t="s">
        <v>42</v>
      </c>
      <c r="C143" s="365" t="s">
        <v>106</v>
      </c>
      <c r="D143" s="315">
        <f t="shared" si="2"/>
        <v>2017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ht="13">
      <c r="A144" s="484">
        <v>107</v>
      </c>
      <c r="B144" s="365" t="s">
        <v>42</v>
      </c>
      <c r="C144" s="365" t="s">
        <v>107</v>
      </c>
      <c r="D144" s="315">
        <f t="shared" si="2"/>
        <v>2017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ht="13">
      <c r="A145" s="484">
        <v>108</v>
      </c>
      <c r="B145" s="365" t="s">
        <v>42</v>
      </c>
      <c r="C145" s="365" t="s">
        <v>108</v>
      </c>
      <c r="D145" s="315">
        <f t="shared" si="2"/>
        <v>2017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ht="13">
      <c r="A146" s="484">
        <v>109</v>
      </c>
      <c r="B146" s="365" t="s">
        <v>42</v>
      </c>
      <c r="C146" s="365" t="s">
        <v>109</v>
      </c>
      <c r="D146" s="315">
        <f t="shared" si="2"/>
        <v>2017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ht="13">
      <c r="A147" s="484">
        <v>110</v>
      </c>
      <c r="B147" s="365" t="s">
        <v>42</v>
      </c>
      <c r="C147" s="365" t="s">
        <v>110</v>
      </c>
      <c r="D147" s="315">
        <f t="shared" si="2"/>
        <v>2017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ht="13">
      <c r="A148" s="484">
        <v>111</v>
      </c>
      <c r="B148" s="365" t="s">
        <v>42</v>
      </c>
      <c r="C148" s="365" t="s">
        <v>111</v>
      </c>
      <c r="D148" s="315">
        <f t="shared" si="2"/>
        <v>2017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ht="13">
      <c r="A149" s="484">
        <v>112</v>
      </c>
      <c r="B149" s="365" t="s">
        <v>42</v>
      </c>
      <c r="C149" s="365" t="s">
        <v>112</v>
      </c>
      <c r="D149" s="315">
        <f t="shared" si="2"/>
        <v>2017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ht="13">
      <c r="A150" s="484">
        <v>113</v>
      </c>
      <c r="B150" s="365" t="s">
        <v>42</v>
      </c>
      <c r="C150" s="365" t="s">
        <v>113</v>
      </c>
      <c r="D150" s="315">
        <f t="shared" si="2"/>
        <v>2017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ht="13">
      <c r="A151" s="484">
        <v>114</v>
      </c>
      <c r="B151" s="365" t="s">
        <v>42</v>
      </c>
      <c r="C151" s="365" t="s">
        <v>114</v>
      </c>
      <c r="D151" s="315">
        <f t="shared" si="2"/>
        <v>2017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ht="13">
      <c r="A152" s="484">
        <v>115</v>
      </c>
      <c r="B152" s="365" t="s">
        <v>42</v>
      </c>
      <c r="C152" s="365" t="s">
        <v>115</v>
      </c>
      <c r="D152" s="315">
        <f t="shared" si="2"/>
        <v>2017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ht="13">
      <c r="A153" s="484">
        <v>116</v>
      </c>
      <c r="B153" s="365" t="s">
        <v>42</v>
      </c>
      <c r="C153" s="365" t="s">
        <v>116</v>
      </c>
      <c r="D153" s="315">
        <f t="shared" si="2"/>
        <v>2017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5">
      <c r="A154" s="287"/>
      <c r="B154" s="620" t="s">
        <v>117</v>
      </c>
      <c r="C154" s="620"/>
      <c r="D154" s="620"/>
      <c r="E154" s="620"/>
      <c r="F154" s="620"/>
      <c r="G154" s="620"/>
      <c r="H154" s="620"/>
      <c r="I154" s="620"/>
      <c r="J154" s="367"/>
      <c r="K154" s="551"/>
      <c r="L154" s="361"/>
      <c r="M154" s="361"/>
      <c r="N154" s="281"/>
    </row>
    <row r="155" spans="1:16" ht="25.5" customHeight="1">
      <c r="A155" s="486">
        <v>117</v>
      </c>
      <c r="B155" s="368" t="s">
        <v>118</v>
      </c>
      <c r="C155" s="368" t="s">
        <v>119</v>
      </c>
      <c r="D155" s="315">
        <f>$G$3</f>
        <v>2016</v>
      </c>
      <c r="E155" s="346">
        <f>'גבייה וחייבים'!G30</f>
        <v>169983</v>
      </c>
      <c r="F155" s="299" t="s">
        <v>118</v>
      </c>
      <c r="G155" s="347" t="s">
        <v>120</v>
      </c>
      <c r="H155" s="450">
        <f>$F$3</f>
        <v>2017</v>
      </c>
      <c r="I155" s="346">
        <f>'גבייה וחייבים'!C9</f>
        <v>169983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>
      <c r="A156" s="487">
        <v>118</v>
      </c>
      <c r="B156" s="369" t="s">
        <v>118</v>
      </c>
      <c r="C156" s="369" t="s">
        <v>122</v>
      </c>
      <c r="D156" s="315">
        <f>$F$3</f>
        <v>2017</v>
      </c>
      <c r="E156" s="316">
        <f>'גבייה וחייבים'!C19</f>
        <v>29190</v>
      </c>
      <c r="F156" s="302" t="s">
        <v>123</v>
      </c>
      <c r="G156" s="314" t="s">
        <v>124</v>
      </c>
      <c r="H156" s="450">
        <f>$F$3</f>
        <v>2017</v>
      </c>
      <c r="I156" s="316">
        <f>(((ארנונה!O19+ארנונה!O22)/4)*'הגדרות כלליות'!D17)</f>
        <v>12839.156107499999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2016</v>
      </c>
      <c r="E157" s="316">
        <f>'גבייה וחייבים'!$C$9</f>
        <v>169983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>
      <c r="A158" s="487">
        <v>120</v>
      </c>
      <c r="B158" s="369" t="s">
        <v>118</v>
      </c>
      <c r="C158" s="369" t="s">
        <v>128</v>
      </c>
      <c r="D158" s="315">
        <f t="shared" si="3"/>
        <v>2016</v>
      </c>
      <c r="E158" s="316">
        <f>'גבייה וחייבים'!$C$19</f>
        <v>29190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>
      <c r="A159" s="487">
        <v>121</v>
      </c>
      <c r="B159" s="369" t="s">
        <v>118</v>
      </c>
      <c r="C159" s="369" t="s">
        <v>130</v>
      </c>
      <c r="D159" s="315">
        <f t="shared" si="3"/>
        <v>2016</v>
      </c>
      <c r="E159" s="316">
        <f>'גבייה וחייבים'!$C$25</f>
        <v>23830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>
      <c r="A160" s="487">
        <v>122</v>
      </c>
      <c r="B160" s="369" t="s">
        <v>118</v>
      </c>
      <c r="C160" s="369" t="s">
        <v>785</v>
      </c>
      <c r="D160" s="315">
        <f t="shared" si="3"/>
        <v>2016</v>
      </c>
      <c r="E160" s="316">
        <f>'גבייה וחייבים'!$C$16</f>
        <v>6305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>
      <c r="A161" s="487">
        <v>123</v>
      </c>
      <c r="B161" s="369" t="s">
        <v>118</v>
      </c>
      <c r="C161" s="369" t="s">
        <v>133</v>
      </c>
      <c r="D161" s="315">
        <f t="shared" si="3"/>
        <v>2016</v>
      </c>
      <c r="E161" s="316">
        <f>'גבייה וחייבים'!$C$10</f>
        <v>-5199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>
      <c r="A162" s="487">
        <v>124</v>
      </c>
      <c r="B162" s="369" t="s">
        <v>118</v>
      </c>
      <c r="C162" s="369" t="s">
        <v>135</v>
      </c>
      <c r="D162" s="315">
        <f t="shared" si="3"/>
        <v>2016</v>
      </c>
      <c r="E162" s="316">
        <f>'גבייה וחייבים'!$C$12</f>
        <v>10012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>
      <c r="A163" s="487">
        <v>125</v>
      </c>
      <c r="B163" s="369" t="s">
        <v>118</v>
      </c>
      <c r="C163" s="369" t="s">
        <v>137</v>
      </c>
      <c r="D163" s="315">
        <f t="shared" si="3"/>
        <v>2016</v>
      </c>
      <c r="E163" s="316">
        <f>'גבייה וחייבים'!$C$20</f>
        <v>19373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>
      <c r="A164" s="487">
        <v>126</v>
      </c>
      <c r="B164" s="369" t="s">
        <v>118</v>
      </c>
      <c r="C164" s="369" t="s">
        <v>139</v>
      </c>
      <c r="D164" s="315">
        <f t="shared" si="3"/>
        <v>2016</v>
      </c>
      <c r="E164" s="316">
        <f>'גבייה וחייבים'!$C$21</f>
        <v>-16584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ht="13">
      <c r="A165" s="487">
        <v>127</v>
      </c>
      <c r="B165" s="369" t="s">
        <v>118</v>
      </c>
      <c r="C165" s="369" t="s">
        <v>141</v>
      </c>
      <c r="D165" s="315">
        <f t="shared" si="3"/>
        <v>2016</v>
      </c>
      <c r="E165" s="316">
        <f>'גבייה וחייבים'!$E$9</f>
        <v>164541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>
      <c r="A166" s="487">
        <v>128</v>
      </c>
      <c r="B166" s="369" t="s">
        <v>118</v>
      </c>
      <c r="C166" s="369" t="s">
        <v>128</v>
      </c>
      <c r="D166" s="315">
        <f t="shared" si="3"/>
        <v>2016</v>
      </c>
      <c r="E166" s="316">
        <f>'גבייה וחייבים'!$E$19</f>
        <v>34042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>
      <c r="A167" s="487">
        <v>129</v>
      </c>
      <c r="B167" s="369" t="s">
        <v>118</v>
      </c>
      <c r="C167" s="369" t="s">
        <v>130</v>
      </c>
      <c r="D167" s="315">
        <f t="shared" si="3"/>
        <v>2016</v>
      </c>
      <c r="E167" s="316">
        <f>'גבייה וחייבים'!$E$25</f>
        <v>23195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>
      <c r="A168" s="487">
        <v>130</v>
      </c>
      <c r="B168" s="369" t="s">
        <v>118</v>
      </c>
      <c r="C168" s="369" t="s">
        <v>785</v>
      </c>
      <c r="D168" s="315">
        <f t="shared" si="3"/>
        <v>2016</v>
      </c>
      <c r="E168" s="316">
        <f>'גבייה וחייבים'!$E$16</f>
        <v>6965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>
      <c r="A169" s="487">
        <v>131</v>
      </c>
      <c r="B169" s="369" t="s">
        <v>118</v>
      </c>
      <c r="C169" s="369" t="s">
        <v>133</v>
      </c>
      <c r="D169" s="315">
        <f t="shared" si="3"/>
        <v>2016</v>
      </c>
      <c r="E169" s="316">
        <f>'גבייה וחייבים'!$E$10</f>
        <v>-4132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>
      <c r="A170" s="487">
        <v>132</v>
      </c>
      <c r="B170" s="369" t="s">
        <v>118</v>
      </c>
      <c r="C170" s="369" t="s">
        <v>135</v>
      </c>
      <c r="D170" s="315">
        <f t="shared" si="3"/>
        <v>2016</v>
      </c>
      <c r="E170" s="316">
        <f>'גבייה וחייבים'!$E$12</f>
        <v>8399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>
      <c r="A171" s="487">
        <v>133</v>
      </c>
      <c r="B171" s="369" t="s">
        <v>118</v>
      </c>
      <c r="C171" s="369" t="s">
        <v>137</v>
      </c>
      <c r="D171" s="315">
        <f t="shared" si="3"/>
        <v>2016</v>
      </c>
      <c r="E171" s="316">
        <f>'גבייה וחייבים'!$E$20</f>
        <v>12362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>
      <c r="A172" s="487">
        <v>134</v>
      </c>
      <c r="B172" s="369" t="s">
        <v>118</v>
      </c>
      <c r="C172" s="369" t="s">
        <v>139</v>
      </c>
      <c r="D172" s="315">
        <f t="shared" si="3"/>
        <v>2016</v>
      </c>
      <c r="E172" s="316">
        <f>'גבייה וחייבים'!$E$21</f>
        <v>-14392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>
      <c r="A173" s="487">
        <v>135</v>
      </c>
      <c r="B173" s="369" t="s">
        <v>118</v>
      </c>
      <c r="C173" s="369" t="s">
        <v>141</v>
      </c>
      <c r="D173" s="315">
        <f t="shared" si="3"/>
        <v>2016</v>
      </c>
      <c r="E173" s="316">
        <f>'גבייה וחייבים'!G9</f>
        <v>164541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>
      <c r="A174" s="487">
        <v>136</v>
      </c>
      <c r="B174" s="369" t="s">
        <v>118</v>
      </c>
      <c r="C174" s="369" t="s">
        <v>122</v>
      </c>
      <c r="D174" s="315">
        <f t="shared" si="3"/>
        <v>2016</v>
      </c>
      <c r="E174" s="316">
        <f>'גבייה וחייבים'!G19</f>
        <v>34042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>
      <c r="A175" s="487">
        <v>137</v>
      </c>
      <c r="B175" s="369" t="s">
        <v>118</v>
      </c>
      <c r="C175" s="369" t="s">
        <v>152</v>
      </c>
      <c r="D175" s="315">
        <f t="shared" si="3"/>
        <v>2016</v>
      </c>
      <c r="E175" s="316">
        <f>'גבייה וחייבים'!G25</f>
        <v>23195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>
      <c r="A176" s="487">
        <v>138</v>
      </c>
      <c r="B176" s="369" t="s">
        <v>118</v>
      </c>
      <c r="C176" s="369" t="s">
        <v>154</v>
      </c>
      <c r="D176" s="315">
        <f t="shared" si="3"/>
        <v>2016</v>
      </c>
      <c r="E176" s="316">
        <f>'גבייה וחייבים'!G16</f>
        <v>6965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>
      <c r="A177" s="487">
        <v>139</v>
      </c>
      <c r="B177" s="369" t="s">
        <v>118</v>
      </c>
      <c r="C177" s="369" t="s">
        <v>133</v>
      </c>
      <c r="D177" s="315">
        <f t="shared" si="3"/>
        <v>2016</v>
      </c>
      <c r="E177" s="316">
        <f>'גבייה וחייבים'!$G$10</f>
        <v>-4132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>
      <c r="A178" s="487">
        <v>140</v>
      </c>
      <c r="B178" s="369" t="s">
        <v>118</v>
      </c>
      <c r="C178" s="369" t="s">
        <v>135</v>
      </c>
      <c r="D178" s="315">
        <f t="shared" si="3"/>
        <v>2016</v>
      </c>
      <c r="E178" s="316">
        <f>'גבייה וחייבים'!$G$12</f>
        <v>8399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>
      <c r="A179" s="487">
        <v>141</v>
      </c>
      <c r="B179" s="369" t="s">
        <v>118</v>
      </c>
      <c r="C179" s="369" t="s">
        <v>137</v>
      </c>
      <c r="D179" s="315">
        <f t="shared" si="3"/>
        <v>2016</v>
      </c>
      <c r="E179" s="316">
        <f>'גבייה וחייבים'!$G$20</f>
        <v>12362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>
      <c r="A180" s="487">
        <v>142</v>
      </c>
      <c r="B180" s="369" t="s">
        <v>118</v>
      </c>
      <c r="C180" s="369" t="s">
        <v>139</v>
      </c>
      <c r="D180" s="315">
        <f t="shared" si="3"/>
        <v>2016</v>
      </c>
      <c r="E180" s="316">
        <f>'גבייה וחייבים'!$G$21</f>
        <v>-14392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>
      <c r="A181" s="487">
        <v>143</v>
      </c>
      <c r="B181" s="369" t="s">
        <v>118</v>
      </c>
      <c r="C181" s="369" t="s">
        <v>160</v>
      </c>
      <c r="D181" s="315">
        <f t="shared" si="3"/>
        <v>2016</v>
      </c>
      <c r="E181" s="316">
        <f>'גבייה וחייבים'!M30</f>
        <v>37540</v>
      </c>
      <c r="F181" s="302" t="s">
        <v>118</v>
      </c>
      <c r="G181" s="314" t="s">
        <v>161</v>
      </c>
      <c r="H181" s="450">
        <f>$F$3</f>
        <v>2017</v>
      </c>
      <c r="I181" s="316">
        <f>'גבייה וחייבים'!I9</f>
        <v>37540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2017</v>
      </c>
      <c r="E182" s="320">
        <f>'גבייה וחייבים'!$I$9</f>
        <v>37540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ht="13">
      <c r="A183" s="487">
        <v>145</v>
      </c>
      <c r="B183" s="370" t="s">
        <v>118</v>
      </c>
      <c r="C183" s="370" t="s">
        <v>164</v>
      </c>
      <c r="D183" s="315">
        <f t="shared" si="6"/>
        <v>2017</v>
      </c>
      <c r="E183" s="320">
        <f>'גבייה וחייבים'!$I$10</f>
        <v>-515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>
      <c r="A184" s="487">
        <v>146</v>
      </c>
      <c r="B184" s="370" t="s">
        <v>118</v>
      </c>
      <c r="C184" s="370" t="s">
        <v>166</v>
      </c>
      <c r="D184" s="315">
        <f t="shared" si="6"/>
        <v>2017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 t="s">
        <v>998</v>
      </c>
      <c r="N184" s="281"/>
      <c r="P184" s="42" t="s">
        <v>167</v>
      </c>
    </row>
    <row r="185" spans="1:16" ht="25">
      <c r="A185" s="487">
        <v>147</v>
      </c>
      <c r="B185" s="370" t="s">
        <v>118</v>
      </c>
      <c r="C185" s="370" t="s">
        <v>168</v>
      </c>
      <c r="D185" s="315">
        <f t="shared" si="6"/>
        <v>2017</v>
      </c>
      <c r="E185" s="320">
        <f>'גבייה וחייבים'!$I$12</f>
        <v>2311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>
      <c r="A186" s="487">
        <v>148</v>
      </c>
      <c r="B186" s="370" t="s">
        <v>118</v>
      </c>
      <c r="C186" s="370" t="s">
        <v>170</v>
      </c>
      <c r="D186" s="315">
        <f t="shared" si="6"/>
        <v>2017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 t="s">
        <v>998</v>
      </c>
      <c r="N186" s="281"/>
      <c r="P186" s="42" t="s">
        <v>171</v>
      </c>
    </row>
    <row r="187" spans="1:16" ht="13">
      <c r="A187" s="487">
        <v>149</v>
      </c>
      <c r="B187" s="370" t="s">
        <v>118</v>
      </c>
      <c r="C187" s="370" t="s">
        <v>172</v>
      </c>
      <c r="D187" s="315">
        <f t="shared" si="6"/>
        <v>2017</v>
      </c>
      <c r="E187" s="320">
        <f>'גבייה וחייבים'!$I$16</f>
        <v>778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">
      <c r="A188" s="487">
        <v>150</v>
      </c>
      <c r="B188" s="370" t="s">
        <v>118</v>
      </c>
      <c r="C188" s="370" t="s">
        <v>174</v>
      </c>
      <c r="D188" s="315">
        <f t="shared" si="6"/>
        <v>2017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 t="s">
        <v>998</v>
      </c>
      <c r="N188" s="281"/>
      <c r="P188" s="42" t="s">
        <v>175</v>
      </c>
    </row>
    <row r="189" spans="1:16" ht="25">
      <c r="A189" s="487">
        <v>151</v>
      </c>
      <c r="B189" s="370" t="s">
        <v>118</v>
      </c>
      <c r="C189" s="370" t="s">
        <v>176</v>
      </c>
      <c r="D189" s="315">
        <f t="shared" si="6"/>
        <v>2017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 t="s">
        <v>998</v>
      </c>
      <c r="N189" s="281"/>
      <c r="P189" s="42" t="s">
        <v>177</v>
      </c>
    </row>
    <row r="190" spans="1:16" ht="25">
      <c r="A190" s="487">
        <v>152</v>
      </c>
      <c r="B190" s="370" t="s">
        <v>118</v>
      </c>
      <c r="C190" s="370" t="s">
        <v>178</v>
      </c>
      <c r="D190" s="315">
        <f t="shared" si="6"/>
        <v>2017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 t="s">
        <v>998</v>
      </c>
      <c r="N190" s="281"/>
      <c r="P190" s="42" t="s">
        <v>179</v>
      </c>
    </row>
    <row r="191" spans="1:16" ht="13">
      <c r="A191" s="487">
        <v>153</v>
      </c>
      <c r="B191" s="370" t="s">
        <v>118</v>
      </c>
      <c r="C191" s="370" t="s">
        <v>180</v>
      </c>
      <c r="D191" s="315">
        <f t="shared" si="6"/>
        <v>2017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 t="s">
        <v>998</v>
      </c>
      <c r="N191" s="281"/>
      <c r="P191" s="42" t="s">
        <v>190</v>
      </c>
    </row>
    <row r="192" spans="1:16" ht="13">
      <c r="A192" s="487">
        <v>154</v>
      </c>
      <c r="B192" s="370" t="s">
        <v>118</v>
      </c>
      <c r="C192" s="370" t="s">
        <v>191</v>
      </c>
      <c r="D192" s="315">
        <f t="shared" si="6"/>
        <v>2017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 t="s">
        <v>998</v>
      </c>
      <c r="N192" s="281"/>
      <c r="P192" s="42" t="s">
        <v>192</v>
      </c>
    </row>
    <row r="193" spans="1:16" ht="13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2016</v>
      </c>
      <c r="E194" s="320">
        <f>'גבייה וחייבים'!$K$9</f>
        <v>36804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ht="13">
      <c r="A195" s="487">
        <v>156</v>
      </c>
      <c r="B195" s="370" t="s">
        <v>118</v>
      </c>
      <c r="C195" s="370" t="s">
        <v>164</v>
      </c>
      <c r="D195" s="315">
        <f t="shared" si="7"/>
        <v>2016</v>
      </c>
      <c r="E195" s="320">
        <f>'גבייה וחייבים'!$K$10</f>
        <v>-221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>
      <c r="A196" s="487">
        <v>157</v>
      </c>
      <c r="B196" s="370" t="s">
        <v>118</v>
      </c>
      <c r="C196" s="370" t="s">
        <v>166</v>
      </c>
      <c r="D196" s="315">
        <f t="shared" si="7"/>
        <v>2016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 t="s">
        <v>998</v>
      </c>
      <c r="N196" s="281"/>
      <c r="P196" s="42" t="s">
        <v>195</v>
      </c>
    </row>
    <row r="197" spans="1:16" ht="25">
      <c r="A197" s="487">
        <v>158</v>
      </c>
      <c r="B197" s="370" t="s">
        <v>118</v>
      </c>
      <c r="C197" s="370" t="s">
        <v>168</v>
      </c>
      <c r="D197" s="315">
        <f t="shared" si="7"/>
        <v>2016</v>
      </c>
      <c r="E197" s="320">
        <f>'גבייה וחייבים'!$K$12</f>
        <v>1733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>
      <c r="A198" s="487">
        <v>159</v>
      </c>
      <c r="B198" s="370" t="s">
        <v>118</v>
      </c>
      <c r="C198" s="370" t="s">
        <v>170</v>
      </c>
      <c r="D198" s="315">
        <f t="shared" si="7"/>
        <v>2016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 t="s">
        <v>998</v>
      </c>
      <c r="N198" s="281"/>
      <c r="P198" s="42" t="s">
        <v>197</v>
      </c>
    </row>
    <row r="199" spans="1:16" ht="13">
      <c r="A199" s="487">
        <v>160</v>
      </c>
      <c r="B199" s="370" t="s">
        <v>118</v>
      </c>
      <c r="C199" s="370" t="s">
        <v>172</v>
      </c>
      <c r="D199" s="315">
        <f t="shared" si="7"/>
        <v>2016</v>
      </c>
      <c r="E199" s="320">
        <f>'גבייה וחייבים'!$K$16</f>
        <v>711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">
      <c r="A200" s="487">
        <v>161</v>
      </c>
      <c r="B200" s="370" t="s">
        <v>118</v>
      </c>
      <c r="C200" s="370" t="s">
        <v>174</v>
      </c>
      <c r="D200" s="315">
        <f t="shared" si="7"/>
        <v>2016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 t="s">
        <v>998</v>
      </c>
      <c r="N200" s="281"/>
      <c r="P200" s="42" t="s">
        <v>199</v>
      </c>
    </row>
    <row r="201" spans="1:16" ht="25">
      <c r="A201" s="487">
        <v>162</v>
      </c>
      <c r="B201" s="370" t="s">
        <v>118</v>
      </c>
      <c r="C201" s="370" t="s">
        <v>176</v>
      </c>
      <c r="D201" s="315">
        <f t="shared" si="7"/>
        <v>2016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 t="s">
        <v>998</v>
      </c>
      <c r="N201" s="281"/>
      <c r="P201" s="42" t="s">
        <v>200</v>
      </c>
    </row>
    <row r="202" spans="1:16" ht="25">
      <c r="A202" s="487">
        <v>163</v>
      </c>
      <c r="B202" s="370" t="s">
        <v>118</v>
      </c>
      <c r="C202" s="370" t="s">
        <v>178</v>
      </c>
      <c r="D202" s="315">
        <f t="shared" si="7"/>
        <v>2016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 t="s">
        <v>998</v>
      </c>
      <c r="N202" s="281"/>
      <c r="P202" s="42" t="s">
        <v>179</v>
      </c>
    </row>
    <row r="203" spans="1:16" ht="13">
      <c r="A203" s="487">
        <v>164</v>
      </c>
      <c r="B203" s="370" t="s">
        <v>118</v>
      </c>
      <c r="C203" s="370" t="s">
        <v>180</v>
      </c>
      <c r="D203" s="315">
        <f t="shared" si="7"/>
        <v>2016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 t="s">
        <v>998</v>
      </c>
      <c r="N203" s="281"/>
      <c r="P203" s="42" t="s">
        <v>190</v>
      </c>
    </row>
    <row r="204" spans="1:16" ht="13">
      <c r="A204" s="487">
        <v>165</v>
      </c>
      <c r="B204" s="370" t="s">
        <v>118</v>
      </c>
      <c r="C204" s="370" t="s">
        <v>191</v>
      </c>
      <c r="D204" s="315">
        <f t="shared" si="7"/>
        <v>2016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 t="s">
        <v>998</v>
      </c>
      <c r="N204" s="281"/>
      <c r="P204" s="42" t="s">
        <v>192</v>
      </c>
    </row>
    <row r="205" spans="1:16" ht="25">
      <c r="A205" s="487">
        <v>166</v>
      </c>
      <c r="B205" s="370" t="s">
        <v>118</v>
      </c>
      <c r="C205" s="370" t="s">
        <v>161</v>
      </c>
      <c r="D205" s="315">
        <f t="shared" si="7"/>
        <v>2016</v>
      </c>
      <c r="E205" s="320">
        <f>'גבייה וחייבים'!$M$9</f>
        <v>36804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ht="13">
      <c r="A206" s="487">
        <v>167</v>
      </c>
      <c r="B206" s="370" t="s">
        <v>118</v>
      </c>
      <c r="C206" s="370" t="s">
        <v>164</v>
      </c>
      <c r="D206" s="315">
        <f t="shared" si="7"/>
        <v>2016</v>
      </c>
      <c r="E206" s="320">
        <f>'גבייה וחייבים'!$M$10</f>
        <v>-285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>
      <c r="A207" s="487">
        <v>168</v>
      </c>
      <c r="B207" s="370" t="s">
        <v>118</v>
      </c>
      <c r="C207" s="370" t="s">
        <v>166</v>
      </c>
      <c r="D207" s="315">
        <f t="shared" si="7"/>
        <v>2016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 t="s">
        <v>998</v>
      </c>
      <c r="N207" s="281"/>
      <c r="P207" s="42" t="s">
        <v>195</v>
      </c>
    </row>
    <row r="208" spans="1:16" ht="25">
      <c r="A208" s="487">
        <v>169</v>
      </c>
      <c r="B208" s="370" t="s">
        <v>118</v>
      </c>
      <c r="C208" s="370" t="s">
        <v>168</v>
      </c>
      <c r="D208" s="315">
        <f t="shared" si="7"/>
        <v>2016</v>
      </c>
      <c r="E208" s="320">
        <f>'גבייה וחייבים'!$M$12</f>
        <v>1999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>
      <c r="A209" s="487">
        <v>170</v>
      </c>
      <c r="B209" s="370" t="s">
        <v>118</v>
      </c>
      <c r="C209" s="370" t="s">
        <v>170</v>
      </c>
      <c r="D209" s="315">
        <f t="shared" si="7"/>
        <v>2016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 t="s">
        <v>998</v>
      </c>
      <c r="N209" s="281"/>
      <c r="P209" s="42" t="s">
        <v>197</v>
      </c>
    </row>
    <row r="210" spans="1:16" ht="13">
      <c r="A210" s="487">
        <v>171</v>
      </c>
      <c r="B210" s="370" t="s">
        <v>118</v>
      </c>
      <c r="C210" s="370" t="s">
        <v>172</v>
      </c>
      <c r="D210" s="315">
        <f t="shared" si="7"/>
        <v>2016</v>
      </c>
      <c r="E210" s="320">
        <f>'גבייה וחייבים'!$M$16</f>
        <v>978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">
      <c r="A211" s="487">
        <v>172</v>
      </c>
      <c r="B211" s="370" t="s">
        <v>118</v>
      </c>
      <c r="C211" s="370" t="s">
        <v>174</v>
      </c>
      <c r="D211" s="315">
        <f t="shared" si="7"/>
        <v>2016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 t="s">
        <v>998</v>
      </c>
      <c r="N211" s="281"/>
      <c r="P211" s="42" t="s">
        <v>199</v>
      </c>
    </row>
    <row r="212" spans="1:16" ht="25">
      <c r="A212" s="487">
        <v>173</v>
      </c>
      <c r="B212" s="370" t="s">
        <v>118</v>
      </c>
      <c r="C212" s="370" t="s">
        <v>176</v>
      </c>
      <c r="D212" s="315">
        <f t="shared" si="7"/>
        <v>2016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 t="s">
        <v>998</v>
      </c>
      <c r="N212" s="281"/>
      <c r="P212" s="42" t="s">
        <v>200</v>
      </c>
    </row>
    <row r="213" spans="1:16" ht="25">
      <c r="A213" s="487">
        <v>174</v>
      </c>
      <c r="B213" s="370" t="s">
        <v>118</v>
      </c>
      <c r="C213" s="370" t="s">
        <v>178</v>
      </c>
      <c r="D213" s="315">
        <f t="shared" si="7"/>
        <v>2016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 t="s">
        <v>998</v>
      </c>
      <c r="N213" s="281"/>
      <c r="P213" s="42" t="s">
        <v>179</v>
      </c>
    </row>
    <row r="214" spans="1:16" ht="27" customHeight="1">
      <c r="A214" s="487">
        <v>175</v>
      </c>
      <c r="B214" s="370" t="s">
        <v>118</v>
      </c>
      <c r="C214" s="370" t="s">
        <v>180</v>
      </c>
      <c r="D214" s="315">
        <f t="shared" si="7"/>
        <v>2016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 t="s">
        <v>998</v>
      </c>
      <c r="N214" s="281"/>
      <c r="P214" s="42" t="s">
        <v>190</v>
      </c>
    </row>
    <row r="215" spans="1:16" ht="17.25" customHeight="1">
      <c r="A215" s="487">
        <v>176</v>
      </c>
      <c r="B215" s="370" t="s">
        <v>118</v>
      </c>
      <c r="C215" s="370" t="s">
        <v>191</v>
      </c>
      <c r="D215" s="315">
        <f t="shared" si="7"/>
        <v>2016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 t="s">
        <v>998</v>
      </c>
      <c r="N215" s="281"/>
      <c r="P215" s="42" t="s">
        <v>192</v>
      </c>
    </row>
    <row r="216" spans="1:16" ht="13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2016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>חסרים נתוני פחת מים שנה קודמת</v>
      </c>
      <c r="M217" s="556" t="s">
        <v>998</v>
      </c>
      <c r="N217" s="281"/>
      <c r="P217" s="42" t="s">
        <v>202</v>
      </c>
    </row>
    <row r="218" spans="1:16" ht="27" customHeight="1">
      <c r="A218" s="487">
        <v>178</v>
      </c>
      <c r="B218" s="370" t="s">
        <v>118</v>
      </c>
      <c r="C218" s="370" t="s">
        <v>203</v>
      </c>
      <c r="D218" s="315">
        <f t="shared" si="8"/>
        <v>2016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/>
      </c>
      <c r="K218" s="536"/>
      <c r="L218" s="313" t="str">
        <f>IF(OR($E218&lt;&gt;0,'הגדרות כלליות'!$D$20=1,'הגדרות כלליות'!$D$20=3,'הגדרות כלליות'!$G$24='בדיקות הצלבה'!$L$3),"",P218)</f>
        <v>חסרים נתוני פחת מים שנה קודמת</v>
      </c>
      <c r="M218" s="556" t="s">
        <v>998</v>
      </c>
      <c r="N218" s="281"/>
      <c r="P218" s="42" t="s">
        <v>202</v>
      </c>
    </row>
    <row r="219" spans="1:16" ht="26.25" customHeight="1">
      <c r="A219" s="487">
        <v>179</v>
      </c>
      <c r="B219" s="370" t="s">
        <v>118</v>
      </c>
      <c r="C219" s="370" t="s">
        <v>204</v>
      </c>
      <c r="D219" s="315">
        <f t="shared" si="8"/>
        <v>2016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/>
      </c>
      <c r="K219" s="536"/>
      <c r="L219" s="313" t="str">
        <f>IF(OR($E219&lt;&gt;0,'הגדרות כלליות'!$D$20=1,'הגדרות כלליות'!$D$20=3,'הגדרות כלליות'!$G$24='בדיקות הצלבה'!$L$3),"",P219)</f>
        <v>חסרים נתוני פחת מים שנה קודמת</v>
      </c>
      <c r="M219" s="556" t="s">
        <v>998</v>
      </c>
      <c r="N219" s="281"/>
      <c r="P219" s="42" t="s">
        <v>202</v>
      </c>
    </row>
    <row r="220" spans="1:16" ht="24" customHeight="1">
      <c r="A220" s="487">
        <v>180</v>
      </c>
      <c r="B220" s="370" t="s">
        <v>118</v>
      </c>
      <c r="C220" s="370" t="s">
        <v>205</v>
      </c>
      <c r="D220" s="315">
        <f t="shared" si="8"/>
        <v>2016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/>
      </c>
      <c r="K220" s="536"/>
      <c r="L220" s="313" t="str">
        <f>IF(OR($E220&lt;&gt;0,'הגדרות כלליות'!$D$20=1,'הגדרות כלליות'!$D$20=3,'הגדרות כלליות'!$G$24='בדיקות הצלבה'!$L$3),"",P220)</f>
        <v>חסרים נתוני סה"כ פחת מים שנה קודמת</v>
      </c>
      <c r="M220" s="556" t="s">
        <v>998</v>
      </c>
      <c r="N220" s="281"/>
      <c r="P220" s="42" t="s">
        <v>206</v>
      </c>
    </row>
    <row r="221" spans="1:16" ht="27" customHeight="1">
      <c r="A221" s="487">
        <v>181</v>
      </c>
      <c r="B221" s="370" t="s">
        <v>118</v>
      </c>
      <c r="C221" s="370" t="s">
        <v>207</v>
      </c>
      <c r="D221" s="315">
        <f t="shared" si="8"/>
        <v>2016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/>
      </c>
      <c r="K221" s="536"/>
      <c r="L221" s="313" t="str">
        <f>IF(OR($E221&lt;&gt;0,'הגדרות כלליות'!$D$20=1,'הגדרות כלליות'!$D$20=3,'הגדרות כלליות'!$G$24='בדיקות הצלבה'!$L$3),"",P221)</f>
        <v>חסרים נתוני סה"כ פחת מים שנה קודמת</v>
      </c>
      <c r="M221" s="556" t="s">
        <v>998</v>
      </c>
      <c r="N221" s="281"/>
      <c r="P221" s="42" t="s">
        <v>206</v>
      </c>
    </row>
    <row r="222" spans="1:16" ht="26.25" customHeight="1">
      <c r="A222" s="487">
        <v>182</v>
      </c>
      <c r="B222" s="370" t="s">
        <v>118</v>
      </c>
      <c r="C222" s="370" t="s">
        <v>208</v>
      </c>
      <c r="D222" s="315">
        <f t="shared" si="8"/>
        <v>2016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/>
      </c>
      <c r="K222" s="536"/>
      <c r="L222" s="313" t="str">
        <f>IF(OR($E222&lt;&gt;0,'הגדרות כלליות'!$D$20=1,'הגדרות כלליות'!$D$20=3,'הגדרות כלליות'!$G$24='בדיקות הצלבה'!$L$3),"",P222)</f>
        <v>חסרים נתוני סה"כ פחת מים שנה קודמת</v>
      </c>
      <c r="M222" s="556" t="s">
        <v>998</v>
      </c>
      <c r="N222" s="281"/>
      <c r="P222" s="42" t="s">
        <v>206</v>
      </c>
    </row>
    <row r="223" spans="1:16" ht="24" customHeight="1">
      <c r="A223" s="487">
        <v>183</v>
      </c>
      <c r="B223" s="370" t="s">
        <v>118</v>
      </c>
      <c r="C223" s="370" t="s">
        <v>209</v>
      </c>
      <c r="D223" s="315">
        <f>$F$3</f>
        <v>2017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/>
      </c>
      <c r="K223" s="536"/>
      <c r="L223" s="313" t="str">
        <f>IF(OR($E223&lt;&gt;0,'הגדרות כלליות'!$D$20=1,'הגדרות כלליות'!$D$20=3,'הגדרות כלליות'!$G$24='בדיקות הצלבה'!$L$3),"",P223)</f>
        <v>חסרים נתוני פחת מים שנה נוכחית</v>
      </c>
      <c r="M223" s="556" t="s">
        <v>998</v>
      </c>
      <c r="N223" s="281"/>
      <c r="P223" s="42" t="s">
        <v>210</v>
      </c>
    </row>
    <row r="224" spans="1:16" ht="27" customHeight="1">
      <c r="A224" s="487">
        <v>184</v>
      </c>
      <c r="B224" s="370" t="s">
        <v>118</v>
      </c>
      <c r="C224" s="370" t="s">
        <v>211</v>
      </c>
      <c r="D224" s="315">
        <f>$F$3</f>
        <v>2017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/>
      </c>
      <c r="K224" s="536"/>
      <c r="L224" s="313" t="str">
        <f>IF(OR($E224&lt;&gt;0,'הגדרות כלליות'!$D$20=1,'הגדרות כלליות'!$D$20=3,'הגדרות כלליות'!$G$24='בדיקות הצלבה'!$L$3),"",P224)</f>
        <v>חסרים נתוני פחת מים שנה נוכחית</v>
      </c>
      <c r="M224" s="556" t="s">
        <v>998</v>
      </c>
      <c r="N224" s="281"/>
      <c r="P224" s="42" t="s">
        <v>210</v>
      </c>
    </row>
    <row r="225" spans="1:16" ht="26.25" customHeight="1">
      <c r="A225" s="487">
        <v>185</v>
      </c>
      <c r="B225" s="370" t="s">
        <v>118</v>
      </c>
      <c r="C225" s="370" t="s">
        <v>212</v>
      </c>
      <c r="D225" s="315">
        <f>$F$3</f>
        <v>2017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/>
      </c>
      <c r="K225" s="536"/>
      <c r="L225" s="313" t="str">
        <f>IF(OR($E225&lt;&gt;0,'הגדרות כלליות'!$D$20=1,'הגדרות כלליות'!$D$20=3,'הגדרות כלליות'!$G$24='בדיקות הצלבה'!$L$3),"",P225)</f>
        <v>חסרים נתוני פחת מים שנה נוכחית</v>
      </c>
      <c r="M225" s="556" t="s">
        <v>998</v>
      </c>
      <c r="N225" s="281"/>
      <c r="P225" s="42" t="s">
        <v>210</v>
      </c>
    </row>
    <row r="226" spans="1:16" ht="15.5">
      <c r="A226" s="358"/>
      <c r="B226" s="621" t="s">
        <v>213</v>
      </c>
      <c r="C226" s="621"/>
      <c r="D226" s="621"/>
      <c r="E226" s="621"/>
      <c r="F226" s="621"/>
      <c r="G226" s="621"/>
      <c r="H226" s="621"/>
      <c r="I226" s="621"/>
      <c r="J226" s="359"/>
      <c r="K226" s="549"/>
      <c r="L226" s="360"/>
      <c r="M226" s="371"/>
      <c r="N226" s="281"/>
    </row>
    <row r="227" spans="1:16" ht="27.75" customHeight="1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2017</v>
      </c>
      <c r="E227" s="375">
        <f>ארנונה!$E$6</f>
        <v>117.59</v>
      </c>
      <c r="F227" s="376"/>
      <c r="G227" s="377"/>
      <c r="H227" s="453"/>
      <c r="I227" s="375"/>
      <c r="J227" s="363" t="str">
        <f>IF(OR(ארנונה!C6=0,ארנונה!E6&lt;&gt;0),$B$3,"")</f>
        <v>תקין</v>
      </c>
      <c r="K227" s="536"/>
      <c r="L227" s="364" t="str">
        <f>IF(OR(ארנונה!C6=0,ארנונה!E6&lt;&gt;0),"",P227)</f>
        <v/>
      </c>
      <c r="M227" s="555"/>
      <c r="N227" s="281"/>
      <c r="P227" s="42" t="s">
        <v>215</v>
      </c>
    </row>
    <row r="228" spans="1:16" ht="27.75" customHeight="1">
      <c r="A228" s="378">
        <v>187</v>
      </c>
      <c r="B228" s="379" t="s">
        <v>123</v>
      </c>
      <c r="C228" s="379" t="s">
        <v>216</v>
      </c>
      <c r="D228" s="374">
        <f t="shared" si="9"/>
        <v>2017</v>
      </c>
      <c r="E228" s="380">
        <f>ארנונה!$E$7</f>
        <v>376.73</v>
      </c>
      <c r="F228" s="381"/>
      <c r="G228" s="382"/>
      <c r="H228" s="453"/>
      <c r="I228" s="380"/>
      <c r="J228" s="311" t="str">
        <f>IF(OR(ארנונה!$C$7=0,ארנונה!$E$7&lt;&gt;0),$B$3,"")</f>
        <v>תקין</v>
      </c>
      <c r="K228" s="536"/>
      <c r="L228" s="312" t="str">
        <f>IF(OR(ארנונה!$C$7=0,ארנונה!$E$7&lt;&gt;0),"",P228)</f>
        <v/>
      </c>
      <c r="M228" s="556"/>
      <c r="N228" s="281"/>
      <c r="P228" s="42" t="s">
        <v>217</v>
      </c>
    </row>
    <row r="229" spans="1:16" ht="27.75" customHeight="1">
      <c r="A229" s="383">
        <v>188</v>
      </c>
      <c r="B229" s="379" t="s">
        <v>123</v>
      </c>
      <c r="C229" s="379" t="s">
        <v>218</v>
      </c>
      <c r="D229" s="374">
        <f t="shared" si="9"/>
        <v>2017</v>
      </c>
      <c r="E229" s="380">
        <f>ארנונה!$E$8</f>
        <v>1356.82</v>
      </c>
      <c r="F229" s="381"/>
      <c r="G229" s="382"/>
      <c r="H229" s="453"/>
      <c r="I229" s="380"/>
      <c r="J229" s="311" t="str">
        <f>IF(OR(ארנונה!$C$8=0,ארנונה!$E$8&lt;&gt;0),$B$3,"")</f>
        <v>תקין</v>
      </c>
      <c r="K229" s="536"/>
      <c r="L229" s="312" t="str">
        <f>IF(OR(ארנונה!$C$8=0,ארנונה!$E$8&lt;&gt;0),"",P229)</f>
        <v/>
      </c>
      <c r="M229" s="571"/>
      <c r="N229" s="281"/>
      <c r="P229" s="42" t="s">
        <v>219</v>
      </c>
    </row>
    <row r="230" spans="1:16" ht="27.75" customHeight="1">
      <c r="A230" s="378">
        <v>189</v>
      </c>
      <c r="B230" s="379" t="s">
        <v>123</v>
      </c>
      <c r="C230" s="379" t="s">
        <v>220</v>
      </c>
      <c r="D230" s="374">
        <f t="shared" si="9"/>
        <v>2017</v>
      </c>
      <c r="E230" s="380">
        <f>ארנונה!$E$9</f>
        <v>162.36000000000001</v>
      </c>
      <c r="F230" s="381"/>
      <c r="G230" s="382"/>
      <c r="H230" s="453"/>
      <c r="I230" s="380"/>
      <c r="J230" s="311" t="str">
        <f>IF(OR(ארנונה!$C$9=0,ארנונה!$E$9&lt;&gt;0),$B$3,"")</f>
        <v>תקין</v>
      </c>
      <c r="K230" s="536"/>
      <c r="L230" s="312" t="str">
        <f>IF(OR(ארנונה!$C$9=0,ארנונה!$E$9&lt;&gt;0),"",P230)</f>
        <v/>
      </c>
      <c r="M230" s="571"/>
      <c r="N230" s="281"/>
      <c r="P230" s="42" t="s">
        <v>221</v>
      </c>
    </row>
    <row r="231" spans="1:16" ht="27.75" customHeight="1">
      <c r="A231" s="383">
        <v>190</v>
      </c>
      <c r="B231" s="379" t="s">
        <v>123</v>
      </c>
      <c r="C231" s="379" t="s">
        <v>222</v>
      </c>
      <c r="D231" s="374">
        <f t="shared" si="9"/>
        <v>2017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>
      <c r="A232" s="378">
        <v>191</v>
      </c>
      <c r="B232" s="379" t="s">
        <v>123</v>
      </c>
      <c r="C232" s="379" t="s">
        <v>224</v>
      </c>
      <c r="D232" s="374">
        <f t="shared" si="9"/>
        <v>2017</v>
      </c>
      <c r="E232" s="380">
        <f>ארנונה!$E$11</f>
        <v>219.06</v>
      </c>
      <c r="F232" s="381"/>
      <c r="G232" s="382"/>
      <c r="H232" s="453"/>
      <c r="I232" s="380"/>
      <c r="J232" s="311" t="str">
        <f>IF(OR(ארנונה!$C$11=0,ארנונה!$E$11&lt;&gt;0),$B$3,"")</f>
        <v>תקין</v>
      </c>
      <c r="K232" s="536"/>
      <c r="L232" s="312" t="str">
        <f>IF(OR(ארנונה!$C$11=0,ארנונה!$E$11&lt;&gt;0),"",P232)</f>
        <v/>
      </c>
      <c r="M232" s="571"/>
      <c r="N232" s="281"/>
      <c r="P232" s="42" t="s">
        <v>225</v>
      </c>
    </row>
    <row r="233" spans="1:16" ht="27.75" customHeight="1">
      <c r="A233" s="383">
        <v>192</v>
      </c>
      <c r="B233" s="379" t="s">
        <v>123</v>
      </c>
      <c r="C233" s="379" t="s">
        <v>226</v>
      </c>
      <c r="D233" s="374">
        <f t="shared" si="9"/>
        <v>2017</v>
      </c>
      <c r="E233" s="380">
        <f>ארנונה!$E$12</f>
        <v>0.66</v>
      </c>
      <c r="F233" s="381"/>
      <c r="G233" s="382"/>
      <c r="H233" s="453"/>
      <c r="I233" s="380"/>
      <c r="J233" s="311" t="str">
        <f>IF(OR(ארנונה!$C$12=0,ארנונה!$E$12&lt;&gt;0),$B$3,"")</f>
        <v>תקין</v>
      </c>
      <c r="K233" s="536"/>
      <c r="L233" s="312" t="str">
        <f>IF(OR(ארנונה!$C$12=0,ארנונה!$E$12&lt;&gt;0),"",P233)</f>
        <v/>
      </c>
      <c r="M233" s="571"/>
      <c r="N233" s="281"/>
      <c r="P233" s="42" t="s">
        <v>227</v>
      </c>
    </row>
    <row r="234" spans="1:16" ht="27.75" customHeight="1">
      <c r="A234" s="378">
        <v>193</v>
      </c>
      <c r="B234" s="379" t="s">
        <v>123</v>
      </c>
      <c r="C234" s="379" t="s">
        <v>228</v>
      </c>
      <c r="D234" s="374">
        <f t="shared" si="9"/>
        <v>2017</v>
      </c>
      <c r="E234" s="380">
        <f>ארנונה!$E$13</f>
        <v>54.65</v>
      </c>
      <c r="F234" s="381"/>
      <c r="G234" s="382"/>
      <c r="H234" s="453"/>
      <c r="I234" s="380"/>
      <c r="J234" s="311" t="str">
        <f>IF(OR(ארנונה!$C$13=0,ארנונה!$E$13&lt;&gt;0),$B$3,"")</f>
        <v>תקין</v>
      </c>
      <c r="K234" s="536"/>
      <c r="L234" s="312" t="str">
        <f>IF(OR(ארנונה!$C$13=0,ארנונה!$E$13&lt;&gt;0),"",P234)</f>
        <v/>
      </c>
      <c r="M234" s="571"/>
      <c r="N234" s="281"/>
      <c r="P234" s="42" t="s">
        <v>229</v>
      </c>
    </row>
    <row r="235" spans="1:16" ht="27.75" customHeight="1">
      <c r="A235" s="383">
        <v>194</v>
      </c>
      <c r="B235" s="379" t="s">
        <v>123</v>
      </c>
      <c r="C235" s="379" t="s">
        <v>230</v>
      </c>
      <c r="D235" s="374">
        <f t="shared" si="9"/>
        <v>2017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>
      <c r="A236" s="378">
        <v>195</v>
      </c>
      <c r="B236" s="379" t="s">
        <v>123</v>
      </c>
      <c r="C236" s="379" t="s">
        <v>232</v>
      </c>
      <c r="D236" s="374">
        <f t="shared" si="9"/>
        <v>2017</v>
      </c>
      <c r="E236" s="380">
        <f>ארנונה!$E$15</f>
        <v>0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>
      <c r="A237" s="383">
        <v>196</v>
      </c>
      <c r="B237" s="379" t="s">
        <v>123</v>
      </c>
      <c r="C237" s="379" t="s">
        <v>234</v>
      </c>
      <c r="D237" s="374">
        <f t="shared" si="9"/>
        <v>2017</v>
      </c>
      <c r="E237" s="380">
        <f>ארנונה!$E$16</f>
        <v>44.8</v>
      </c>
      <c r="F237" s="381"/>
      <c r="G237" s="382"/>
      <c r="H237" s="453"/>
      <c r="I237" s="380"/>
      <c r="J237" s="311" t="str">
        <f>IF(OR(ארנונה!$C$16=0,ארנונה!$E$16&lt;&gt;0),$B$3,"")</f>
        <v>תקין</v>
      </c>
      <c r="K237" s="536"/>
      <c r="L237" s="312" t="str">
        <f>IF(OR(ארנונה!$C$16=0,ארנונה!$E$16&lt;&gt;0),"",P237)</f>
        <v/>
      </c>
      <c r="M237" s="571"/>
      <c r="N237" s="281"/>
      <c r="P237" s="42" t="s">
        <v>235</v>
      </c>
    </row>
    <row r="238" spans="1:16" ht="27.75" customHeight="1">
      <c r="A238" s="378">
        <v>197</v>
      </c>
      <c r="B238" s="379" t="s">
        <v>123</v>
      </c>
      <c r="C238" s="379" t="s">
        <v>236</v>
      </c>
      <c r="D238" s="374">
        <f t="shared" si="9"/>
        <v>2017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>
      <c r="A239" s="383">
        <v>198</v>
      </c>
      <c r="B239" s="379" t="s">
        <v>123</v>
      </c>
      <c r="C239" s="379" t="s">
        <v>238</v>
      </c>
      <c r="D239" s="374">
        <f t="shared" si="9"/>
        <v>2017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>
      <c r="A240" s="378">
        <v>199</v>
      </c>
      <c r="B240" s="379" t="s">
        <v>123</v>
      </c>
      <c r="C240" s="379" t="s">
        <v>240</v>
      </c>
      <c r="D240" s="374">
        <f t="shared" si="9"/>
        <v>2017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2017</v>
      </c>
      <c r="E242" s="380">
        <f>ארנונה!$G$6</f>
        <v>33.94</v>
      </c>
      <c r="F242" s="381"/>
      <c r="G242" s="382"/>
      <c r="H242" s="453"/>
      <c r="I242" s="380"/>
      <c r="J242" s="311" t="str">
        <f>IF(OR(ארנונה!$C$6=0,ארנונה!$G$6&lt;&gt;0),$B$3,"")</f>
        <v>תקין</v>
      </c>
      <c r="K242" s="536"/>
      <c r="L242" s="312" t="str">
        <f>IF(OR(ארנונה!$C$6=0,ארנונה!$G$6&lt;&gt;0),"",P242)</f>
        <v/>
      </c>
      <c r="M242" s="571"/>
      <c r="N242" s="281"/>
      <c r="P242" s="42" t="s">
        <v>243</v>
      </c>
    </row>
    <row r="243" spans="1:16" ht="27.75" customHeight="1">
      <c r="A243" s="378">
        <v>201</v>
      </c>
      <c r="B243" s="379" t="s">
        <v>123</v>
      </c>
      <c r="C243" s="379" t="s">
        <v>244</v>
      </c>
      <c r="D243" s="374">
        <f t="shared" si="10"/>
        <v>2017</v>
      </c>
      <c r="E243" s="380">
        <f>ארנונה!$G$7</f>
        <v>66.63</v>
      </c>
      <c r="F243" s="381"/>
      <c r="G243" s="382"/>
      <c r="H243" s="453"/>
      <c r="I243" s="380"/>
      <c r="J243" s="311" t="str">
        <f>IF(OR(ארנונה!$C$7=0,ארנונה!$G$7&lt;&gt;0),$B$3,"")</f>
        <v>תקין</v>
      </c>
      <c r="K243" s="536"/>
      <c r="L243" s="312" t="str">
        <f>IF(OR(ארנונה!$C$7=0,ארנונה!$G$7&lt;&gt;0),"",P243)</f>
        <v/>
      </c>
      <c r="M243" s="571"/>
      <c r="N243" s="281"/>
      <c r="P243" s="42" t="s">
        <v>245</v>
      </c>
    </row>
    <row r="244" spans="1:16" ht="27.75" customHeight="1">
      <c r="A244" s="378">
        <v>202</v>
      </c>
      <c r="B244" s="379" t="s">
        <v>123</v>
      </c>
      <c r="C244" s="379" t="s">
        <v>246</v>
      </c>
      <c r="D244" s="374">
        <f t="shared" si="10"/>
        <v>2017</v>
      </c>
      <c r="E244" s="380">
        <f>ארנונה!$G$8</f>
        <v>453.08</v>
      </c>
      <c r="F244" s="381"/>
      <c r="G244" s="382"/>
      <c r="H244" s="453"/>
      <c r="I244" s="380"/>
      <c r="J244" s="311" t="str">
        <f>IF(OR(ארנונה!$C$8=0,ארנונה!$G$8&lt;&gt;0),$B$3,"")</f>
        <v>תקין</v>
      </c>
      <c r="K244" s="536"/>
      <c r="L244" s="312" t="str">
        <f>IF(OR(ארנונה!$C$8=0,ארנונה!$G$8&lt;&gt;0),"",P244)</f>
        <v/>
      </c>
      <c r="M244" s="571"/>
      <c r="N244" s="281"/>
      <c r="P244" s="42" t="s">
        <v>247</v>
      </c>
    </row>
    <row r="245" spans="1:16" ht="27.75" customHeight="1">
      <c r="A245" s="378">
        <v>203</v>
      </c>
      <c r="B245" s="379" t="s">
        <v>123</v>
      </c>
      <c r="C245" s="379" t="s">
        <v>248</v>
      </c>
      <c r="D245" s="374">
        <f t="shared" si="10"/>
        <v>2017</v>
      </c>
      <c r="E245" s="380">
        <f>ארנונה!$G$9</f>
        <v>24.29</v>
      </c>
      <c r="F245" s="381"/>
      <c r="G245" s="382"/>
      <c r="H245" s="453"/>
      <c r="I245" s="380"/>
      <c r="J245" s="311" t="str">
        <f>IF(OR(ארנונה!$C$9=0,ארנונה!$G$9&lt;&gt;0),$B$3,"")</f>
        <v>תקין</v>
      </c>
      <c r="K245" s="536"/>
      <c r="L245" s="312" t="str">
        <f>IF(OR(ארנונה!$C$9=0,ארנונה!$G$9&lt;&gt;0),"",P245)</f>
        <v/>
      </c>
      <c r="M245" s="571"/>
      <c r="N245" s="281"/>
      <c r="P245" s="42" t="s">
        <v>249</v>
      </c>
    </row>
    <row r="246" spans="1:16" ht="27.75" customHeight="1">
      <c r="A246" s="378">
        <v>204</v>
      </c>
      <c r="B246" s="379" t="s">
        <v>123</v>
      </c>
      <c r="C246" s="379" t="s">
        <v>250</v>
      </c>
      <c r="D246" s="374">
        <f t="shared" si="10"/>
        <v>2017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>
      <c r="A247" s="378">
        <v>205</v>
      </c>
      <c r="B247" s="379" t="s">
        <v>123</v>
      </c>
      <c r="C247" s="379" t="s">
        <v>252</v>
      </c>
      <c r="D247" s="374">
        <f t="shared" si="10"/>
        <v>2017</v>
      </c>
      <c r="E247" s="380">
        <f>ארנונה!$G$11</f>
        <v>44.98</v>
      </c>
      <c r="F247" s="381"/>
      <c r="G247" s="382"/>
      <c r="H247" s="453"/>
      <c r="I247" s="380"/>
      <c r="J247" s="311" t="str">
        <f>IF(OR(ארנונה!$C$11=0,ארנונה!$G$11&lt;&gt;0),$B$3,"")</f>
        <v>תקין</v>
      </c>
      <c r="K247" s="536"/>
      <c r="L247" s="312" t="str">
        <f>IF(OR(ארנונה!$C$11=0,ארנונה!$G$11&lt;&gt;0),"",P247)</f>
        <v/>
      </c>
      <c r="M247" s="571"/>
      <c r="N247" s="281"/>
      <c r="P247" s="42" t="s">
        <v>253</v>
      </c>
    </row>
    <row r="248" spans="1:16" ht="27.75" customHeight="1">
      <c r="A248" s="378">
        <v>206</v>
      </c>
      <c r="B248" s="379" t="s">
        <v>123</v>
      </c>
      <c r="C248" s="379" t="s">
        <v>254</v>
      </c>
      <c r="D248" s="374">
        <f t="shared" si="10"/>
        <v>2017</v>
      </c>
      <c r="E248" s="380">
        <f>ארנונה!$G$12</f>
        <v>9.4230000000000008E-3</v>
      </c>
      <c r="F248" s="381"/>
      <c r="G248" s="382"/>
      <c r="H248" s="453"/>
      <c r="I248" s="380"/>
      <c r="J248" s="311" t="str">
        <f>IF(OR(ארנונה!$C$12=0,ארנונה!$G$12&lt;&gt;0),$B$3,"")</f>
        <v>תקין</v>
      </c>
      <c r="K248" s="536"/>
      <c r="L248" s="312" t="str">
        <f>IF(OR(ארנונה!$C$12=0,ארנונה!$G$12&lt;&gt;0),"",P248)</f>
        <v/>
      </c>
      <c r="M248" s="571"/>
      <c r="N248" s="281"/>
      <c r="P248" s="42" t="s">
        <v>255</v>
      </c>
    </row>
    <row r="249" spans="1:16" ht="27.75" customHeight="1">
      <c r="A249" s="378">
        <v>207</v>
      </c>
      <c r="B249" s="379" t="s">
        <v>123</v>
      </c>
      <c r="C249" s="379" t="s">
        <v>256</v>
      </c>
      <c r="D249" s="374">
        <f t="shared" si="10"/>
        <v>2017</v>
      </c>
      <c r="E249" s="380">
        <f>ארנונה!$G$13</f>
        <v>1.0727E-2</v>
      </c>
      <c r="F249" s="381"/>
      <c r="G249" s="382"/>
      <c r="H249" s="453"/>
      <c r="I249" s="380"/>
      <c r="J249" s="311" t="str">
        <f>IF(OR(ארנונה!$C$13=0,ארנונה!$G$13&lt;&gt;0),$B$3,"")</f>
        <v>תקין</v>
      </c>
      <c r="K249" s="536"/>
      <c r="L249" s="312" t="str">
        <f>IF(OR(ארנונה!$C$13=0,ארנונה!$G$13&lt;&gt;0),"",P249)</f>
        <v/>
      </c>
      <c r="M249" s="571"/>
      <c r="N249" s="281"/>
      <c r="P249" s="42" t="s">
        <v>257</v>
      </c>
    </row>
    <row r="250" spans="1:16" ht="27.75" customHeight="1">
      <c r="A250" s="378">
        <v>208</v>
      </c>
      <c r="B250" s="379" t="s">
        <v>123</v>
      </c>
      <c r="C250" s="379" t="s">
        <v>258</v>
      </c>
      <c r="D250" s="374">
        <f t="shared" si="10"/>
        <v>2017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>
      <c r="A251" s="378">
        <v>209</v>
      </c>
      <c r="B251" s="379" t="s">
        <v>123</v>
      </c>
      <c r="C251" s="379" t="s">
        <v>260</v>
      </c>
      <c r="D251" s="374">
        <f t="shared" si="10"/>
        <v>2017</v>
      </c>
      <c r="E251" s="380">
        <f>ארנונה!$G$15</f>
        <v>0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>
      <c r="A252" s="378">
        <v>210</v>
      </c>
      <c r="B252" s="379" t="s">
        <v>123</v>
      </c>
      <c r="C252" s="379" t="s">
        <v>262</v>
      </c>
      <c r="D252" s="374">
        <f t="shared" si="10"/>
        <v>2017</v>
      </c>
      <c r="E252" s="380">
        <f>ארנונה!$G$16</f>
        <v>0.34200000000000003</v>
      </c>
      <c r="F252" s="381"/>
      <c r="G252" s="382"/>
      <c r="H252" s="453"/>
      <c r="I252" s="380"/>
      <c r="J252" s="311" t="str">
        <f>IF(OR(ארנונה!$C$16=0,ארנונה!$G$16&lt;&gt;0),$B$3,"")</f>
        <v>תקין</v>
      </c>
      <c r="K252" s="536"/>
      <c r="L252" s="312" t="str">
        <f>IF(OR(ארנונה!$C$16=0,ארנונה!$G$16&lt;&gt;0),"",P252)</f>
        <v/>
      </c>
      <c r="M252" s="571"/>
      <c r="N252" s="281"/>
      <c r="P252" s="42" t="s">
        <v>263</v>
      </c>
    </row>
    <row r="253" spans="1:16" ht="27.75" customHeight="1">
      <c r="A253" s="378">
        <v>211</v>
      </c>
      <c r="B253" s="379" t="s">
        <v>123</v>
      </c>
      <c r="C253" s="379" t="s">
        <v>264</v>
      </c>
      <c r="D253" s="374">
        <f t="shared" si="10"/>
        <v>2017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>
      <c r="A254" s="378">
        <v>212</v>
      </c>
      <c r="B254" s="379" t="s">
        <v>123</v>
      </c>
      <c r="C254" s="379" t="s">
        <v>266</v>
      </c>
      <c r="D254" s="374">
        <f t="shared" si="10"/>
        <v>2017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>
      <c r="A255" s="378">
        <v>213</v>
      </c>
      <c r="B255" s="379" t="s">
        <v>123</v>
      </c>
      <c r="C255" s="379" t="s">
        <v>268</v>
      </c>
      <c r="D255" s="374">
        <f t="shared" si="10"/>
        <v>2017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2016</v>
      </c>
      <c r="E257" s="380">
        <f>ארנונה!$K$6</f>
        <v>35.090000000000003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>
      <c r="A258" s="378">
        <v>215</v>
      </c>
      <c r="B258" s="379" t="s">
        <v>123</v>
      </c>
      <c r="C258" s="379" t="s">
        <v>272</v>
      </c>
      <c r="D258" s="374">
        <f t="shared" si="11"/>
        <v>2016</v>
      </c>
      <c r="E258" s="380">
        <f>ארנונה!$K$7</f>
        <v>75.069999999999993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>
      <c r="A259" s="378">
        <v>216</v>
      </c>
      <c r="B259" s="379" t="s">
        <v>123</v>
      </c>
      <c r="C259" s="379" t="s">
        <v>274</v>
      </c>
      <c r="D259" s="374">
        <f t="shared" si="11"/>
        <v>2016</v>
      </c>
      <c r="E259" s="380">
        <f>ארנונה!$K$8</f>
        <v>545.39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>
      <c r="A260" s="378">
        <v>217</v>
      </c>
      <c r="B260" s="379" t="s">
        <v>123</v>
      </c>
      <c r="C260" s="379" t="s">
        <v>276</v>
      </c>
      <c r="D260" s="374">
        <f t="shared" si="11"/>
        <v>2016</v>
      </c>
      <c r="E260" s="380">
        <f>ארנונה!$K$9</f>
        <v>59.9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>
      <c r="A261" s="378">
        <v>218</v>
      </c>
      <c r="B261" s="379" t="s">
        <v>123</v>
      </c>
      <c r="C261" s="379" t="s">
        <v>278</v>
      </c>
      <c r="D261" s="374">
        <f t="shared" si="11"/>
        <v>2016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>
      <c r="A262" s="378">
        <v>219</v>
      </c>
      <c r="B262" s="379" t="s">
        <v>123</v>
      </c>
      <c r="C262" s="379" t="s">
        <v>280</v>
      </c>
      <c r="D262" s="374">
        <f t="shared" si="11"/>
        <v>2016</v>
      </c>
      <c r="E262" s="380">
        <f>ארנונה!$K$11</f>
        <v>65.94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>
      <c r="A263" s="378">
        <v>220</v>
      </c>
      <c r="B263" s="384" t="s">
        <v>123</v>
      </c>
      <c r="C263" s="384" t="s">
        <v>282</v>
      </c>
      <c r="D263" s="374">
        <f t="shared" si="11"/>
        <v>2016</v>
      </c>
      <c r="E263" s="385">
        <f>ארנונה!$K$12</f>
        <v>0.01</v>
      </c>
      <c r="F263" s="386"/>
      <c r="G263" s="387"/>
      <c r="H263" s="453"/>
      <c r="I263" s="385"/>
      <c r="J263" s="306" t="str">
        <f>IF(OR(ארנונה!$C$12=0,ארנונה!$K$12&lt;&gt;0),$B$3,"")</f>
        <v>תקין</v>
      </c>
      <c r="K263" s="536"/>
      <c r="L263" s="313" t="str">
        <f>IF(OR(ארנונה!$C$12=0,ארנונה!$K$12&lt;&gt;0),"",P263)</f>
        <v/>
      </c>
      <c r="M263" s="556"/>
      <c r="N263" s="305"/>
      <c r="P263" s="42" t="s">
        <v>283</v>
      </c>
    </row>
    <row r="264" spans="1:16" ht="25">
      <c r="A264" s="378">
        <v>221</v>
      </c>
      <c r="B264" s="384" t="s">
        <v>123</v>
      </c>
      <c r="C264" s="384" t="s">
        <v>284</v>
      </c>
      <c r="D264" s="374">
        <f t="shared" si="11"/>
        <v>2016</v>
      </c>
      <c r="E264" s="385">
        <f>ארנונה!$K$13</f>
        <v>13.97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>
      <c r="A265" s="378">
        <v>222</v>
      </c>
      <c r="B265" s="384" t="s">
        <v>123</v>
      </c>
      <c r="C265" s="384" t="s">
        <v>286</v>
      </c>
      <c r="D265" s="374">
        <f t="shared" si="11"/>
        <v>2016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>
      <c r="A266" s="378">
        <v>223</v>
      </c>
      <c r="B266" s="384" t="s">
        <v>123</v>
      </c>
      <c r="C266" s="384" t="s">
        <v>288</v>
      </c>
      <c r="D266" s="374">
        <f t="shared" si="11"/>
        <v>2016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>
      <c r="A267" s="378">
        <v>224</v>
      </c>
      <c r="B267" s="384" t="s">
        <v>123</v>
      </c>
      <c r="C267" s="384" t="s">
        <v>290</v>
      </c>
      <c r="D267" s="374">
        <f t="shared" si="11"/>
        <v>2016</v>
      </c>
      <c r="E267" s="385">
        <f>ארנונה!$K$16</f>
        <v>2.2000000000000002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">
      <c r="A268" s="378">
        <v>225</v>
      </c>
      <c r="B268" s="388" t="s">
        <v>123</v>
      </c>
      <c r="C268" s="388" t="s">
        <v>292</v>
      </c>
      <c r="D268" s="389">
        <f t="shared" si="11"/>
        <v>2016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">
      <c r="A269" s="378">
        <v>226</v>
      </c>
      <c r="B269" s="388" t="s">
        <v>123</v>
      </c>
      <c r="C269" s="388" t="s">
        <v>294</v>
      </c>
      <c r="D269" s="389">
        <f t="shared" si="11"/>
        <v>2016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7.5">
      <c r="A270" s="378">
        <v>227</v>
      </c>
      <c r="B270" s="388" t="s">
        <v>123</v>
      </c>
      <c r="C270" s="388" t="s">
        <v>296</v>
      </c>
      <c r="D270" s="389">
        <f t="shared" si="11"/>
        <v>2016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ht="13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ht="13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2017</v>
      </c>
      <c r="E272" s="390">
        <f>ארנונה!$O$6</f>
        <v>37493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ht="13">
      <c r="A273" s="393">
        <v>229</v>
      </c>
      <c r="B273" s="388" t="s">
        <v>123</v>
      </c>
      <c r="C273" s="388" t="s">
        <v>300</v>
      </c>
      <c r="D273" s="389">
        <f t="shared" si="12"/>
        <v>2017</v>
      </c>
      <c r="E273" s="390">
        <f>ארנונה!$O$7</f>
        <v>8965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ht="13">
      <c r="A274" s="393">
        <v>230</v>
      </c>
      <c r="B274" s="388" t="s">
        <v>123</v>
      </c>
      <c r="C274" s="388" t="s">
        <v>302</v>
      </c>
      <c r="D274" s="389">
        <f t="shared" si="12"/>
        <v>2017</v>
      </c>
      <c r="E274" s="390">
        <f>ארנונה!$O$8</f>
        <v>540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ht="13">
      <c r="A275" s="393">
        <v>231</v>
      </c>
      <c r="B275" s="388" t="s">
        <v>123</v>
      </c>
      <c r="C275" s="388" t="s">
        <v>304</v>
      </c>
      <c r="D275" s="389">
        <f t="shared" si="12"/>
        <v>2017</v>
      </c>
      <c r="E275" s="390">
        <f>ארנונה!$O$9</f>
        <v>498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ht="13">
      <c r="A276" s="393">
        <v>232</v>
      </c>
      <c r="B276" s="388" t="s">
        <v>123</v>
      </c>
      <c r="C276" s="388" t="s">
        <v>306</v>
      </c>
      <c r="D276" s="389">
        <f t="shared" si="12"/>
        <v>2017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ht="13">
      <c r="A277" s="393">
        <v>233</v>
      </c>
      <c r="B277" s="388" t="s">
        <v>123</v>
      </c>
      <c r="C277" s="388" t="s">
        <v>308</v>
      </c>
      <c r="D277" s="389">
        <f t="shared" si="12"/>
        <v>2017</v>
      </c>
      <c r="E277" s="390">
        <f>ארנונה!$O$11</f>
        <v>1989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ht="13">
      <c r="A278" s="393">
        <v>234</v>
      </c>
      <c r="B278" s="388" t="s">
        <v>123</v>
      </c>
      <c r="C278" s="388" t="s">
        <v>310</v>
      </c>
      <c r="D278" s="389">
        <f t="shared" si="12"/>
        <v>2017</v>
      </c>
      <c r="E278" s="390">
        <f>ארנונה!$O$12</f>
        <v>0.14299999999999999</v>
      </c>
      <c r="F278" s="391"/>
      <c r="G278" s="392"/>
      <c r="H278" s="454"/>
      <c r="I278" s="390"/>
      <c r="J278" s="337" t="str">
        <f>IF(OR(ארנונה!$C$12=0,ארנונה!$O$12&lt;&gt;0),$B$3,"")</f>
        <v>תקין</v>
      </c>
      <c r="K278" s="545"/>
      <c r="L278" s="339" t="str">
        <f>IF(OR(ארנונה!$C$12=0,ארנונה!$O$12&lt;&gt;0),"",P278)</f>
        <v/>
      </c>
      <c r="M278" s="557"/>
      <c r="N278" s="281"/>
      <c r="P278" s="42" t="s">
        <v>311</v>
      </c>
    </row>
    <row r="279" spans="1:16" ht="13">
      <c r="A279" s="393">
        <v>235</v>
      </c>
      <c r="B279" s="388" t="s">
        <v>123</v>
      </c>
      <c r="C279" s="388" t="s">
        <v>312</v>
      </c>
      <c r="D279" s="389">
        <f t="shared" si="12"/>
        <v>2017</v>
      </c>
      <c r="E279" s="390">
        <f>ארנונה!$O$13</f>
        <v>1215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ht="13">
      <c r="A280" s="393">
        <v>236</v>
      </c>
      <c r="B280" s="388" t="s">
        <v>123</v>
      </c>
      <c r="C280" s="388" t="s">
        <v>314</v>
      </c>
      <c r="D280" s="389">
        <f t="shared" si="12"/>
        <v>2017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ht="13">
      <c r="A281" s="393">
        <v>237</v>
      </c>
      <c r="B281" s="388" t="s">
        <v>123</v>
      </c>
      <c r="C281" s="388" t="s">
        <v>316</v>
      </c>
      <c r="D281" s="389">
        <f t="shared" si="12"/>
        <v>2017</v>
      </c>
      <c r="E281" s="390">
        <f>ארנונה!$O$15</f>
        <v>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ht="13">
      <c r="A282" s="393">
        <v>238</v>
      </c>
      <c r="B282" s="388" t="s">
        <v>123</v>
      </c>
      <c r="C282" s="388" t="s">
        <v>318</v>
      </c>
      <c r="D282" s="389">
        <f t="shared" si="12"/>
        <v>2017</v>
      </c>
      <c r="E282" s="390">
        <f>ארנונה!$O$16</f>
        <v>148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ht="13">
      <c r="A283" s="393">
        <v>239</v>
      </c>
      <c r="B283" s="384" t="s">
        <v>123</v>
      </c>
      <c r="C283" s="384" t="s">
        <v>320</v>
      </c>
      <c r="D283" s="374">
        <f t="shared" si="12"/>
        <v>2017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>
      <c r="A284" s="393">
        <v>240</v>
      </c>
      <c r="B284" s="384" t="s">
        <v>123</v>
      </c>
      <c r="C284" s="384" t="s">
        <v>322</v>
      </c>
      <c r="D284" s="374">
        <f t="shared" si="12"/>
        <v>2017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>
      <c r="A285" s="393">
        <v>241</v>
      </c>
      <c r="B285" s="379" t="s">
        <v>123</v>
      </c>
      <c r="C285" s="379" t="s">
        <v>324</v>
      </c>
      <c r="D285" s="374">
        <f t="shared" si="12"/>
        <v>2017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2017</v>
      </c>
      <c r="E288" s="380">
        <f>ארנונה!$C$6</f>
        <v>1049967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>
      <c r="A289" s="378">
        <v>243</v>
      </c>
      <c r="B289" s="379" t="s">
        <v>123</v>
      </c>
      <c r="C289" s="379" t="s">
        <v>328</v>
      </c>
      <c r="D289" s="374">
        <f t="shared" si="13"/>
        <v>2017</v>
      </c>
      <c r="E289" s="380">
        <f>ארנונה!$C$7</f>
        <v>118335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>
      <c r="A290" s="378">
        <v>244</v>
      </c>
      <c r="B290" s="379" t="s">
        <v>123</v>
      </c>
      <c r="C290" s="379" t="s">
        <v>330</v>
      </c>
      <c r="D290" s="374">
        <f t="shared" si="13"/>
        <v>2017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>
      <c r="A291" s="378">
        <v>245</v>
      </c>
      <c r="B291" s="379" t="s">
        <v>123</v>
      </c>
      <c r="C291" s="379" t="s">
        <v>332</v>
      </c>
      <c r="D291" s="374">
        <f t="shared" si="13"/>
        <v>2017</v>
      </c>
      <c r="E291" s="380">
        <f>ארנונה!$C$9</f>
        <v>8231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>
      <c r="A292" s="378">
        <v>246</v>
      </c>
      <c r="B292" s="379" t="s">
        <v>123</v>
      </c>
      <c r="C292" s="379" t="s">
        <v>334</v>
      </c>
      <c r="D292" s="374">
        <f t="shared" si="13"/>
        <v>2017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>
      <c r="A293" s="378">
        <v>247</v>
      </c>
      <c r="B293" s="379" t="s">
        <v>123</v>
      </c>
      <c r="C293" s="379" t="s">
        <v>336</v>
      </c>
      <c r="D293" s="374">
        <f t="shared" si="13"/>
        <v>2017</v>
      </c>
      <c r="E293" s="380">
        <f>ארנונה!$C$11</f>
        <v>29775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>
      <c r="A294" s="378">
        <v>248</v>
      </c>
      <c r="B294" s="379" t="s">
        <v>123</v>
      </c>
      <c r="C294" s="379" t="s">
        <v>338</v>
      </c>
      <c r="D294" s="374">
        <f t="shared" si="13"/>
        <v>2017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>
      <c r="A295" s="378">
        <v>249</v>
      </c>
      <c r="B295" s="379" t="s">
        <v>123</v>
      </c>
      <c r="C295" s="379" t="s">
        <v>340</v>
      </c>
      <c r="D295" s="374">
        <f t="shared" si="13"/>
        <v>2017</v>
      </c>
      <c r="E295" s="380">
        <f>ארנונה!$C$13</f>
        <v>95203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>
      <c r="A296" s="378">
        <v>250</v>
      </c>
      <c r="B296" s="379" t="s">
        <v>123</v>
      </c>
      <c r="C296" s="379" t="s">
        <v>342</v>
      </c>
      <c r="D296" s="374">
        <f t="shared" si="13"/>
        <v>2017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>
      <c r="A297" s="378">
        <v>251</v>
      </c>
      <c r="B297" s="379" t="s">
        <v>123</v>
      </c>
      <c r="C297" s="379" t="s">
        <v>344</v>
      </c>
      <c r="D297" s="374">
        <f t="shared" si="13"/>
        <v>2017</v>
      </c>
      <c r="E297" s="380">
        <f>ארנונה!$C$15</f>
        <v>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>
      <c r="A298" s="378">
        <v>252</v>
      </c>
      <c r="B298" s="379" t="s">
        <v>123</v>
      </c>
      <c r="C298" s="379" t="s">
        <v>346</v>
      </c>
      <c r="D298" s="374">
        <f t="shared" si="13"/>
        <v>2017</v>
      </c>
      <c r="E298" s="380">
        <f>ארנונה!$C$16</f>
        <v>65496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>
      <c r="A299" s="378">
        <v>253</v>
      </c>
      <c r="B299" s="379" t="s">
        <v>123</v>
      </c>
      <c r="C299" s="379" t="s">
        <v>348</v>
      </c>
      <c r="D299" s="374">
        <f t="shared" si="13"/>
        <v>2017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>
      <c r="A300" s="378">
        <v>254</v>
      </c>
      <c r="B300" s="379" t="s">
        <v>123</v>
      </c>
      <c r="C300" s="379" t="s">
        <v>350</v>
      </c>
      <c r="D300" s="374">
        <f t="shared" si="13"/>
        <v>2017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>
      <c r="A301" s="378">
        <v>255</v>
      </c>
      <c r="B301" s="379" t="s">
        <v>123</v>
      </c>
      <c r="C301" s="379" t="s">
        <v>352</v>
      </c>
      <c r="D301" s="374">
        <f t="shared" si="13"/>
        <v>2017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2017</v>
      </c>
      <c r="E303" s="380">
        <f>ארנונה!$E$6</f>
        <v>117.59</v>
      </c>
      <c r="F303" s="381"/>
      <c r="G303" s="382"/>
      <c r="H303" s="453"/>
      <c r="I303" s="380"/>
      <c r="J303" s="311" t="str">
        <f>IF(OR(ארנונה!$O$6=0,ארנונה!$E$6&lt;&gt;0),$B$3,"")</f>
        <v>תקין</v>
      </c>
      <c r="K303" s="536"/>
      <c r="L303" s="312" t="str">
        <f>IF(OR(ארנונה!$O$6=0,ארנונה!$E$6&lt;&gt;0),"",P303)</f>
        <v/>
      </c>
      <c r="M303" s="571"/>
      <c r="N303" s="281"/>
      <c r="P303" s="42" t="s">
        <v>215</v>
      </c>
    </row>
    <row r="304" spans="1:16" ht="27.75" customHeight="1">
      <c r="A304" s="378">
        <v>257</v>
      </c>
      <c r="B304" s="379" t="s">
        <v>123</v>
      </c>
      <c r="C304" s="379" t="s">
        <v>216</v>
      </c>
      <c r="D304" s="374">
        <f t="shared" si="14"/>
        <v>2017</v>
      </c>
      <c r="E304" s="380">
        <f>ארנונה!$E$7</f>
        <v>376.73</v>
      </c>
      <c r="F304" s="381"/>
      <c r="G304" s="382"/>
      <c r="H304" s="453"/>
      <c r="I304" s="380"/>
      <c r="J304" s="311" t="str">
        <f>IF(OR(ארנונה!$O$7=0,ארנונה!$E$7&lt;&gt;0),$B$3,"")</f>
        <v>תקין</v>
      </c>
      <c r="K304" s="536"/>
      <c r="L304" s="312" t="str">
        <f>IF(OR(ארנונה!$O$7=0,ארנונה!$E$7&lt;&gt;0),"",P304)</f>
        <v/>
      </c>
      <c r="M304" s="571"/>
      <c r="N304" s="281"/>
      <c r="P304" s="42" t="s">
        <v>217</v>
      </c>
    </row>
    <row r="305" spans="1:16" ht="27.75" customHeight="1">
      <c r="A305" s="378">
        <v>258</v>
      </c>
      <c r="B305" s="379" t="s">
        <v>123</v>
      </c>
      <c r="C305" s="379" t="s">
        <v>218</v>
      </c>
      <c r="D305" s="374">
        <f t="shared" si="14"/>
        <v>2017</v>
      </c>
      <c r="E305" s="380">
        <f>ארנונה!$E$8</f>
        <v>1356.82</v>
      </c>
      <c r="F305" s="381"/>
      <c r="G305" s="382"/>
      <c r="H305" s="453"/>
      <c r="I305" s="380"/>
      <c r="J305" s="311" t="str">
        <f>IF(OR(ארנונה!$O$8=0,ארנונה!$E$8&lt;&gt;0),$B$3,"")</f>
        <v>תקין</v>
      </c>
      <c r="K305" s="536"/>
      <c r="L305" s="312" t="str">
        <f>IF(OR(ארנונה!$O$8=0,ארנונה!$E$8&lt;&gt;0),"",P305)</f>
        <v/>
      </c>
      <c r="M305" s="571"/>
      <c r="N305" s="281"/>
      <c r="P305" s="42" t="s">
        <v>219</v>
      </c>
    </row>
    <row r="306" spans="1:16" ht="27.75" customHeight="1">
      <c r="A306" s="378">
        <v>259</v>
      </c>
      <c r="B306" s="379" t="s">
        <v>123</v>
      </c>
      <c r="C306" s="379" t="s">
        <v>220</v>
      </c>
      <c r="D306" s="374">
        <f t="shared" si="14"/>
        <v>2017</v>
      </c>
      <c r="E306" s="380">
        <f>ארנונה!$E$9</f>
        <v>162.36000000000001</v>
      </c>
      <c r="F306" s="381"/>
      <c r="G306" s="382"/>
      <c r="H306" s="453"/>
      <c r="I306" s="380"/>
      <c r="J306" s="311" t="str">
        <f>IF(OR(ארנונה!$O$9=0,ארנונה!$E$9&lt;&gt;0),$B$3,"")</f>
        <v>תקין</v>
      </c>
      <c r="K306" s="536"/>
      <c r="L306" s="312" t="str">
        <f>IF(OR(ארנונה!$O$9=0,ארנונה!$E$9&lt;&gt;0),"",P306)</f>
        <v/>
      </c>
      <c r="M306" s="571"/>
      <c r="N306" s="281"/>
      <c r="P306" s="42" t="s">
        <v>221</v>
      </c>
    </row>
    <row r="307" spans="1:16" ht="27.75" customHeight="1">
      <c r="A307" s="378">
        <v>260</v>
      </c>
      <c r="B307" s="379" t="s">
        <v>123</v>
      </c>
      <c r="C307" s="379" t="s">
        <v>222</v>
      </c>
      <c r="D307" s="374">
        <f t="shared" si="14"/>
        <v>2017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>
      <c r="A308" s="378">
        <v>261</v>
      </c>
      <c r="B308" s="379" t="s">
        <v>123</v>
      </c>
      <c r="C308" s="379" t="s">
        <v>224</v>
      </c>
      <c r="D308" s="374">
        <f t="shared" si="14"/>
        <v>2017</v>
      </c>
      <c r="E308" s="380">
        <f>ארנונה!$E$11</f>
        <v>219.06</v>
      </c>
      <c r="F308" s="381"/>
      <c r="G308" s="382"/>
      <c r="H308" s="453"/>
      <c r="I308" s="380"/>
      <c r="J308" s="311" t="str">
        <f>IF(OR(ארנונה!$O$11=0,ארנונה!$E$11&lt;&gt;0),$B$3,"")</f>
        <v>תקין</v>
      </c>
      <c r="K308" s="536"/>
      <c r="L308" s="312" t="str">
        <f>IF(OR(ארנונה!$O$11=0,ארנונה!$E$11&lt;&gt;0),"",P308)</f>
        <v/>
      </c>
      <c r="M308" s="571"/>
      <c r="N308" s="281"/>
      <c r="P308" s="42" t="s">
        <v>225</v>
      </c>
    </row>
    <row r="309" spans="1:16" ht="27.75" customHeight="1">
      <c r="A309" s="378">
        <v>262</v>
      </c>
      <c r="B309" s="379" t="s">
        <v>123</v>
      </c>
      <c r="C309" s="379" t="s">
        <v>226</v>
      </c>
      <c r="D309" s="374">
        <f t="shared" si="14"/>
        <v>2017</v>
      </c>
      <c r="E309" s="380">
        <f>ארנונה!$E$12</f>
        <v>0.66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>
      <c r="A310" s="378">
        <v>263</v>
      </c>
      <c r="B310" s="379" t="s">
        <v>123</v>
      </c>
      <c r="C310" s="379" t="s">
        <v>228</v>
      </c>
      <c r="D310" s="374">
        <f t="shared" si="14"/>
        <v>2017</v>
      </c>
      <c r="E310" s="380">
        <f>ארנונה!$E$13</f>
        <v>54.65</v>
      </c>
      <c r="F310" s="381"/>
      <c r="G310" s="382"/>
      <c r="H310" s="453"/>
      <c r="I310" s="380"/>
      <c r="J310" s="311" t="str">
        <f>IF(OR(ארנונה!$O$13=0,ארנונה!$E$13&lt;&gt;0),$B$3,"")</f>
        <v>תקין</v>
      </c>
      <c r="K310" s="536"/>
      <c r="L310" s="312" t="str">
        <f>IF(OR(ארנונה!$O$13=0,ארנונה!$E$13&lt;&gt;0),"",P310)</f>
        <v/>
      </c>
      <c r="M310" s="571"/>
      <c r="N310" s="281"/>
      <c r="P310" s="42" t="s">
        <v>229</v>
      </c>
    </row>
    <row r="311" spans="1:16" ht="27.75" customHeight="1">
      <c r="A311" s="378">
        <v>264</v>
      </c>
      <c r="B311" s="379" t="s">
        <v>123</v>
      </c>
      <c r="C311" s="379" t="s">
        <v>230</v>
      </c>
      <c r="D311" s="374">
        <f t="shared" si="14"/>
        <v>2017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>
      <c r="A312" s="378">
        <v>265</v>
      </c>
      <c r="B312" s="379" t="s">
        <v>123</v>
      </c>
      <c r="C312" s="379" t="s">
        <v>232</v>
      </c>
      <c r="D312" s="374">
        <f t="shared" si="14"/>
        <v>2017</v>
      </c>
      <c r="E312" s="380">
        <f>ארנונה!$E$15</f>
        <v>0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>
      <c r="A313" s="378">
        <v>266</v>
      </c>
      <c r="B313" s="379" t="s">
        <v>123</v>
      </c>
      <c r="C313" s="379" t="s">
        <v>234</v>
      </c>
      <c r="D313" s="374">
        <f t="shared" si="14"/>
        <v>2017</v>
      </c>
      <c r="E313" s="380">
        <f>ארנונה!$E$16</f>
        <v>44.8</v>
      </c>
      <c r="F313" s="381"/>
      <c r="G313" s="382"/>
      <c r="H313" s="453"/>
      <c r="I313" s="380"/>
      <c r="J313" s="311" t="str">
        <f>IF(OR(ארנונה!$O$16=0,ארנונה!$E$16&lt;&gt;0),$B$3,"")</f>
        <v>תקין</v>
      </c>
      <c r="K313" s="536"/>
      <c r="L313" s="312" t="str">
        <f>IF(OR(ארנונה!$O$16=0,ארנונה!$E$16&lt;&gt;0),"",P313)</f>
        <v/>
      </c>
      <c r="M313" s="571"/>
      <c r="N313" s="281"/>
      <c r="P313" s="42" t="s">
        <v>235</v>
      </c>
    </row>
    <row r="314" spans="1:16" ht="27.75" customHeight="1">
      <c r="A314" s="378">
        <v>267</v>
      </c>
      <c r="B314" s="379" t="s">
        <v>123</v>
      </c>
      <c r="C314" s="379" t="s">
        <v>236</v>
      </c>
      <c r="D314" s="374">
        <f t="shared" si="14"/>
        <v>2017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>
      <c r="A315" s="378">
        <v>268</v>
      </c>
      <c r="B315" s="379" t="s">
        <v>123</v>
      </c>
      <c r="C315" s="379" t="s">
        <v>238</v>
      </c>
      <c r="D315" s="374">
        <f t="shared" si="14"/>
        <v>2017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>
      <c r="A316" s="378">
        <v>269</v>
      </c>
      <c r="B316" s="379" t="s">
        <v>123</v>
      </c>
      <c r="C316" s="379" t="s">
        <v>240</v>
      </c>
      <c r="D316" s="374">
        <f t="shared" si="14"/>
        <v>2017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2017</v>
      </c>
      <c r="E318" s="380">
        <f>ארנונה!$G$6</f>
        <v>33.94</v>
      </c>
      <c r="F318" s="381"/>
      <c r="G318" s="382"/>
      <c r="H318" s="453"/>
      <c r="I318" s="380"/>
      <c r="J318" s="311" t="str">
        <f>IF(OR(ארנונה!$O$6=0,ארנונה!$G$6&lt;&gt;0),$B$3,"")</f>
        <v>תקין</v>
      </c>
      <c r="K318" s="536"/>
      <c r="L318" s="312" t="str">
        <f>IF(OR(ארנונה!$O$6=0,ארנונה!$G$6&lt;&gt;0),"",P318)</f>
        <v/>
      </c>
      <c r="M318" s="571"/>
      <c r="N318" s="281"/>
      <c r="P318" s="42" t="s">
        <v>243</v>
      </c>
    </row>
    <row r="319" spans="1:16" ht="27.75" customHeight="1">
      <c r="A319" s="378">
        <v>271</v>
      </c>
      <c r="B319" s="379" t="s">
        <v>123</v>
      </c>
      <c r="C319" s="379" t="s">
        <v>244</v>
      </c>
      <c r="D319" s="374">
        <f t="shared" si="15"/>
        <v>2017</v>
      </c>
      <c r="E319" s="380">
        <f>ארנונה!$G$7</f>
        <v>66.63</v>
      </c>
      <c r="F319" s="381"/>
      <c r="G319" s="382"/>
      <c r="H319" s="453"/>
      <c r="I319" s="380"/>
      <c r="J319" s="311" t="str">
        <f>IF(OR(ארנונה!$O$7=0,ארנונה!$G$7&lt;&gt;0),$B$3,"")</f>
        <v>תקין</v>
      </c>
      <c r="K319" s="536"/>
      <c r="L319" s="312" t="str">
        <f>IF(OR(ארנונה!$O$7=0,ארנונה!$G$7&lt;&gt;0),"",P319)</f>
        <v/>
      </c>
      <c r="M319" s="571"/>
      <c r="N319" s="281"/>
      <c r="P319" s="42" t="s">
        <v>245</v>
      </c>
    </row>
    <row r="320" spans="1:16" ht="27.75" customHeight="1">
      <c r="A320" s="378">
        <v>272</v>
      </c>
      <c r="B320" s="379" t="s">
        <v>123</v>
      </c>
      <c r="C320" s="379" t="s">
        <v>246</v>
      </c>
      <c r="D320" s="374">
        <f t="shared" si="15"/>
        <v>2017</v>
      </c>
      <c r="E320" s="380">
        <f>ארנונה!$G$8</f>
        <v>453.08</v>
      </c>
      <c r="F320" s="381"/>
      <c r="G320" s="382"/>
      <c r="H320" s="453"/>
      <c r="I320" s="380"/>
      <c r="J320" s="311" t="str">
        <f>IF(OR(ארנונה!$O$8=0,ארנונה!$G$8&lt;&gt;0),$B$3,"")</f>
        <v>תקין</v>
      </c>
      <c r="K320" s="536"/>
      <c r="L320" s="312" t="str">
        <f>IF(OR(ארנונה!$O$8=0,ארנונה!$G$8&lt;&gt;0),"",P320)</f>
        <v/>
      </c>
      <c r="M320" s="571"/>
      <c r="N320" s="281"/>
      <c r="P320" s="42" t="s">
        <v>247</v>
      </c>
    </row>
    <row r="321" spans="1:16" ht="27.75" customHeight="1">
      <c r="A321" s="378">
        <v>273</v>
      </c>
      <c r="B321" s="379" t="s">
        <v>123</v>
      </c>
      <c r="C321" s="379" t="s">
        <v>248</v>
      </c>
      <c r="D321" s="374">
        <f t="shared" si="15"/>
        <v>2017</v>
      </c>
      <c r="E321" s="380">
        <f>ארנונה!$G$9</f>
        <v>24.29</v>
      </c>
      <c r="F321" s="381"/>
      <c r="G321" s="382"/>
      <c r="H321" s="453"/>
      <c r="I321" s="380"/>
      <c r="J321" s="311" t="str">
        <f>IF(OR(ארנונה!$O$9=0,ארנונה!$G$9&lt;&gt;0),$B$3,"")</f>
        <v>תקין</v>
      </c>
      <c r="K321" s="536"/>
      <c r="L321" s="312" t="str">
        <f>IF(OR(ארנונה!$O$9=0,ארנונה!$G$9&lt;&gt;0),"",P321)</f>
        <v/>
      </c>
      <c r="M321" s="571"/>
      <c r="N321" s="281"/>
      <c r="P321" s="42" t="s">
        <v>249</v>
      </c>
    </row>
    <row r="322" spans="1:16" ht="27.75" customHeight="1">
      <c r="A322" s="378">
        <v>274</v>
      </c>
      <c r="B322" s="379" t="s">
        <v>123</v>
      </c>
      <c r="C322" s="379" t="s">
        <v>250</v>
      </c>
      <c r="D322" s="374">
        <f t="shared" si="15"/>
        <v>2017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>
      <c r="A323" s="378">
        <v>275</v>
      </c>
      <c r="B323" s="379" t="s">
        <v>123</v>
      </c>
      <c r="C323" s="379" t="s">
        <v>252</v>
      </c>
      <c r="D323" s="374">
        <f t="shared" si="15"/>
        <v>2017</v>
      </c>
      <c r="E323" s="380">
        <f>ארנונה!$G$11</f>
        <v>44.98</v>
      </c>
      <c r="F323" s="381"/>
      <c r="G323" s="382"/>
      <c r="H323" s="453"/>
      <c r="I323" s="380"/>
      <c r="J323" s="311" t="str">
        <f>IF(OR(ארנונה!$O$11=0,ארנונה!$G$11&lt;&gt;0),$B$3,"")</f>
        <v>תקין</v>
      </c>
      <c r="K323" s="536"/>
      <c r="L323" s="312" t="str">
        <f>IF(OR(ארנונה!$O$11=0,ארנונה!$G$11&lt;&gt;0),"",P323)</f>
        <v/>
      </c>
      <c r="M323" s="571"/>
      <c r="N323" s="281"/>
      <c r="P323" s="42" t="s">
        <v>253</v>
      </c>
    </row>
    <row r="324" spans="1:16" ht="27.75" customHeight="1">
      <c r="A324" s="378">
        <v>276</v>
      </c>
      <c r="B324" s="379" t="s">
        <v>123</v>
      </c>
      <c r="C324" s="379" t="s">
        <v>254</v>
      </c>
      <c r="D324" s="374">
        <f t="shared" si="15"/>
        <v>2017</v>
      </c>
      <c r="E324" s="380">
        <f>ארנונה!$G$12</f>
        <v>9.4230000000000008E-3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>
      <c r="A325" s="378">
        <v>277</v>
      </c>
      <c r="B325" s="379" t="s">
        <v>123</v>
      </c>
      <c r="C325" s="379" t="s">
        <v>256</v>
      </c>
      <c r="D325" s="374">
        <f t="shared" si="15"/>
        <v>2017</v>
      </c>
      <c r="E325" s="380">
        <f>ארנונה!$G$13</f>
        <v>1.0727E-2</v>
      </c>
      <c r="F325" s="381"/>
      <c r="G325" s="382"/>
      <c r="H325" s="453"/>
      <c r="I325" s="380"/>
      <c r="J325" s="311" t="str">
        <f>IF(OR(ארנונה!$O$13=0,ארנונה!$G$13&lt;&gt;0),$B$3,"")</f>
        <v>תקין</v>
      </c>
      <c r="K325" s="536"/>
      <c r="L325" s="312" t="str">
        <f>IF(OR(ארנונה!$O$13=0,ארנונה!$G$13&lt;&gt;0),"",P325)</f>
        <v/>
      </c>
      <c r="M325" s="571"/>
      <c r="N325" s="281"/>
      <c r="P325" s="42" t="s">
        <v>257</v>
      </c>
    </row>
    <row r="326" spans="1:16" ht="27.75" customHeight="1">
      <c r="A326" s="378">
        <v>278</v>
      </c>
      <c r="B326" s="379" t="s">
        <v>123</v>
      </c>
      <c r="C326" s="379" t="s">
        <v>258</v>
      </c>
      <c r="D326" s="374">
        <f t="shared" si="15"/>
        <v>2017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>
      <c r="A327" s="378">
        <v>279</v>
      </c>
      <c r="B327" s="379" t="s">
        <v>123</v>
      </c>
      <c r="C327" s="379" t="s">
        <v>260</v>
      </c>
      <c r="D327" s="374">
        <f t="shared" si="15"/>
        <v>2017</v>
      </c>
      <c r="E327" s="380">
        <f>ארנונה!$G$15</f>
        <v>0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>
      <c r="A328" s="378">
        <v>280</v>
      </c>
      <c r="B328" s="379" t="s">
        <v>123</v>
      </c>
      <c r="C328" s="379" t="s">
        <v>262</v>
      </c>
      <c r="D328" s="374">
        <f t="shared" si="15"/>
        <v>2017</v>
      </c>
      <c r="E328" s="380">
        <f>ארנונה!$G$16</f>
        <v>0.34200000000000003</v>
      </c>
      <c r="F328" s="381"/>
      <c r="G328" s="382"/>
      <c r="H328" s="453"/>
      <c r="I328" s="380"/>
      <c r="J328" s="311" t="str">
        <f>IF(OR(ארנונה!$O$16=0,ארנונה!$G$16&lt;&gt;0),$B$3,"")</f>
        <v>תקין</v>
      </c>
      <c r="K328" s="536"/>
      <c r="L328" s="312" t="str">
        <f>IF(OR(ארנונה!$O$16=0,ארנונה!$G$16&lt;&gt;0),"",P328)</f>
        <v/>
      </c>
      <c r="M328" s="571"/>
      <c r="N328" s="281"/>
      <c r="P328" s="42" t="s">
        <v>263</v>
      </c>
    </row>
    <row r="329" spans="1:16" ht="27.75" customHeight="1">
      <c r="A329" s="378">
        <v>281</v>
      </c>
      <c r="B329" s="379" t="s">
        <v>123</v>
      </c>
      <c r="C329" s="379" t="s">
        <v>264</v>
      </c>
      <c r="D329" s="374">
        <f t="shared" si="15"/>
        <v>2017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>
      <c r="A330" s="378">
        <v>282</v>
      </c>
      <c r="B330" s="379" t="s">
        <v>123</v>
      </c>
      <c r="C330" s="379" t="s">
        <v>266</v>
      </c>
      <c r="D330" s="374">
        <f t="shared" si="15"/>
        <v>2017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>
      <c r="A331" s="378">
        <v>283</v>
      </c>
      <c r="B331" s="379" t="s">
        <v>123</v>
      </c>
      <c r="C331" s="379" t="s">
        <v>268</v>
      </c>
      <c r="D331" s="374">
        <f t="shared" si="15"/>
        <v>2017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2016</v>
      </c>
      <c r="E333" s="380">
        <f>ארנונה!$K$6</f>
        <v>35.090000000000003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>
      <c r="A334" s="378">
        <v>285</v>
      </c>
      <c r="B334" s="379" t="s">
        <v>123</v>
      </c>
      <c r="C334" s="379" t="s">
        <v>272</v>
      </c>
      <c r="D334" s="374">
        <f t="shared" si="16"/>
        <v>2016</v>
      </c>
      <c r="E334" s="380">
        <f>ארנונה!$K$7</f>
        <v>75.069999999999993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>
      <c r="A335" s="378">
        <v>286</v>
      </c>
      <c r="B335" s="379" t="s">
        <v>123</v>
      </c>
      <c r="C335" s="379" t="s">
        <v>274</v>
      </c>
      <c r="D335" s="374">
        <f t="shared" si="16"/>
        <v>2016</v>
      </c>
      <c r="E335" s="380">
        <f>ארנונה!$K$8</f>
        <v>545.39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>
      <c r="A336" s="378">
        <v>287</v>
      </c>
      <c r="B336" s="379" t="s">
        <v>123</v>
      </c>
      <c r="C336" s="379" t="s">
        <v>276</v>
      </c>
      <c r="D336" s="374">
        <f t="shared" si="16"/>
        <v>2016</v>
      </c>
      <c r="E336" s="380">
        <f>ארנונה!$K$9</f>
        <v>59.9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>
      <c r="A337" s="378">
        <v>288</v>
      </c>
      <c r="B337" s="379" t="s">
        <v>123</v>
      </c>
      <c r="C337" s="379" t="s">
        <v>278</v>
      </c>
      <c r="D337" s="374">
        <f t="shared" si="16"/>
        <v>2016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>
      <c r="A338" s="378">
        <v>289</v>
      </c>
      <c r="B338" s="379" t="s">
        <v>123</v>
      </c>
      <c r="C338" s="379" t="s">
        <v>280</v>
      </c>
      <c r="D338" s="374">
        <f t="shared" si="16"/>
        <v>2016</v>
      </c>
      <c r="E338" s="380">
        <f>ארנונה!$K$11</f>
        <v>65.94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>
      <c r="A339" s="378">
        <v>290</v>
      </c>
      <c r="B339" s="384" t="s">
        <v>123</v>
      </c>
      <c r="C339" s="384" t="s">
        <v>282</v>
      </c>
      <c r="D339" s="374">
        <f t="shared" si="16"/>
        <v>2016</v>
      </c>
      <c r="E339" s="385">
        <f>ארנונה!$K$12</f>
        <v>0.01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">
      <c r="A340" s="378">
        <v>291</v>
      </c>
      <c r="B340" s="384" t="s">
        <v>123</v>
      </c>
      <c r="C340" s="384" t="s">
        <v>284</v>
      </c>
      <c r="D340" s="374">
        <f t="shared" si="16"/>
        <v>2016</v>
      </c>
      <c r="E340" s="385">
        <f>ארנונה!$K$13</f>
        <v>13.97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>
      <c r="A341" s="378">
        <v>292</v>
      </c>
      <c r="B341" s="384" t="s">
        <v>123</v>
      </c>
      <c r="C341" s="384" t="s">
        <v>286</v>
      </c>
      <c r="D341" s="374">
        <f t="shared" si="16"/>
        <v>2016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>
      <c r="A342" s="378">
        <v>293</v>
      </c>
      <c r="B342" s="384" t="s">
        <v>123</v>
      </c>
      <c r="C342" s="384" t="s">
        <v>288</v>
      </c>
      <c r="D342" s="374">
        <f t="shared" si="16"/>
        <v>2016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>
      <c r="A343" s="378">
        <v>294</v>
      </c>
      <c r="B343" s="384" t="s">
        <v>123</v>
      </c>
      <c r="C343" s="384" t="s">
        <v>290</v>
      </c>
      <c r="D343" s="374">
        <f t="shared" si="16"/>
        <v>2016</v>
      </c>
      <c r="E343" s="385">
        <f>ארנונה!$K$16</f>
        <v>2.2000000000000002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">
      <c r="A344" s="378">
        <v>295</v>
      </c>
      <c r="B344" s="388" t="s">
        <v>123</v>
      </c>
      <c r="C344" s="388" t="s">
        <v>292</v>
      </c>
      <c r="D344" s="389">
        <f t="shared" si="16"/>
        <v>2016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">
      <c r="A345" s="378">
        <v>296</v>
      </c>
      <c r="B345" s="388" t="s">
        <v>123</v>
      </c>
      <c r="C345" s="388" t="s">
        <v>294</v>
      </c>
      <c r="D345" s="389">
        <f t="shared" si="16"/>
        <v>2016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7.5">
      <c r="A346" s="378">
        <v>297</v>
      </c>
      <c r="B346" s="388" t="s">
        <v>123</v>
      </c>
      <c r="C346" s="388" t="s">
        <v>296</v>
      </c>
      <c r="D346" s="389">
        <f t="shared" si="16"/>
        <v>2016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ht="13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">
      <c r="A348" s="378">
        <v>298</v>
      </c>
      <c r="B348" s="379" t="s">
        <v>123</v>
      </c>
      <c r="C348" s="379" t="s">
        <v>449</v>
      </c>
      <c r="D348" s="454">
        <f>$F$3</f>
        <v>2017</v>
      </c>
      <c r="E348" s="390">
        <f>ארנונה!I6</f>
        <v>35.70874132234632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2017</v>
      </c>
      <c r="E349" s="390">
        <f>ארנונה!I7</f>
        <v>75.759496345121903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ht="13">
      <c r="A350" s="378">
        <v>300</v>
      </c>
      <c r="B350" s="379" t="s">
        <v>123</v>
      </c>
      <c r="C350" s="379" t="s">
        <v>451</v>
      </c>
      <c r="D350" s="454">
        <f t="shared" si="17"/>
        <v>2017</v>
      </c>
      <c r="E350" s="390">
        <f>ארנונה!I8</f>
        <v>554.98458376156213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>
      <c r="A351" s="378">
        <v>301</v>
      </c>
      <c r="B351" s="379" t="s">
        <v>123</v>
      </c>
      <c r="C351" s="379" t="s">
        <v>452</v>
      </c>
      <c r="D351" s="454">
        <f t="shared" si="17"/>
        <v>2017</v>
      </c>
      <c r="E351" s="390">
        <f>ארנונה!I9</f>
        <v>60.502976552059287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>
      <c r="A352" s="378">
        <v>302</v>
      </c>
      <c r="B352" s="379" t="s">
        <v>123</v>
      </c>
      <c r="C352" s="379" t="s">
        <v>453</v>
      </c>
      <c r="D352" s="454">
        <f t="shared" si="17"/>
        <v>2017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>
      <c r="A353" s="378">
        <v>303</v>
      </c>
      <c r="B353" s="379" t="s">
        <v>123</v>
      </c>
      <c r="C353" s="379" t="s">
        <v>454</v>
      </c>
      <c r="D353" s="454">
        <f t="shared" si="17"/>
        <v>2017</v>
      </c>
      <c r="E353" s="390">
        <f>ארנונה!I11</f>
        <v>66.80100755667506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">
      <c r="A354" s="378">
        <v>304</v>
      </c>
      <c r="B354" s="384" t="s">
        <v>123</v>
      </c>
      <c r="C354" s="384" t="s">
        <v>455</v>
      </c>
      <c r="D354" s="454">
        <f t="shared" si="17"/>
        <v>2017</v>
      </c>
      <c r="E354" s="390">
        <f>ארנונה!I12</f>
        <v>1.0016811431773607E-2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">
      <c r="A355" s="378">
        <v>305</v>
      </c>
      <c r="B355" s="384" t="s">
        <v>123</v>
      </c>
      <c r="C355" s="384" t="s">
        <v>456</v>
      </c>
      <c r="D355" s="454">
        <f t="shared" si="17"/>
        <v>2017</v>
      </c>
      <c r="E355" s="390">
        <f>ארנונה!I13</f>
        <v>12.762202871758243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">
      <c r="A356" s="378">
        <v>306</v>
      </c>
      <c r="B356" s="384" t="s">
        <v>123</v>
      </c>
      <c r="C356" s="384" t="s">
        <v>457</v>
      </c>
      <c r="D356" s="454">
        <f t="shared" si="17"/>
        <v>2017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>
      <c r="A357" s="378">
        <v>307</v>
      </c>
      <c r="B357" s="384" t="s">
        <v>123</v>
      </c>
      <c r="C357" s="384" t="s">
        <v>458</v>
      </c>
      <c r="D357" s="454">
        <f t="shared" si="17"/>
        <v>2017</v>
      </c>
      <c r="E357" s="390">
        <f>ארנונה!I15</f>
        <v>0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">
      <c r="A358" s="378">
        <v>308</v>
      </c>
      <c r="B358" s="384" t="s">
        <v>123</v>
      </c>
      <c r="C358" s="384" t="s">
        <v>459</v>
      </c>
      <c r="D358" s="454">
        <f t="shared" si="17"/>
        <v>2017</v>
      </c>
      <c r="E358" s="390">
        <f>ארנונה!I16</f>
        <v>2.2596799804568217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">
      <c r="A359" s="378">
        <v>309</v>
      </c>
      <c r="B359" s="388" t="s">
        <v>123</v>
      </c>
      <c r="C359" s="388" t="s">
        <v>460</v>
      </c>
      <c r="D359" s="454">
        <f t="shared" si="17"/>
        <v>2017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">
      <c r="A360" s="378">
        <v>310</v>
      </c>
      <c r="B360" s="388" t="s">
        <v>123</v>
      </c>
      <c r="C360" s="388" t="s">
        <v>461</v>
      </c>
      <c r="D360" s="454">
        <f t="shared" si="17"/>
        <v>2017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7.5">
      <c r="A361" s="378">
        <v>311</v>
      </c>
      <c r="B361" s="388" t="s">
        <v>123</v>
      </c>
      <c r="C361" s="388" t="s">
        <v>462</v>
      </c>
      <c r="D361" s="454">
        <f t="shared" si="17"/>
        <v>2017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ht="13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5">
      <c r="A363" s="358"/>
      <c r="B363" s="621" t="s">
        <v>354</v>
      </c>
      <c r="C363" s="621"/>
      <c r="D363" s="621"/>
      <c r="E363" s="621"/>
      <c r="F363" s="621"/>
      <c r="G363" s="621"/>
      <c r="H363" s="621"/>
      <c r="I363" s="621"/>
      <c r="J363" s="359"/>
      <c r="K363" s="549"/>
      <c r="L363" s="360"/>
      <c r="M363" s="371"/>
      <c r="N363" s="281"/>
    </row>
    <row r="364" spans="1:16" ht="27" customHeight="1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2017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2017</v>
      </c>
      <c r="I364" s="390">
        <f>'שכר ומשרות'!F10</f>
        <v>1982.991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ht="13">
      <c r="A365" s="395">
        <v>313</v>
      </c>
      <c r="B365" s="396" t="s">
        <v>13</v>
      </c>
      <c r="C365" s="396" t="s">
        <v>358</v>
      </c>
      <c r="D365" s="389">
        <f t="shared" si="18"/>
        <v>2017</v>
      </c>
      <c r="E365" s="390">
        <f>'שכר ומשרות'!D11</f>
        <v>18</v>
      </c>
      <c r="F365" s="392" t="s">
        <v>13</v>
      </c>
      <c r="G365" s="392" t="s">
        <v>359</v>
      </c>
      <c r="H365" s="454">
        <f t="shared" si="19"/>
        <v>2017</v>
      </c>
      <c r="I365" s="390">
        <f>'שכר ומשרות'!F11</f>
        <v>4073.5050000000001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ht="13">
      <c r="A366" s="395">
        <v>314</v>
      </c>
      <c r="B366" s="396" t="s">
        <v>13</v>
      </c>
      <c r="C366" s="396" t="s">
        <v>360</v>
      </c>
      <c r="D366" s="389">
        <f t="shared" si="18"/>
        <v>2017</v>
      </c>
      <c r="E366" s="390">
        <f>'שכר ומשרות'!D12</f>
        <v>16</v>
      </c>
      <c r="F366" s="392" t="s">
        <v>13</v>
      </c>
      <c r="G366" s="392" t="s">
        <v>361</v>
      </c>
      <c r="H366" s="454">
        <f t="shared" si="19"/>
        <v>2017</v>
      </c>
      <c r="I366" s="390">
        <f>'שכר ומשרות'!F12</f>
        <v>2679.5920000000001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ht="13">
      <c r="A367" s="395">
        <v>315</v>
      </c>
      <c r="B367" s="396" t="s">
        <v>13</v>
      </c>
      <c r="C367" s="396" t="s">
        <v>362</v>
      </c>
      <c r="D367" s="389">
        <f t="shared" si="18"/>
        <v>2017</v>
      </c>
      <c r="E367" s="390">
        <f>'שכר ומשרות'!D15</f>
        <v>5</v>
      </c>
      <c r="F367" s="392" t="s">
        <v>13</v>
      </c>
      <c r="G367" s="392" t="s">
        <v>363</v>
      </c>
      <c r="H367" s="454">
        <f t="shared" si="19"/>
        <v>2017</v>
      </c>
      <c r="I367" s="390">
        <f>'שכר ומשרות'!F15</f>
        <v>803.90300000000002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>
      <c r="A368" s="395">
        <v>316</v>
      </c>
      <c r="B368" s="396" t="s">
        <v>13</v>
      </c>
      <c r="C368" s="396" t="s">
        <v>364</v>
      </c>
      <c r="D368" s="389">
        <f t="shared" si="18"/>
        <v>2017</v>
      </c>
      <c r="E368" s="390">
        <f>'שכר ומשרות'!D16</f>
        <v>9.91</v>
      </c>
      <c r="F368" s="392" t="s">
        <v>13</v>
      </c>
      <c r="G368" s="392" t="s">
        <v>365</v>
      </c>
      <c r="H368" s="454">
        <f t="shared" si="19"/>
        <v>2017</v>
      </c>
      <c r="I368" s="390">
        <f>'שכר ומשרות'!F16</f>
        <v>1258.8119999999999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>
      <c r="A369" s="395">
        <v>317</v>
      </c>
      <c r="B369" s="396" t="s">
        <v>13</v>
      </c>
      <c r="C369" s="396" t="s">
        <v>366</v>
      </c>
      <c r="D369" s="389">
        <f t="shared" si="18"/>
        <v>2017</v>
      </c>
      <c r="E369" s="390">
        <f>'שכר ומשרות'!D17</f>
        <v>7</v>
      </c>
      <c r="F369" s="392" t="s">
        <v>13</v>
      </c>
      <c r="G369" s="392" t="s">
        <v>367</v>
      </c>
      <c r="H369" s="454">
        <f t="shared" si="19"/>
        <v>2017</v>
      </c>
      <c r="I369" s="390">
        <f>'שכר ומשרות'!F17</f>
        <v>1238.5540000000001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>
      <c r="A370" s="395">
        <v>318</v>
      </c>
      <c r="B370" s="396" t="s">
        <v>13</v>
      </c>
      <c r="C370" s="396" t="s">
        <v>368</v>
      </c>
      <c r="D370" s="389">
        <f t="shared" si="18"/>
        <v>2017</v>
      </c>
      <c r="E370" s="390">
        <f>'שכר ומשרות'!D18</f>
        <v>5</v>
      </c>
      <c r="F370" s="392" t="s">
        <v>13</v>
      </c>
      <c r="G370" s="392" t="s">
        <v>369</v>
      </c>
      <c r="H370" s="454">
        <f t="shared" si="19"/>
        <v>2017</v>
      </c>
      <c r="I370" s="390">
        <f>'שכר ומשרות'!F18</f>
        <v>681.87400000000002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>
      <c r="A371" s="395">
        <v>319</v>
      </c>
      <c r="B371" s="396" t="s">
        <v>13</v>
      </c>
      <c r="C371" s="396" t="s">
        <v>370</v>
      </c>
      <c r="D371" s="389">
        <f t="shared" si="18"/>
        <v>2017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2017</v>
      </c>
      <c r="I371" s="390">
        <f>'שכר ומשרות'!F20</f>
        <v>994.77099999999996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>
      <c r="A372" s="395">
        <v>320</v>
      </c>
      <c r="B372" s="396" t="s">
        <v>13</v>
      </c>
      <c r="C372" s="396" t="s">
        <v>372</v>
      </c>
      <c r="D372" s="389">
        <f t="shared" si="18"/>
        <v>2017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2017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>
      <c r="A373" s="395">
        <v>321</v>
      </c>
      <c r="B373" s="396" t="s">
        <v>13</v>
      </c>
      <c r="C373" s="396" t="s">
        <v>374</v>
      </c>
      <c r="D373" s="389">
        <f t="shared" si="18"/>
        <v>2017</v>
      </c>
      <c r="E373" s="390">
        <f>'שכר ומשרות'!D24</f>
        <v>357.74</v>
      </c>
      <c r="F373" s="392" t="s">
        <v>13</v>
      </c>
      <c r="G373" s="392" t="s">
        <v>375</v>
      </c>
      <c r="H373" s="454">
        <f t="shared" si="19"/>
        <v>2017</v>
      </c>
      <c r="I373" s="390">
        <f>'שכר ומשרות'!F24</f>
        <v>47004.201999999997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>
      <c r="A374" s="395">
        <v>322</v>
      </c>
      <c r="B374" s="396" t="s">
        <v>13</v>
      </c>
      <c r="C374" s="396" t="s">
        <v>376</v>
      </c>
      <c r="D374" s="389">
        <f t="shared" si="18"/>
        <v>2017</v>
      </c>
      <c r="E374" s="390">
        <f>'שכר ומשרות'!D25</f>
        <v>18.559999999999999</v>
      </c>
      <c r="F374" s="392" t="s">
        <v>13</v>
      </c>
      <c r="G374" s="392" t="s">
        <v>377</v>
      </c>
      <c r="H374" s="454">
        <f t="shared" si="19"/>
        <v>2017</v>
      </c>
      <c r="I374" s="390">
        <f>'שכר ומשרות'!F25</f>
        <v>2357.8519999999999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>
      <c r="A375" s="395">
        <v>323</v>
      </c>
      <c r="B375" s="396" t="s">
        <v>13</v>
      </c>
      <c r="C375" s="396" t="s">
        <v>378</v>
      </c>
      <c r="D375" s="389">
        <f t="shared" si="18"/>
        <v>2017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2017</v>
      </c>
      <c r="I375" s="390">
        <f>'שכר ומשרות'!F26</f>
        <v>516.10400000000004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>
      <c r="A376" s="395">
        <v>324</v>
      </c>
      <c r="B376" s="396" t="s">
        <v>13</v>
      </c>
      <c r="C376" s="396" t="s">
        <v>380</v>
      </c>
      <c r="D376" s="389">
        <f t="shared" si="18"/>
        <v>2017</v>
      </c>
      <c r="E376" s="390">
        <f>'שכר ומשרות'!D27</f>
        <v>50.14</v>
      </c>
      <c r="F376" s="392" t="s">
        <v>13</v>
      </c>
      <c r="G376" s="392" t="s">
        <v>381</v>
      </c>
      <c r="H376" s="454">
        <f t="shared" si="19"/>
        <v>2017</v>
      </c>
      <c r="I376" s="390">
        <f>'שכר ומשרות'!F27</f>
        <v>6379.3440000000001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>
      <c r="A377" s="395">
        <v>325</v>
      </c>
      <c r="B377" s="396" t="s">
        <v>13</v>
      </c>
      <c r="C377" s="396" t="s">
        <v>382</v>
      </c>
      <c r="D377" s="389">
        <f t="shared" si="18"/>
        <v>2017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2017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>
      <c r="A378" s="395">
        <v>326</v>
      </c>
      <c r="B378" s="396" t="s">
        <v>13</v>
      </c>
      <c r="C378" s="396" t="s">
        <v>384</v>
      </c>
      <c r="D378" s="389">
        <f t="shared" si="18"/>
        <v>2017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2017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>
      <c r="A379" s="395">
        <v>327</v>
      </c>
      <c r="B379" s="396" t="s">
        <v>13</v>
      </c>
      <c r="C379" s="396" t="s">
        <v>386</v>
      </c>
      <c r="D379" s="389">
        <f t="shared" si="18"/>
        <v>2017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2017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>
      <c r="A380" s="395">
        <v>328</v>
      </c>
      <c r="B380" s="396" t="s">
        <v>13</v>
      </c>
      <c r="C380" s="396" t="s">
        <v>388</v>
      </c>
      <c r="D380" s="389">
        <f t="shared" si="18"/>
        <v>2017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2017</v>
      </c>
      <c r="I380" s="390">
        <f>'שכר ומשרות'!F33</f>
        <v>0</v>
      </c>
      <c r="J380" s="337" t="str">
        <f t="shared" si="20"/>
        <v/>
      </c>
      <c r="K380" s="545"/>
      <c r="L380" s="339" t="str">
        <f t="shared" si="21"/>
        <v>חסרים נתוני מספר משרות או עלות שכר (תקציב) בסעיף הנוכחי</v>
      </c>
      <c r="M380" s="557" t="s">
        <v>994</v>
      </c>
      <c r="N380" s="281"/>
      <c r="P380" s="42" t="s">
        <v>357</v>
      </c>
    </row>
    <row r="381" spans="1:16" ht="23.25" customHeight="1">
      <c r="A381" s="395">
        <v>329</v>
      </c>
      <c r="B381" s="396" t="s">
        <v>13</v>
      </c>
      <c r="C381" s="396" t="s">
        <v>390</v>
      </c>
      <c r="D381" s="389">
        <f t="shared" si="18"/>
        <v>2017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2017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>
      <c r="A382" s="395">
        <v>330</v>
      </c>
      <c r="B382" s="396" t="s">
        <v>13</v>
      </c>
      <c r="C382" s="396" t="s">
        <v>392</v>
      </c>
      <c r="D382" s="389">
        <f t="shared" si="18"/>
        <v>2017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2017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>
      <c r="A383" s="395">
        <v>331</v>
      </c>
      <c r="B383" s="396" t="s">
        <v>13</v>
      </c>
      <c r="C383" s="396" t="s">
        <v>394</v>
      </c>
      <c r="D383" s="389">
        <f t="shared" si="18"/>
        <v>2017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2017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>
      <c r="A384" s="395">
        <v>332</v>
      </c>
      <c r="B384" s="396" t="s">
        <v>13</v>
      </c>
      <c r="C384" s="396" t="s">
        <v>399</v>
      </c>
      <c r="D384" s="389">
        <f t="shared" si="18"/>
        <v>2017</v>
      </c>
      <c r="E384" s="390">
        <f>'שכר ומשרות'!D41</f>
        <v>22.7</v>
      </c>
      <c r="F384" s="392" t="s">
        <v>13</v>
      </c>
      <c r="G384" s="392" t="s">
        <v>400</v>
      </c>
      <c r="H384" s="454">
        <f t="shared" si="19"/>
        <v>2017</v>
      </c>
      <c r="I384" s="390">
        <f>'שכר ומשרות'!F41</f>
        <v>3517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>
      <c r="A385" s="395">
        <v>339</v>
      </c>
      <c r="B385" s="396" t="s">
        <v>13</v>
      </c>
      <c r="C385" s="396" t="s">
        <v>401</v>
      </c>
      <c r="D385" s="389">
        <f t="shared" si="18"/>
        <v>2017</v>
      </c>
      <c r="E385" s="390">
        <f>'שכר ומשרות'!J10</f>
        <v>2.5099999999999998</v>
      </c>
      <c r="F385" s="392" t="s">
        <v>13</v>
      </c>
      <c r="G385" s="392" t="s">
        <v>405</v>
      </c>
      <c r="H385" s="454">
        <f t="shared" si="19"/>
        <v>2017</v>
      </c>
      <c r="I385" s="390">
        <f>'שכר ומשרות'!L10</f>
        <v>1906.213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ht="13">
      <c r="A386" s="395">
        <v>340</v>
      </c>
      <c r="B386" s="396" t="s">
        <v>13</v>
      </c>
      <c r="C386" s="396" t="s">
        <v>406</v>
      </c>
      <c r="D386" s="389">
        <f t="shared" si="18"/>
        <v>2017</v>
      </c>
      <c r="E386" s="390">
        <f>'שכר ומשרות'!J11</f>
        <v>14.2</v>
      </c>
      <c r="F386" s="392" t="s">
        <v>13</v>
      </c>
      <c r="G386" s="392" t="s">
        <v>407</v>
      </c>
      <c r="H386" s="454">
        <f t="shared" si="19"/>
        <v>2017</v>
      </c>
      <c r="I386" s="390">
        <f>'שכר ומשרות'!L11</f>
        <v>3929.241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ht="13">
      <c r="A387" s="395">
        <v>341</v>
      </c>
      <c r="B387" s="396" t="s">
        <v>13</v>
      </c>
      <c r="C387" s="396" t="s">
        <v>408</v>
      </c>
      <c r="D387" s="389">
        <f t="shared" si="18"/>
        <v>2017</v>
      </c>
      <c r="E387" s="390">
        <f>'שכר ומשרות'!J12</f>
        <v>11.08</v>
      </c>
      <c r="F387" s="392" t="s">
        <v>13</v>
      </c>
      <c r="G387" s="392" t="s">
        <v>409</v>
      </c>
      <c r="H387" s="454">
        <f t="shared" si="19"/>
        <v>2017</v>
      </c>
      <c r="I387" s="390">
        <f>'שכר ומשרות'!L12</f>
        <v>2706.567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ht="13">
      <c r="A388" s="395">
        <v>342</v>
      </c>
      <c r="B388" s="396" t="s">
        <v>13</v>
      </c>
      <c r="C388" s="396" t="s">
        <v>410</v>
      </c>
      <c r="D388" s="389">
        <f t="shared" si="18"/>
        <v>2017</v>
      </c>
      <c r="E388" s="390">
        <f>'שכר ומשרות'!J15</f>
        <v>7.53</v>
      </c>
      <c r="F388" s="392" t="s">
        <v>13</v>
      </c>
      <c r="G388" s="392" t="s">
        <v>411</v>
      </c>
      <c r="H388" s="454">
        <f t="shared" si="19"/>
        <v>2017</v>
      </c>
      <c r="I388" s="390">
        <f>'שכר ומשרות'!L15</f>
        <v>1131.8030000000001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>
      <c r="A389" s="395">
        <v>343</v>
      </c>
      <c r="B389" s="396" t="s">
        <v>13</v>
      </c>
      <c r="C389" s="396" t="s">
        <v>412</v>
      </c>
      <c r="D389" s="389">
        <f t="shared" si="18"/>
        <v>2017</v>
      </c>
      <c r="E389" s="390">
        <f>'שכר ומשרות'!J16</f>
        <v>8.3800000000000008</v>
      </c>
      <c r="F389" s="392" t="s">
        <v>13</v>
      </c>
      <c r="G389" s="392" t="s">
        <v>413</v>
      </c>
      <c r="H389" s="454">
        <f t="shared" si="19"/>
        <v>2017</v>
      </c>
      <c r="I389" s="390">
        <f>'שכר ומשרות'!L16</f>
        <v>1122.7760000000001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>
      <c r="A390" s="395">
        <v>344</v>
      </c>
      <c r="B390" s="396" t="s">
        <v>13</v>
      </c>
      <c r="C390" s="396" t="s">
        <v>414</v>
      </c>
      <c r="D390" s="389">
        <f t="shared" si="18"/>
        <v>2017</v>
      </c>
      <c r="E390" s="390">
        <f>'שכר ומשרות'!J17</f>
        <v>4.99</v>
      </c>
      <c r="F390" s="392" t="s">
        <v>13</v>
      </c>
      <c r="G390" s="392" t="s">
        <v>415</v>
      </c>
      <c r="H390" s="454">
        <f t="shared" si="19"/>
        <v>2017</v>
      </c>
      <c r="I390" s="390">
        <f>'שכר ומשרות'!L17</f>
        <v>1183.952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>
      <c r="A391" s="395">
        <v>345</v>
      </c>
      <c r="B391" s="396" t="s">
        <v>13</v>
      </c>
      <c r="C391" s="396" t="s">
        <v>416</v>
      </c>
      <c r="D391" s="389">
        <f t="shared" si="18"/>
        <v>2017</v>
      </c>
      <c r="E391" s="390">
        <f>'שכר ומשרות'!J18</f>
        <v>0.5</v>
      </c>
      <c r="F391" s="392" t="s">
        <v>13</v>
      </c>
      <c r="G391" s="392" t="s">
        <v>417</v>
      </c>
      <c r="H391" s="454">
        <f t="shared" si="19"/>
        <v>2017</v>
      </c>
      <c r="I391" s="390">
        <f>'שכר ומשרות'!L18</f>
        <v>123.28100000000001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>
      <c r="A392" s="395">
        <v>346</v>
      </c>
      <c r="B392" s="396" t="s">
        <v>13</v>
      </c>
      <c r="C392" s="396" t="s">
        <v>418</v>
      </c>
      <c r="D392" s="389">
        <f t="shared" si="18"/>
        <v>2017</v>
      </c>
      <c r="E392" s="390">
        <f>'שכר ומשרות'!J20</f>
        <v>6.21</v>
      </c>
      <c r="F392" s="392" t="s">
        <v>13</v>
      </c>
      <c r="G392" s="392" t="s">
        <v>419</v>
      </c>
      <c r="H392" s="454">
        <f t="shared" si="19"/>
        <v>2017</v>
      </c>
      <c r="I392" s="390">
        <f>'שכר ומשרות'!L20</f>
        <v>890.39599999999996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>
      <c r="A393" s="395">
        <v>347</v>
      </c>
      <c r="B393" s="396" t="s">
        <v>13</v>
      </c>
      <c r="C393" s="396" t="s">
        <v>420</v>
      </c>
      <c r="D393" s="389">
        <f t="shared" si="18"/>
        <v>2017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2017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>
      <c r="A394" s="395">
        <v>348</v>
      </c>
      <c r="B394" s="396" t="s">
        <v>13</v>
      </c>
      <c r="C394" s="396" t="s">
        <v>422</v>
      </c>
      <c r="D394" s="389">
        <f t="shared" si="18"/>
        <v>2017</v>
      </c>
      <c r="E394" s="390">
        <f>'שכר ומשרות'!J24</f>
        <v>350.05</v>
      </c>
      <c r="F394" s="392" t="s">
        <v>13</v>
      </c>
      <c r="G394" s="392" t="s">
        <v>423</v>
      </c>
      <c r="H394" s="454">
        <f t="shared" si="19"/>
        <v>2017</v>
      </c>
      <c r="I394" s="390">
        <f>'שכר ומשרות'!L24</f>
        <v>50058.673000000003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>
      <c r="A395" s="395">
        <v>349</v>
      </c>
      <c r="B395" s="396" t="s">
        <v>13</v>
      </c>
      <c r="C395" s="396" t="s">
        <v>424</v>
      </c>
      <c r="D395" s="389">
        <f t="shared" si="18"/>
        <v>2017</v>
      </c>
      <c r="E395" s="390">
        <f>'שכר ומשרות'!J25</f>
        <v>14.52</v>
      </c>
      <c r="F395" s="392" t="s">
        <v>13</v>
      </c>
      <c r="G395" s="392" t="s">
        <v>425</v>
      </c>
      <c r="H395" s="454">
        <f t="shared" si="19"/>
        <v>2017</v>
      </c>
      <c r="I395" s="390">
        <f>'שכר ומשרות'!L25</f>
        <v>2134.3809999999999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>
      <c r="A396" s="395">
        <v>350</v>
      </c>
      <c r="B396" s="396" t="s">
        <v>13</v>
      </c>
      <c r="C396" s="396" t="s">
        <v>426</v>
      </c>
      <c r="D396" s="389">
        <f t="shared" si="18"/>
        <v>2017</v>
      </c>
      <c r="E396" s="390">
        <f>'שכר ומשרות'!J26</f>
        <v>2.74</v>
      </c>
      <c r="F396" s="392" t="s">
        <v>13</v>
      </c>
      <c r="G396" s="392" t="s">
        <v>427</v>
      </c>
      <c r="H396" s="454">
        <f t="shared" si="19"/>
        <v>2017</v>
      </c>
      <c r="I396" s="390">
        <f>'שכר ומשרות'!L26</f>
        <v>549.16399999999999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>
      <c r="A397" s="395">
        <v>351</v>
      </c>
      <c r="B397" s="396" t="s">
        <v>13</v>
      </c>
      <c r="C397" s="396" t="s">
        <v>428</v>
      </c>
      <c r="D397" s="389">
        <f t="shared" si="18"/>
        <v>2017</v>
      </c>
      <c r="E397" s="390">
        <f>'שכר ומשרות'!J27</f>
        <v>39.76</v>
      </c>
      <c r="F397" s="392" t="s">
        <v>13</v>
      </c>
      <c r="G397" s="392" t="s">
        <v>429</v>
      </c>
      <c r="H397" s="454">
        <f t="shared" si="19"/>
        <v>2017</v>
      </c>
      <c r="I397" s="390">
        <f>'שכר ומשרות'!L27</f>
        <v>5850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>
      <c r="A398" s="395">
        <v>352</v>
      </c>
      <c r="B398" s="396" t="s">
        <v>13</v>
      </c>
      <c r="C398" s="396" t="s">
        <v>430</v>
      </c>
      <c r="D398" s="389">
        <f t="shared" si="18"/>
        <v>2017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2017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>
      <c r="A399" s="395">
        <v>353</v>
      </c>
      <c r="B399" s="396" t="s">
        <v>13</v>
      </c>
      <c r="C399" s="396" t="s">
        <v>432</v>
      </c>
      <c r="D399" s="389">
        <f t="shared" si="18"/>
        <v>2017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2017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>
      <c r="A400" s="395">
        <v>354</v>
      </c>
      <c r="B400" s="396" t="s">
        <v>13</v>
      </c>
      <c r="C400" s="396" t="s">
        <v>434</v>
      </c>
      <c r="D400" s="389">
        <f t="shared" si="18"/>
        <v>2017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2017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>
      <c r="A401" s="395">
        <v>355</v>
      </c>
      <c r="B401" s="396" t="s">
        <v>13</v>
      </c>
      <c r="C401" s="396" t="s">
        <v>436</v>
      </c>
      <c r="D401" s="389">
        <f t="shared" si="18"/>
        <v>2017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2017</v>
      </c>
      <c r="I401" s="390">
        <f>'שכר ומשרות'!L33</f>
        <v>207.71199999999999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>
      <c r="A402" s="395">
        <v>356</v>
      </c>
      <c r="B402" s="396" t="s">
        <v>13</v>
      </c>
      <c r="C402" s="396" t="s">
        <v>438</v>
      </c>
      <c r="D402" s="389">
        <f t="shared" si="18"/>
        <v>2017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2017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>
      <c r="A403" s="395">
        <v>357</v>
      </c>
      <c r="B403" s="396" t="s">
        <v>13</v>
      </c>
      <c r="C403" s="396" t="s">
        <v>440</v>
      </c>
      <c r="D403" s="389">
        <f t="shared" si="18"/>
        <v>2017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2017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>
      <c r="A404" s="395">
        <v>358</v>
      </c>
      <c r="B404" s="396" t="s">
        <v>13</v>
      </c>
      <c r="C404" s="396" t="s">
        <v>442</v>
      </c>
      <c r="D404" s="389">
        <f t="shared" si="18"/>
        <v>2017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2017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>
      <c r="A405" s="395">
        <v>359</v>
      </c>
      <c r="B405" s="396" t="s">
        <v>13</v>
      </c>
      <c r="C405" s="396" t="s">
        <v>444</v>
      </c>
      <c r="D405" s="389">
        <f t="shared" si="18"/>
        <v>2017</v>
      </c>
      <c r="E405" s="390">
        <f>'שכר ומשרות'!J41</f>
        <v>22.46</v>
      </c>
      <c r="F405" s="392" t="s">
        <v>13</v>
      </c>
      <c r="G405" s="392" t="s">
        <v>445</v>
      </c>
      <c r="H405" s="454">
        <f t="shared" si="19"/>
        <v>2017</v>
      </c>
      <c r="I405" s="390">
        <f>'שכר ומשרות'!L41</f>
        <v>3537.0439999999999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>
      <c r="A406" s="395">
        <v>360</v>
      </c>
      <c r="B406" s="396" t="s">
        <v>13</v>
      </c>
      <c r="C406" s="396" t="s">
        <v>446</v>
      </c>
      <c r="D406" s="389">
        <f t="shared" si="18"/>
        <v>2017</v>
      </c>
      <c r="E406" s="390">
        <f>'שכר ומשרות'!$D$43</f>
        <v>526.80000000000007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>
      <c r="A407" s="395">
        <v>361</v>
      </c>
      <c r="B407" s="396" t="s">
        <v>13</v>
      </c>
      <c r="C407" s="396" t="s">
        <v>188</v>
      </c>
      <c r="D407" s="389">
        <f t="shared" si="18"/>
        <v>2017</v>
      </c>
      <c r="E407" s="390">
        <f>'שכר ומשרות'!$F$43</f>
        <v>73886.801999999981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>
      <c r="A408" s="395">
        <v>362</v>
      </c>
      <c r="B408" s="396" t="s">
        <v>13</v>
      </c>
      <c r="C408" s="396" t="s">
        <v>488</v>
      </c>
      <c r="D408" s="389">
        <f t="shared" si="18"/>
        <v>2017</v>
      </c>
      <c r="E408" s="390">
        <f>'שכר ומשרות'!$J$43</f>
        <v>488.92999999999995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>
      <c r="A409" s="395">
        <v>363</v>
      </c>
      <c r="B409" s="396" t="s">
        <v>13</v>
      </c>
      <c r="C409" s="396" t="s">
        <v>189</v>
      </c>
      <c r="D409" s="389">
        <f t="shared" si="18"/>
        <v>2017</v>
      </c>
      <c r="E409" s="390">
        <f>'שכר ומשרות'!$L$43</f>
        <v>75731.404999999999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>
      <c r="A410" s="395">
        <v>364</v>
      </c>
      <c r="B410" s="396" t="s">
        <v>13</v>
      </c>
      <c r="C410" s="396" t="s">
        <v>491</v>
      </c>
      <c r="D410" s="389">
        <f t="shared" si="18"/>
        <v>2017</v>
      </c>
      <c r="E410" s="390">
        <f>'שכר ומשרות'!L27</f>
        <v>5850</v>
      </c>
      <c r="F410" s="397" t="s">
        <v>933</v>
      </c>
      <c r="G410" s="392" t="s">
        <v>492</v>
      </c>
      <c r="H410" s="454">
        <f>$F$3</f>
        <v>2017</v>
      </c>
      <c r="I410" s="390">
        <f>'תקציב רגיל'!G40</f>
        <v>5850</v>
      </c>
      <c r="J410" s="337" t="str">
        <f>IF(E410=I410,$B$3,"")</f>
        <v>תקין</v>
      </c>
      <c r="K410" s="545" t="str">
        <f>IF(E410=I410,"",E410-I410)</f>
        <v/>
      </c>
      <c r="L410" s="339" t="str">
        <f>IF(E410=I410,"",P410)</f>
        <v/>
      </c>
      <c r="M410" s="558"/>
      <c r="N410" s="281"/>
      <c r="P410" s="58" t="s">
        <v>493</v>
      </c>
    </row>
    <row r="411" spans="1:16" ht="23.25" customHeight="1">
      <c r="A411" s="395">
        <v>365</v>
      </c>
      <c r="B411" s="396" t="s">
        <v>13</v>
      </c>
      <c r="C411" s="396" t="s">
        <v>494</v>
      </c>
      <c r="D411" s="389">
        <f t="shared" si="18"/>
        <v>2017</v>
      </c>
      <c r="E411" s="390">
        <f>'שכר ומשרות'!L24</f>
        <v>50058.673000000003</v>
      </c>
      <c r="F411" s="397" t="s">
        <v>933</v>
      </c>
      <c r="G411" s="392" t="s">
        <v>495</v>
      </c>
      <c r="H411" s="454">
        <f>$F$3</f>
        <v>2017</v>
      </c>
      <c r="I411" s="390">
        <f>'תקציב רגיל'!G37</f>
        <v>49779</v>
      </c>
      <c r="J411" s="337" t="str">
        <f>IF(E411=I411,$B$3,"")</f>
        <v/>
      </c>
      <c r="K411" s="545">
        <f>IF(E411=I411,"",E411-I411)</f>
        <v>279.6730000000025</v>
      </c>
      <c r="L411" s="339" t="str">
        <f>IF(E411=I411,"",P411)</f>
        <v>קיים שוני בשכר עובדי חינוך בין נתוני השכר לנתוני התקציב.</v>
      </c>
      <c r="M411" s="558" t="s">
        <v>995</v>
      </c>
      <c r="N411" s="281"/>
      <c r="P411" s="58" t="s">
        <v>496</v>
      </c>
    </row>
    <row r="412" spans="1:16" ht="23.25" customHeight="1">
      <c r="A412" s="395">
        <v>366</v>
      </c>
      <c r="B412" s="396" t="s">
        <v>13</v>
      </c>
      <c r="C412" s="396" t="s">
        <v>497</v>
      </c>
      <c r="D412" s="389">
        <f t="shared" si="18"/>
        <v>2017</v>
      </c>
      <c r="E412" s="390">
        <f>'שכר ומשרות'!L13</f>
        <v>8542.0210000000006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>
      <c r="A413" s="395"/>
      <c r="B413" s="396" t="s">
        <v>13</v>
      </c>
      <c r="C413" s="396" t="s">
        <v>498</v>
      </c>
      <c r="D413" s="389">
        <f t="shared" si="18"/>
        <v>2017</v>
      </c>
      <c r="E413" s="390">
        <f>'שכר ומשרות'!L22</f>
        <v>4452.2079999999996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>
      <c r="A414" s="395"/>
      <c r="B414" s="396" t="s">
        <v>13</v>
      </c>
      <c r="C414" s="396" t="s">
        <v>499</v>
      </c>
      <c r="D414" s="389">
        <f t="shared" si="18"/>
        <v>2017</v>
      </c>
      <c r="E414" s="390">
        <f>'שכר ומשרות'!L31</f>
        <v>58592.218000000001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>
      <c r="A415" s="395"/>
      <c r="B415" s="396" t="s">
        <v>13</v>
      </c>
      <c r="C415" s="396" t="s">
        <v>500</v>
      </c>
      <c r="D415" s="389">
        <f t="shared" si="18"/>
        <v>2017</v>
      </c>
      <c r="E415" s="390">
        <f>'שכר ומשרות'!L39</f>
        <v>607.91399999999999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>
      <c r="A416" s="395"/>
      <c r="B416" s="396" t="s">
        <v>13</v>
      </c>
      <c r="C416" s="396" t="s">
        <v>491</v>
      </c>
      <c r="D416" s="389">
        <f>$F$3</f>
        <v>2017</v>
      </c>
      <c r="E416" s="390">
        <f>'שכר ומשרות'!L27</f>
        <v>5850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>
      <c r="A417" s="395"/>
      <c r="B417" s="396" t="s">
        <v>13</v>
      </c>
      <c r="C417" s="396" t="s">
        <v>494</v>
      </c>
      <c r="D417" s="389">
        <f>$F$3</f>
        <v>2017</v>
      </c>
      <c r="E417" s="390">
        <f>'שכר ומשרות'!L24</f>
        <v>50058.673000000003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>
      <c r="A418" s="395"/>
      <c r="B418" s="396" t="s">
        <v>13</v>
      </c>
      <c r="C418" s="396" t="s">
        <v>71</v>
      </c>
      <c r="D418" s="389">
        <f>$F$3</f>
        <v>2017</v>
      </c>
      <c r="E418" s="390">
        <f>'שכר ומשרות'!L41</f>
        <v>3537.0439999999999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>
      <c r="A419" s="395"/>
      <c r="B419" s="396"/>
      <c r="C419" s="396" t="s">
        <v>767</v>
      </c>
      <c r="D419" s="389"/>
      <c r="E419" s="398">
        <f>E412+E413+E414+E415-E416-E417+E418</f>
        <v>19822.732000000004</v>
      </c>
      <c r="F419" s="397" t="s">
        <v>933</v>
      </c>
      <c r="G419" s="392" t="s">
        <v>501</v>
      </c>
      <c r="H419" s="454">
        <f>$F$3</f>
        <v>2017</v>
      </c>
      <c r="I419" s="390">
        <f>'תקציב רגיל'!G32</f>
        <v>19621</v>
      </c>
      <c r="J419" s="337" t="str">
        <f>IF(E419=I419,$B$3,"")</f>
        <v/>
      </c>
      <c r="K419" s="545">
        <f>IF(E419=I419,"",E419-I419)</f>
        <v>201.73200000000361</v>
      </c>
      <c r="L419" s="339" t="str">
        <f>IF(E419=I419,"",P419)</f>
        <v>קיים שוני בשכר הכללי בין נתוני השכר לנתוני התקציב.</v>
      </c>
      <c r="M419" s="558" t="s">
        <v>995</v>
      </c>
      <c r="N419" s="281"/>
      <c r="P419" s="58" t="s">
        <v>502</v>
      </c>
    </row>
    <row r="420" spans="1:16" ht="23.25" customHeight="1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5">
      <c r="A421" s="358"/>
      <c r="B421" s="621" t="s">
        <v>503</v>
      </c>
      <c r="C421" s="621"/>
      <c r="D421" s="621"/>
      <c r="E421" s="621"/>
      <c r="F421" s="621"/>
      <c r="G421" s="621"/>
      <c r="H421" s="621"/>
      <c r="I421" s="621"/>
      <c r="J421" s="359"/>
      <c r="K421" s="549"/>
      <c r="L421" s="360"/>
      <c r="M421" s="371"/>
      <c r="N421" s="281"/>
    </row>
    <row r="422" spans="1:16" ht="37.5" customHeight="1">
      <c r="A422" s="394">
        <v>367</v>
      </c>
      <c r="B422" s="392" t="s">
        <v>504</v>
      </c>
      <c r="C422" s="392" t="s">
        <v>505</v>
      </c>
      <c r="D422" s="389">
        <f>$F$3</f>
        <v>2017</v>
      </c>
      <c r="E422" s="390"/>
      <c r="F422" s="391"/>
      <c r="G422" s="392"/>
      <c r="H422" s="454"/>
      <c r="I422" s="390"/>
      <c r="J422" s="337" t="str">
        <f>IF('בעלי שכר גבוה'!B6&lt;&gt;"","",$B$3)</f>
        <v>תקין</v>
      </c>
      <c r="K422" s="545"/>
      <c r="L422" s="339" t="str">
        <f>IF('בעלי שכר גבוה'!B6&lt;&gt;"",P422,"")</f>
        <v/>
      </c>
      <c r="M422" s="557"/>
      <c r="N422" s="281"/>
      <c r="P422" s="42" t="s">
        <v>511</v>
      </c>
    </row>
    <row r="423" spans="1:16" ht="23.25" customHeight="1">
      <c r="A423" s="394">
        <v>368</v>
      </c>
      <c r="B423" s="392" t="s">
        <v>504</v>
      </c>
      <c r="C423" s="392" t="s">
        <v>512</v>
      </c>
      <c r="D423" s="389">
        <f>$F$3</f>
        <v>2017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ht="13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ht="13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" thickTop="1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ColWidth="9.1796875" defaultRowHeight="12.5"/>
  <cols>
    <col min="1" max="1" width="9.1796875" style="42"/>
    <col min="2" max="2" width="31.81640625" style="42" customWidth="1"/>
    <col min="3" max="3" width="14.1796875" style="42" customWidth="1"/>
    <col min="4" max="4" width="11.453125" style="42" customWidth="1"/>
    <col min="5" max="5" width="1.81640625" style="42" customWidth="1"/>
    <col min="6" max="6" width="11.453125" style="42" customWidth="1"/>
    <col min="7" max="7" width="2.1796875" style="42" customWidth="1"/>
    <col min="8" max="8" width="5" style="42" bestFit="1" customWidth="1"/>
    <col min="9" max="9" width="4.54296875" style="42" customWidth="1"/>
    <col min="10" max="10" width="18.26953125" style="42" customWidth="1"/>
    <col min="11" max="11" width="5.1796875" style="42" customWidth="1"/>
    <col min="12" max="12" width="3.7265625" style="42" hidden="1" customWidth="1"/>
    <col min="13" max="13" width="9.1796875" style="42"/>
    <col min="14" max="14" width="5" style="42" bestFit="1" customWidth="1"/>
    <col min="15" max="15" width="5.1796875" style="42" bestFit="1" customWidth="1"/>
    <col min="16" max="16" width="3.7265625" style="42" bestFit="1" customWidth="1"/>
    <col min="17" max="16384" width="9.1796875" style="42"/>
  </cols>
  <sheetData>
    <row r="1" spans="1:12" ht="16.5" customHeight="1" thickTop="1" thickBot="1">
      <c r="A1" s="41"/>
      <c r="B1" s="41"/>
      <c r="C1" s="627" t="str">
        <f>GufMevukar</f>
        <v>עיריית באקה אלגרבייה</v>
      </c>
      <c r="D1" s="628"/>
      <c r="E1" s="628"/>
      <c r="F1" s="628"/>
      <c r="G1" s="628"/>
      <c r="H1" s="629"/>
      <c r="I1" s="41"/>
    </row>
    <row r="2" spans="1:12" ht="19" thickTop="1" thickBot="1">
      <c r="A2" s="41"/>
      <c r="B2" s="41"/>
      <c r="C2" s="627" t="s">
        <v>587</v>
      </c>
      <c r="D2" s="628"/>
      <c r="E2" s="628"/>
      <c r="F2" s="628"/>
      <c r="G2" s="628"/>
      <c r="H2" s="629"/>
      <c r="I2" s="41"/>
    </row>
    <row r="3" spans="1:12" ht="19" thickTop="1" thickBot="1">
      <c r="A3" s="41"/>
      <c r="B3" s="41"/>
      <c r="C3" s="630" t="str">
        <f>CONCATENATE("ליום ",Date, " ב", MonthTitle, " ", Shana)</f>
        <v>ליום 31 בדצמבר 2017</v>
      </c>
      <c r="D3" s="631"/>
      <c r="E3" s="631"/>
      <c r="F3" s="631"/>
      <c r="G3" s="631"/>
      <c r="H3" s="632"/>
      <c r="I3" s="41"/>
      <c r="L3" s="42" t="str">
        <f>'הגדרות כלליות'!G28</f>
        <v>כן</v>
      </c>
    </row>
    <row r="4" spans="1:12" ht="25.5" customHeight="1" thickTop="1">
      <c r="A4" s="59" t="s">
        <v>584</v>
      </c>
      <c r="B4" s="59"/>
      <c r="C4" s="43"/>
      <c r="D4" s="585">
        <f>Shana</f>
        <v>2017</v>
      </c>
      <c r="E4" s="43"/>
      <c r="F4" s="585">
        <f>ShanaKodemet</f>
        <v>2016</v>
      </c>
      <c r="G4" s="43"/>
      <c r="H4" s="43"/>
      <c r="I4" s="44"/>
    </row>
    <row r="5" spans="1:12" ht="15.75" customHeight="1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>
      <c r="A7" s="43"/>
      <c r="B7" s="578" t="s">
        <v>588</v>
      </c>
      <c r="C7" s="578"/>
      <c r="D7" s="579" t="str">
        <f>CONCATENATE(Date,".",Month,".",RIGHT(Shana,2))</f>
        <v>31.12.17</v>
      </c>
      <c r="E7" s="579"/>
      <c r="F7" s="579" t="str">
        <f>CONCATENATE("31.12.",RIGHT(ShanaKodemet,2))</f>
        <v>31.12.16</v>
      </c>
      <c r="G7" s="578" t="s">
        <v>943</v>
      </c>
      <c r="H7" s="43"/>
      <c r="I7" s="44"/>
    </row>
    <row r="8" spans="1:12" ht="21" customHeight="1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>
      <c r="A9" s="43"/>
      <c r="B9" s="46" t="s">
        <v>592</v>
      </c>
      <c r="C9" s="47"/>
      <c r="D9" s="50">
        <v>12360</v>
      </c>
      <c r="E9" s="47"/>
      <c r="F9" s="118">
        <v>6799</v>
      </c>
      <c r="G9" s="61"/>
      <c r="H9" s="43"/>
      <c r="I9" s="44"/>
    </row>
    <row r="10" spans="1:12">
      <c r="A10" s="43"/>
      <c r="B10" s="46" t="s">
        <v>593</v>
      </c>
      <c r="C10" s="47"/>
      <c r="D10" s="50">
        <v>3316</v>
      </c>
      <c r="E10" s="47"/>
      <c r="F10" s="118">
        <v>5661</v>
      </c>
      <c r="G10" s="61"/>
      <c r="H10" s="43"/>
      <c r="I10" s="44"/>
    </row>
    <row r="11" spans="1:12">
      <c r="A11" s="43"/>
      <c r="B11" s="46" t="s">
        <v>594</v>
      </c>
      <c r="C11" s="47"/>
      <c r="D11" s="50">
        <v>2113</v>
      </c>
      <c r="E11" s="47"/>
      <c r="F11" s="118">
        <v>1877</v>
      </c>
      <c r="G11" s="61"/>
      <c r="H11" s="43"/>
      <c r="I11" s="44"/>
    </row>
    <row r="12" spans="1:12">
      <c r="A12" s="43"/>
      <c r="B12" s="46" t="s">
        <v>595</v>
      </c>
      <c r="C12" s="47"/>
      <c r="D12" s="51">
        <f>SUM(D9:D11)</f>
        <v>17789</v>
      </c>
      <c r="E12" s="47"/>
      <c r="F12" s="51">
        <f>SUM(F9:F11)</f>
        <v>14337</v>
      </c>
      <c r="G12" s="61"/>
      <c r="H12" s="43"/>
      <c r="I12" s="44"/>
    </row>
    <row r="13" spans="1:12">
      <c r="A13" s="43"/>
      <c r="B13" s="46" t="s">
        <v>596</v>
      </c>
      <c r="C13" s="47"/>
      <c r="D13" s="63">
        <f>766+1357</f>
        <v>2123</v>
      </c>
      <c r="E13" s="47"/>
      <c r="F13" s="122">
        <f>846+1356</f>
        <v>2202</v>
      </c>
      <c r="G13" s="61"/>
      <c r="H13" s="43"/>
      <c r="I13" s="44"/>
    </row>
    <row r="14" spans="1:12">
      <c r="A14" s="43"/>
      <c r="B14" s="46" t="s">
        <v>597</v>
      </c>
      <c r="C14" s="47"/>
      <c r="D14" s="50">
        <v>28160</v>
      </c>
      <c r="E14" s="47"/>
      <c r="F14" s="118">
        <f>28153</f>
        <v>28153</v>
      </c>
      <c r="G14" s="61"/>
      <c r="H14" s="43"/>
      <c r="I14" s="44"/>
    </row>
    <row r="15" spans="1:12">
      <c r="A15" s="43"/>
      <c r="B15" s="46" t="s">
        <v>598</v>
      </c>
      <c r="C15" s="47"/>
      <c r="D15" s="51">
        <f>SUM(D13:D14)</f>
        <v>30283</v>
      </c>
      <c r="E15" s="47"/>
      <c r="F15" s="51">
        <f>SUM(F13:F14)</f>
        <v>30355</v>
      </c>
      <c r="G15" s="61"/>
      <c r="H15" s="43"/>
      <c r="I15" s="44"/>
    </row>
    <row r="16" spans="1:12" ht="15" customHeight="1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>
      <c r="A17" s="43"/>
      <c r="B17" s="46" t="s">
        <v>599</v>
      </c>
      <c r="C17" s="47"/>
      <c r="D17" s="50">
        <v>9301</v>
      </c>
      <c r="E17" s="47"/>
      <c r="F17" s="118">
        <v>9771</v>
      </c>
      <c r="G17" s="61"/>
      <c r="H17" s="43"/>
      <c r="I17" s="44"/>
    </row>
    <row r="18" spans="1:10">
      <c r="A18" s="43"/>
      <c r="B18" s="46" t="s">
        <v>600</v>
      </c>
      <c r="C18" s="47"/>
      <c r="D18" s="50">
        <v>-26</v>
      </c>
      <c r="E18" s="47"/>
      <c r="F18" s="118">
        <v>-300</v>
      </c>
      <c r="G18" s="61"/>
      <c r="H18" s="43"/>
      <c r="I18" s="44"/>
    </row>
    <row r="19" spans="1:10">
      <c r="A19" s="43"/>
      <c r="B19" s="46" t="s">
        <v>601</v>
      </c>
      <c r="C19" s="47"/>
      <c r="D19" s="50">
        <v>-289</v>
      </c>
      <c r="E19" s="47"/>
      <c r="F19" s="118">
        <v>-170</v>
      </c>
      <c r="G19" s="61"/>
      <c r="H19" s="43"/>
      <c r="I19" s="44"/>
    </row>
    <row r="20" spans="1:10">
      <c r="A20" s="43"/>
      <c r="B20" s="46" t="s">
        <v>602</v>
      </c>
      <c r="C20" s="47"/>
      <c r="D20" s="51">
        <f>SUM(D17:D19)</f>
        <v>8986</v>
      </c>
      <c r="E20" s="47"/>
      <c r="F20" s="51">
        <f>SUM(F17:F19)</f>
        <v>9301</v>
      </c>
      <c r="G20" s="61"/>
      <c r="H20" s="43"/>
      <c r="I20" s="44"/>
    </row>
    <row r="21" spans="1:10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>
      <c r="A24" s="43"/>
      <c r="B24" s="46"/>
      <c r="C24" s="47"/>
      <c r="D24" s="68"/>
      <c r="E24" s="47"/>
      <c r="F24" s="68"/>
      <c r="G24" s="61"/>
      <c r="H24" s="43"/>
      <c r="I24" s="44"/>
    </row>
    <row r="25" spans="1:10" ht="13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9721</v>
      </c>
      <c r="E26" s="47"/>
      <c r="F26" s="69">
        <f>IF(תברים!F55&lt;0,תברים!F54,"")</f>
        <v>10150</v>
      </c>
      <c r="G26" s="61"/>
      <c r="H26" s="43"/>
      <c r="I26" s="44"/>
    </row>
    <row r="27" spans="1:10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-4033</v>
      </c>
      <c r="E27" s="47"/>
      <c r="F27" s="70">
        <f>IF(תברים!F55&lt;0,-1*(תברים!F53),"")</f>
        <v>-7426</v>
      </c>
      <c r="G27" s="61"/>
      <c r="H27" s="43"/>
      <c r="I27" s="44"/>
    </row>
    <row r="28" spans="1:10">
      <c r="A28" s="43"/>
      <c r="B28" s="65" t="str">
        <f>IF(OR(D28&lt;&gt;0,F28&lt;&gt;0),"גרעון נטו","")</f>
        <v>גרעון נטו</v>
      </c>
      <c r="C28" s="47"/>
      <c r="D28" s="67">
        <f>SUM(D26:D27)</f>
        <v>5688</v>
      </c>
      <c r="E28" s="47"/>
      <c r="F28" s="67">
        <f>SUM(F26:F27)</f>
        <v>2724</v>
      </c>
      <c r="G28" s="61"/>
      <c r="H28" s="43"/>
      <c r="I28" s="44"/>
    </row>
    <row r="29" spans="1:10" ht="6.75" customHeight="1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" thickBot="1">
      <c r="A30" s="43"/>
      <c r="B30" s="46" t="s">
        <v>607</v>
      </c>
      <c r="C30" s="47"/>
      <c r="D30" s="71">
        <f>D12+D15+D20+D23+D28</f>
        <v>64045</v>
      </c>
      <c r="E30" s="47"/>
      <c r="F30" s="72">
        <f>F12+F15+F20+F23+F28</f>
        <v>58016</v>
      </c>
      <c r="G30" s="61"/>
      <c r="H30" s="43"/>
      <c r="I30" s="44"/>
    </row>
    <row r="31" spans="1:10" ht="30" customHeight="1" thickTop="1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t="13" hidden="1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>
      <c r="A33" s="43"/>
      <c r="B33" s="46" t="s">
        <v>610</v>
      </c>
      <c r="C33" s="47"/>
      <c r="D33" s="50">
        <v>8</v>
      </c>
      <c r="E33" s="47"/>
      <c r="F33" s="50"/>
      <c r="G33" s="61"/>
      <c r="H33" s="43"/>
      <c r="I33" s="44"/>
    </row>
    <row r="34" spans="1:9">
      <c r="A34" s="43"/>
      <c r="B34" s="65" t="s">
        <v>611</v>
      </c>
      <c r="C34" s="47"/>
      <c r="D34" s="50"/>
      <c r="E34" s="47"/>
      <c r="F34" s="118"/>
      <c r="G34" s="61"/>
      <c r="H34" s="43"/>
      <c r="I34" s="44"/>
    </row>
    <row r="35" spans="1:9">
      <c r="A35" s="43"/>
      <c r="B35" s="65" t="s">
        <v>2</v>
      </c>
      <c r="C35" s="47"/>
      <c r="D35" s="50">
        <v>6436</v>
      </c>
      <c r="E35" s="47"/>
      <c r="F35" s="118">
        <v>5571</v>
      </c>
      <c r="G35" s="61"/>
      <c r="H35" s="43"/>
      <c r="I35" s="44"/>
    </row>
    <row r="36" spans="1:9">
      <c r="A36" s="43"/>
      <c r="B36" s="65" t="s">
        <v>3</v>
      </c>
      <c r="C36" s="47"/>
      <c r="D36" s="50">
        <v>27305</v>
      </c>
      <c r="E36" s="47"/>
      <c r="F36" s="118">
        <f>27647-5571</f>
        <v>22076</v>
      </c>
      <c r="G36" s="61"/>
      <c r="H36" s="43"/>
      <c r="I36" s="44"/>
    </row>
    <row r="37" spans="1:9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>
      <c r="A38" s="43"/>
      <c r="B38" s="46" t="s">
        <v>613</v>
      </c>
      <c r="C38" s="47"/>
      <c r="D38" s="50"/>
      <c r="E38" s="47"/>
      <c r="F38" s="50"/>
      <c r="G38" s="61"/>
      <c r="H38" s="43"/>
      <c r="I38" s="44"/>
    </row>
    <row r="39" spans="1:9" ht="12.75" customHeight="1">
      <c r="A39" s="43"/>
      <c r="B39" s="46" t="s">
        <v>614</v>
      </c>
      <c r="C39" s="47"/>
      <c r="D39" s="51">
        <f>SUM(D33:D38)</f>
        <v>33749</v>
      </c>
      <c r="E39" s="47"/>
      <c r="F39" s="51">
        <f>SUM(F33:F38)</f>
        <v>27647</v>
      </c>
      <c r="G39" s="61"/>
      <c r="H39" s="43"/>
      <c r="I39" s="44"/>
    </row>
    <row r="40" spans="1:9" ht="12.75" customHeight="1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>
      <c r="A41" s="43"/>
      <c r="B41" s="65" t="s">
        <v>942</v>
      </c>
      <c r="C41" s="47"/>
      <c r="D41" s="50">
        <f>766+1370</f>
        <v>2136</v>
      </c>
      <c r="E41" s="47"/>
      <c r="F41" s="118">
        <f>846+1370</f>
        <v>2216</v>
      </c>
      <c r="G41" s="61"/>
      <c r="H41" s="43"/>
      <c r="I41" s="44"/>
    </row>
    <row r="42" spans="1:9" ht="1.5" customHeight="1">
      <c r="A42" s="43"/>
      <c r="B42" s="46"/>
      <c r="C42" s="47"/>
      <c r="D42" s="246"/>
      <c r="E42" s="47"/>
      <c r="F42" s="246"/>
      <c r="G42" s="61"/>
      <c r="H42" s="43"/>
      <c r="I42" s="44"/>
    </row>
    <row r="43" spans="1:9">
      <c r="A43" s="43"/>
      <c r="B43" s="65" t="s">
        <v>447</v>
      </c>
      <c r="C43" s="47"/>
      <c r="D43" s="63">
        <v>28160</v>
      </c>
      <c r="E43" s="47"/>
      <c r="F43" s="63">
        <v>28153</v>
      </c>
      <c r="G43" s="61"/>
      <c r="H43" s="43"/>
      <c r="I43" s="44"/>
    </row>
    <row r="44" spans="1:9" ht="13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" thickBot="1">
      <c r="A55" s="43"/>
      <c r="B55" s="46" t="s">
        <v>622</v>
      </c>
      <c r="C55" s="47"/>
      <c r="D55" s="72">
        <f>D39+D41+D43+D47+D49+D52+D53</f>
        <v>64045</v>
      </c>
      <c r="E55" s="47"/>
      <c r="F55" s="72">
        <f>F39+F41+F43+F47+F49+F52+F53</f>
        <v>58016</v>
      </c>
      <c r="G55" s="61"/>
      <c r="H55" s="43"/>
      <c r="I55" s="44"/>
    </row>
    <row r="56" spans="1:9" ht="13" thickTop="1">
      <c r="A56" s="43"/>
      <c r="B56" s="525"/>
      <c r="C56" s="47"/>
      <c r="D56" s="47"/>
      <c r="E56" s="47"/>
      <c r="F56" s="47"/>
      <c r="G56" s="61"/>
      <c r="H56" s="43"/>
      <c r="I56" s="44"/>
    </row>
    <row r="57" spans="1:9" ht="13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>
      <c r="A58" s="43"/>
      <c r="B58" s="46" t="s">
        <v>624</v>
      </c>
      <c r="C58" s="47"/>
      <c r="D58" s="50">
        <v>240807</v>
      </c>
      <c r="E58" s="47"/>
      <c r="F58" s="118">
        <v>232605</v>
      </c>
      <c r="G58" s="61"/>
      <c r="H58" s="43"/>
      <c r="I58" s="44"/>
    </row>
    <row r="59" spans="1:9">
      <c r="A59" s="43"/>
      <c r="B59" s="76" t="s">
        <v>625</v>
      </c>
      <c r="C59" s="47"/>
      <c r="D59" s="50">
        <v>8234.9189999999999</v>
      </c>
      <c r="E59" s="47"/>
      <c r="F59" s="118">
        <v>13535</v>
      </c>
      <c r="G59" s="61"/>
      <c r="H59" s="43"/>
      <c r="I59" s="44"/>
    </row>
    <row r="60" spans="1:9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ht="13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>
      <c r="A63" s="43"/>
      <c r="B63" s="46" t="s">
        <v>628</v>
      </c>
      <c r="C63" s="47"/>
      <c r="D63" s="50">
        <v>26</v>
      </c>
      <c r="E63" s="47"/>
      <c r="F63" s="118">
        <v>300</v>
      </c>
      <c r="G63" s="61"/>
      <c r="H63" s="43"/>
      <c r="I63" s="44"/>
    </row>
    <row r="64" spans="1:9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" thickBot="1">
      <c r="A66" s="43"/>
      <c r="B66" s="46" t="s">
        <v>631</v>
      </c>
      <c r="C66" s="47"/>
      <c r="D66" s="72">
        <f>SUM(D62:D65)</f>
        <v>26</v>
      </c>
      <c r="E66" s="47"/>
      <c r="F66" s="72">
        <f>SUM(F62:F65)</f>
        <v>300</v>
      </c>
      <c r="G66" s="61"/>
      <c r="H66" s="43"/>
      <c r="I66" s="44"/>
    </row>
    <row r="67" spans="1:9" ht="13.5" thickTop="1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" thickBot="1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>
      <c r="A75" s="43"/>
      <c r="B75" s="46" t="s">
        <v>634</v>
      </c>
      <c r="C75" s="47"/>
      <c r="D75" s="50">
        <v>212</v>
      </c>
      <c r="E75" s="47"/>
      <c r="F75" s="118">
        <v>319</v>
      </c>
      <c r="G75" s="61"/>
      <c r="H75" s="43"/>
      <c r="I75" s="44"/>
    </row>
    <row r="76" spans="1:9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>
      <c r="A77" s="43"/>
      <c r="B77" s="65" t="s">
        <v>636</v>
      </c>
      <c r="C77" s="47"/>
      <c r="D77" s="50">
        <v>253</v>
      </c>
      <c r="E77" s="47"/>
      <c r="F77" s="118">
        <v>239</v>
      </c>
      <c r="G77" s="61"/>
      <c r="H77" s="43"/>
      <c r="I77" s="44"/>
    </row>
    <row r="78" spans="1:9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>
      <c r="A79" s="43"/>
      <c r="B79" s="46" t="s">
        <v>638</v>
      </c>
      <c r="C79" s="47"/>
      <c r="D79" s="50">
        <f>174+126+1370+1</f>
        <v>1671</v>
      </c>
      <c r="E79" s="47"/>
      <c r="F79" s="118">
        <f>114+174+1370</f>
        <v>1658</v>
      </c>
      <c r="G79" s="61"/>
      <c r="H79" s="43"/>
      <c r="I79" s="44"/>
    </row>
    <row r="80" spans="1:9" ht="13" thickBot="1">
      <c r="A80" s="43"/>
      <c r="B80" s="46" t="s">
        <v>639</v>
      </c>
      <c r="C80" s="47"/>
      <c r="D80" s="72">
        <f>SUM(D74:D79)</f>
        <v>2136</v>
      </c>
      <c r="E80" s="47"/>
      <c r="F80" s="72">
        <f>SUM(F74:F79)</f>
        <v>2216</v>
      </c>
      <c r="G80" s="61"/>
      <c r="H80" s="43"/>
      <c r="I80" s="44"/>
    </row>
    <row r="81" spans="1:9" ht="6" customHeight="1" thickTop="1">
      <c r="A81" s="43"/>
      <c r="B81" s="46"/>
      <c r="C81" s="47"/>
      <c r="D81" s="47"/>
      <c r="E81" s="47"/>
      <c r="F81" s="47"/>
      <c r="G81" s="61"/>
      <c r="H81" s="43"/>
      <c r="I81" s="44"/>
    </row>
    <row r="82" spans="1:9">
      <c r="A82" s="43"/>
      <c r="B82" s="65" t="s">
        <v>6</v>
      </c>
      <c r="C82" s="47"/>
      <c r="D82" s="50">
        <v>5879</v>
      </c>
      <c r="E82" s="47"/>
      <c r="F82" s="118">
        <v>4676</v>
      </c>
      <c r="G82" s="61"/>
      <c r="H82" s="43"/>
      <c r="I82" s="44"/>
    </row>
    <row r="83" spans="1:9">
      <c r="A83" s="43"/>
      <c r="B83" s="46"/>
      <c r="C83" s="47"/>
      <c r="D83" s="47"/>
      <c r="E83" s="47"/>
      <c r="F83" s="47"/>
      <c r="G83" s="61"/>
      <c r="H83" s="43"/>
      <c r="I83" s="44"/>
    </row>
    <row r="84" spans="1:9">
      <c r="A84" s="43"/>
      <c r="B84" s="53"/>
      <c r="C84" s="54"/>
      <c r="D84" s="54"/>
      <c r="E84" s="54"/>
      <c r="F84" s="54"/>
      <c r="G84" s="79"/>
      <c r="H84" s="43"/>
      <c r="I84" s="44"/>
    </row>
    <row r="85" spans="1:9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" thickBot="1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" thickTop="1"/>
    <row r="313" spans="2:7" ht="15" customHeight="1">
      <c r="B313" s="633" t="str">
        <f t="shared" ref="B313:G315" si="0">C1</f>
        <v>עיריית באקה אלגרבייה</v>
      </c>
      <c r="C313" s="633">
        <f t="shared" si="0"/>
        <v>0</v>
      </c>
      <c r="D313" s="633">
        <f t="shared" si="0"/>
        <v>0</v>
      </c>
      <c r="E313" s="633">
        <f t="shared" si="0"/>
        <v>0</v>
      </c>
      <c r="F313" s="633">
        <f t="shared" si="0"/>
        <v>0</v>
      </c>
      <c r="G313" s="633">
        <f t="shared" si="0"/>
        <v>0</v>
      </c>
    </row>
    <row r="314" spans="2:7" ht="14.25" customHeight="1">
      <c r="B314" s="633" t="str">
        <f t="shared" si="0"/>
        <v>תמצית המאזן באלפי ₪</v>
      </c>
      <c r="C314" s="633">
        <f t="shared" si="0"/>
        <v>0</v>
      </c>
      <c r="D314" s="633">
        <f t="shared" si="0"/>
        <v>0</v>
      </c>
      <c r="E314" s="633">
        <f t="shared" si="0"/>
        <v>0</v>
      </c>
      <c r="F314" s="633">
        <f t="shared" si="0"/>
        <v>0</v>
      </c>
      <c r="G314" s="633">
        <f t="shared" si="0"/>
        <v>0</v>
      </c>
    </row>
    <row r="315" spans="2:7" ht="15.75" customHeight="1">
      <c r="B315" s="633" t="str">
        <f t="shared" si="0"/>
        <v>ליום 31 בדצמבר 2017</v>
      </c>
      <c r="C315" s="633">
        <f t="shared" si="0"/>
        <v>0</v>
      </c>
      <c r="D315" s="633">
        <f t="shared" si="0"/>
        <v>0</v>
      </c>
      <c r="E315" s="633">
        <f t="shared" si="0"/>
        <v>0</v>
      </c>
      <c r="F315" s="633">
        <f t="shared" si="0"/>
        <v>0</v>
      </c>
      <c r="G315" s="633">
        <f t="shared" si="0"/>
        <v>0</v>
      </c>
    </row>
    <row r="317" spans="2:7" ht="6.75" customHeight="1"/>
    <row r="318" spans="2:7" ht="7.5" customHeight="1"/>
    <row r="319" spans="2:7" ht="13">
      <c r="B319" s="81"/>
      <c r="C319" s="81">
        <f>C7</f>
        <v>0</v>
      </c>
      <c r="D319" s="535" t="str">
        <f>D7</f>
        <v>31.12.17</v>
      </c>
      <c r="E319" s="81">
        <f>E7</f>
        <v>0</v>
      </c>
      <c r="F319" s="535" t="str">
        <f>F7</f>
        <v>31.12.16</v>
      </c>
      <c r="G319" s="81" t="str">
        <f>G7</f>
        <v>*</v>
      </c>
    </row>
    <row r="320" spans="2:7" ht="15.5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>
      <c r="B321" s="82" t="str">
        <f t="shared" si="1"/>
        <v>נכסים נזילים: קופה ובנקים</v>
      </c>
      <c r="C321" s="83"/>
      <c r="D321" s="86">
        <f t="shared" si="1"/>
        <v>12360</v>
      </c>
      <c r="E321" s="83">
        <f t="shared" si="1"/>
        <v>0</v>
      </c>
      <c r="F321" s="86">
        <f t="shared" si="1"/>
        <v>6799</v>
      </c>
      <c r="G321" s="84">
        <f t="shared" si="1"/>
        <v>0</v>
      </c>
    </row>
    <row r="322" spans="2:7">
      <c r="B322" s="82" t="str">
        <f t="shared" si="1"/>
        <v>הכנסות מתוקצבות שטרם התקבלו</v>
      </c>
      <c r="C322" s="83"/>
      <c r="D322" s="87">
        <f t="shared" si="1"/>
        <v>3316</v>
      </c>
      <c r="E322" s="83">
        <f t="shared" si="1"/>
        <v>0</v>
      </c>
      <c r="F322" s="87">
        <f t="shared" si="1"/>
        <v>5661</v>
      </c>
      <c r="G322" s="84">
        <f t="shared" si="1"/>
        <v>0</v>
      </c>
    </row>
    <row r="323" spans="2:7">
      <c r="B323" s="82" t="str">
        <f t="shared" si="1"/>
        <v>חייבים - תשלומים לא מתוקצבים</v>
      </c>
      <c r="C323" s="83"/>
      <c r="D323" s="87">
        <f t="shared" si="1"/>
        <v>2113</v>
      </c>
      <c r="E323" s="83">
        <f t="shared" si="1"/>
        <v>0</v>
      </c>
      <c r="F323" s="87">
        <f t="shared" si="1"/>
        <v>1877</v>
      </c>
      <c r="G323" s="84">
        <f t="shared" si="1"/>
        <v>0</v>
      </c>
    </row>
    <row r="324" spans="2:7">
      <c r="B324" s="82" t="str">
        <f t="shared" si="1"/>
        <v>סה"כ רכוש שוטף</v>
      </c>
      <c r="C324" s="83"/>
      <c r="D324" s="88">
        <f t="shared" si="1"/>
        <v>17789</v>
      </c>
      <c r="E324" s="83">
        <f t="shared" si="1"/>
        <v>0</v>
      </c>
      <c r="F324" s="88">
        <f t="shared" si="1"/>
        <v>14337</v>
      </c>
      <c r="G324" s="84">
        <f t="shared" si="1"/>
        <v>0</v>
      </c>
    </row>
    <row r="325" spans="2:7">
      <c r="B325" s="82" t="str">
        <f t="shared" si="1"/>
        <v>השקעות מיועדות לכסוי קרן לעבודות פיתוח</v>
      </c>
      <c r="C325" s="83"/>
      <c r="D325" s="86">
        <f t="shared" si="1"/>
        <v>2123</v>
      </c>
      <c r="E325" s="83">
        <f t="shared" si="1"/>
        <v>0</v>
      </c>
      <c r="F325" s="86">
        <f t="shared" si="1"/>
        <v>2202</v>
      </c>
      <c r="G325" s="84">
        <f t="shared" si="1"/>
        <v>0</v>
      </c>
    </row>
    <row r="326" spans="2:7">
      <c r="B326" s="82" t="str">
        <f t="shared" si="1"/>
        <v>השקעות במימון קרנות מתוקצבות</v>
      </c>
      <c r="C326" s="83"/>
      <c r="D326" s="87">
        <f t="shared" si="1"/>
        <v>28160</v>
      </c>
      <c r="E326" s="83">
        <f t="shared" si="1"/>
        <v>0</v>
      </c>
      <c r="F326" s="87">
        <f t="shared" si="1"/>
        <v>28153</v>
      </c>
      <c r="G326" s="84">
        <f t="shared" si="1"/>
        <v>0</v>
      </c>
    </row>
    <row r="327" spans="2:7">
      <c r="B327" s="82" t="str">
        <f t="shared" si="1"/>
        <v>סה"כ השקעות</v>
      </c>
      <c r="C327" s="83"/>
      <c r="D327" s="88">
        <f t="shared" si="1"/>
        <v>30283</v>
      </c>
      <c r="E327" s="83">
        <f t="shared" si="1"/>
        <v>0</v>
      </c>
      <c r="F327" s="88">
        <f t="shared" si="1"/>
        <v>30355</v>
      </c>
      <c r="G327" s="84">
        <f t="shared" si="1"/>
        <v>0</v>
      </c>
    </row>
    <row r="328" spans="2:7" ht="13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>
      <c r="B329" s="82" t="str">
        <f t="shared" si="1"/>
        <v>גרעון לראשית השנה</v>
      </c>
      <c r="C329" s="83"/>
      <c r="D329" s="87">
        <f t="shared" si="1"/>
        <v>9301</v>
      </c>
      <c r="E329" s="83">
        <f t="shared" si="1"/>
        <v>0</v>
      </c>
      <c r="F329" s="87">
        <f t="shared" si="1"/>
        <v>9771</v>
      </c>
      <c r="G329" s="84">
        <f t="shared" si="1"/>
        <v>0</v>
      </c>
    </row>
    <row r="330" spans="2:7">
      <c r="B330" s="82" t="str">
        <f t="shared" si="1"/>
        <v>סכום שהתקבל להקטנת הגרעון (במינוס) (1)</v>
      </c>
      <c r="C330" s="83"/>
      <c r="D330" s="87">
        <f t="shared" si="1"/>
        <v>-26</v>
      </c>
      <c r="E330" s="83">
        <f t="shared" si="1"/>
        <v>0</v>
      </c>
      <c r="F330" s="87">
        <f t="shared" si="1"/>
        <v>-300</v>
      </c>
      <c r="G330" s="84">
        <f t="shared" si="1"/>
        <v>0</v>
      </c>
    </row>
    <row r="331" spans="2:7">
      <c r="B331" s="82" t="str">
        <f t="shared" si="1"/>
        <v>גרעון (עודף) שוטף בתקופת הדוח</v>
      </c>
      <c r="C331" s="83"/>
      <c r="D331" s="87">
        <f t="shared" si="1"/>
        <v>-289</v>
      </c>
      <c r="E331" s="83">
        <f t="shared" si="1"/>
        <v>0</v>
      </c>
      <c r="F331" s="87">
        <f t="shared" si="1"/>
        <v>-170</v>
      </c>
      <c r="G331" s="84">
        <f t="shared" si="1"/>
        <v>0</v>
      </c>
    </row>
    <row r="332" spans="2:7">
      <c r="B332" s="82" t="str">
        <f t="shared" si="1"/>
        <v>סה"כ גרעון מצטבר בתקציב הרגיל</v>
      </c>
      <c r="C332" s="83"/>
      <c r="D332" s="88">
        <f t="shared" si="1"/>
        <v>8986</v>
      </c>
      <c r="E332" s="83">
        <f t="shared" si="1"/>
        <v>0</v>
      </c>
      <c r="F332" s="88">
        <f t="shared" si="1"/>
        <v>9301</v>
      </c>
      <c r="G332" s="84">
        <f t="shared" si="1"/>
        <v>0</v>
      </c>
    </row>
    <row r="333" spans="2:7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ht="13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>
      <c r="B338" s="82" t="str">
        <f t="shared" si="2"/>
        <v>גרעונות מימון זמניים</v>
      </c>
      <c r="C338" s="83"/>
      <c r="D338" s="91">
        <f t="shared" si="3"/>
        <v>9721</v>
      </c>
      <c r="E338" s="83">
        <f t="shared" si="3"/>
        <v>0</v>
      </c>
      <c r="F338" s="91">
        <f t="shared" si="3"/>
        <v>10150</v>
      </c>
      <c r="G338" s="84"/>
    </row>
    <row r="339" spans="2:7">
      <c r="B339" s="82" t="str">
        <f t="shared" si="2"/>
        <v>עודפי מימון זמניים</v>
      </c>
      <c r="C339" s="83"/>
      <c r="D339" s="92">
        <f t="shared" si="3"/>
        <v>-4033</v>
      </c>
      <c r="E339" s="83">
        <f t="shared" si="3"/>
        <v>0</v>
      </c>
      <c r="F339" s="92">
        <f t="shared" si="3"/>
        <v>-7426</v>
      </c>
      <c r="G339" s="84"/>
    </row>
    <row r="340" spans="2:7">
      <c r="B340" s="82" t="str">
        <f t="shared" si="2"/>
        <v>גרעון נטו</v>
      </c>
      <c r="C340" s="83"/>
      <c r="D340" s="93">
        <f t="shared" si="3"/>
        <v>5688</v>
      </c>
      <c r="E340" s="83">
        <f t="shared" si="3"/>
        <v>0</v>
      </c>
      <c r="F340" s="93">
        <f t="shared" si="3"/>
        <v>2724</v>
      </c>
      <c r="G340" s="84"/>
    </row>
    <row r="341" spans="2:7" ht="4.5" customHeight="1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>
      <c r="B342" s="522" t="str">
        <f t="shared" si="2"/>
        <v>סה"כ נכסים</v>
      </c>
      <c r="C342" s="83"/>
      <c r="D342" s="94">
        <f t="shared" si="3"/>
        <v>64045</v>
      </c>
      <c r="E342" s="83">
        <f t="shared" si="3"/>
        <v>0</v>
      </c>
      <c r="F342" s="95">
        <f t="shared" si="3"/>
        <v>58016</v>
      </c>
      <c r="G342" s="84">
        <f>G30</f>
        <v>0</v>
      </c>
    </row>
    <row r="343" spans="2:7" ht="13.5" thickTop="1">
      <c r="B343" s="522"/>
      <c r="C343" s="83"/>
      <c r="D343" s="523"/>
      <c r="E343" s="83"/>
      <c r="F343" s="103"/>
      <c r="G343" s="84"/>
    </row>
    <row r="344" spans="2:7" ht="15.5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t="13" hidden="1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>
      <c r="B346" s="82" t="str">
        <f t="shared" si="4"/>
        <v>בנקים: משיכות יתר והלוואות</v>
      </c>
      <c r="C346" s="83"/>
      <c r="D346" s="100">
        <f t="shared" si="5"/>
        <v>8</v>
      </c>
      <c r="E346" s="83">
        <f t="shared" si="5"/>
        <v>0</v>
      </c>
      <c r="F346" s="100">
        <f t="shared" si="5"/>
        <v>0</v>
      </c>
      <c r="G346" s="84">
        <f t="shared" si="5"/>
        <v>0</v>
      </c>
    </row>
    <row r="347" spans="2:7">
      <c r="B347" s="82" t="str">
        <f t="shared" si="4"/>
        <v>משרדי ממשלה</v>
      </c>
      <c r="C347" s="83"/>
      <c r="D347" s="87">
        <f t="shared" si="5"/>
        <v>0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6436</v>
      </c>
      <c r="E348" s="83">
        <f t="shared" si="6"/>
        <v>0</v>
      </c>
      <c r="F348" s="87">
        <f t="shared" si="6"/>
        <v>5571</v>
      </c>
      <c r="G348" s="84"/>
    </row>
    <row r="349" spans="2:7">
      <c r="B349" s="82" t="str">
        <f t="shared" si="4"/>
        <v>ספקים וזכאים (*) - הוצאות מתוקצבות שטרם שולמו</v>
      </c>
      <c r="C349" s="83"/>
      <c r="D349" s="87">
        <f t="shared" si="6"/>
        <v>27305</v>
      </c>
      <c r="E349" s="83">
        <f t="shared" si="6"/>
        <v>0</v>
      </c>
      <c r="F349" s="87">
        <f t="shared" si="6"/>
        <v>22076</v>
      </c>
      <c r="G349" s="84">
        <f>G36</f>
        <v>0</v>
      </c>
    </row>
    <row r="350" spans="2:7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>
      <c r="B351" s="82" t="str">
        <f t="shared" si="4"/>
        <v>פקדונות, הכנסות מראש ואחרים</v>
      </c>
      <c r="C351" s="83"/>
      <c r="D351" s="87">
        <f t="shared" ref="D351:G354" si="7">D38</f>
        <v>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>
      <c r="B352" s="82" t="str">
        <f t="shared" si="4"/>
        <v>סה"כ התחיבויות שוטפות</v>
      </c>
      <c r="C352" s="83"/>
      <c r="D352" s="88">
        <f t="shared" si="7"/>
        <v>33749</v>
      </c>
      <c r="E352" s="83">
        <f t="shared" si="7"/>
        <v>0</v>
      </c>
      <c r="F352" s="88">
        <f t="shared" si="7"/>
        <v>27647</v>
      </c>
      <c r="G352" s="84">
        <f t="shared" si="7"/>
        <v>0</v>
      </c>
    </row>
    <row r="353" spans="2:7" ht="13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>
      <c r="B354" s="82" t="str">
        <f t="shared" si="4"/>
        <v>קרנות בלתי מתוקצבות (3)</v>
      </c>
      <c r="C354" s="83"/>
      <c r="D354" s="87">
        <f t="shared" si="7"/>
        <v>2136</v>
      </c>
      <c r="E354" s="83">
        <f t="shared" si="7"/>
        <v>0</v>
      </c>
      <c r="F354" s="87">
        <f t="shared" si="7"/>
        <v>2216</v>
      </c>
      <c r="G354" s="84">
        <f t="shared" si="7"/>
        <v>0</v>
      </c>
    </row>
    <row r="355" spans="2:7" hidden="1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28153</v>
      </c>
      <c r="G356" s="84">
        <f t="shared" si="9"/>
        <v>0</v>
      </c>
    </row>
    <row r="357" spans="2:7" ht="13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ht="13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>
      <c r="B368" s="522" t="str">
        <f t="shared" si="8"/>
        <v>סה"כ התחייבויות ועודפים</v>
      </c>
      <c r="C368" s="83"/>
      <c r="D368" s="95">
        <f t="shared" si="10"/>
        <v>64045</v>
      </c>
      <c r="E368" s="83">
        <f t="shared" si="10"/>
        <v>0</v>
      </c>
      <c r="F368" s="95">
        <f t="shared" si="10"/>
        <v>58016</v>
      </c>
      <c r="G368" s="84">
        <f>G55</f>
        <v>0</v>
      </c>
    </row>
    <row r="369" spans="2:7" ht="13" thickTop="1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>
      <c r="B371" s="633" t="str">
        <f>C1</f>
        <v>עיריית באקה אלגרבייה</v>
      </c>
      <c r="C371" s="633">
        <f t="shared" ref="C371:G373" si="11">D59</f>
        <v>8234.9189999999999</v>
      </c>
      <c r="D371" s="633">
        <f t="shared" si="11"/>
        <v>0</v>
      </c>
      <c r="E371" s="633">
        <f t="shared" si="11"/>
        <v>13535</v>
      </c>
      <c r="F371" s="633">
        <f t="shared" si="11"/>
        <v>0</v>
      </c>
      <c r="G371" s="633">
        <f t="shared" si="11"/>
        <v>0</v>
      </c>
    </row>
    <row r="372" spans="2:7" ht="18">
      <c r="B372" s="633" t="str">
        <f>CONCATENATE(C2," - פירוטים למאזן")</f>
        <v>תמצית המאזן באלפי ₪ - פירוטים למאזן</v>
      </c>
      <c r="C372" s="633">
        <f t="shared" si="11"/>
        <v>0</v>
      </c>
      <c r="D372" s="633">
        <f t="shared" si="11"/>
        <v>0</v>
      </c>
      <c r="E372" s="633">
        <f t="shared" si="11"/>
        <v>0</v>
      </c>
      <c r="F372" s="633">
        <f t="shared" si="11"/>
        <v>0</v>
      </c>
      <c r="G372" s="633">
        <f t="shared" si="11"/>
        <v>0</v>
      </c>
    </row>
    <row r="373" spans="2:7" ht="18">
      <c r="B373" s="633" t="str">
        <f>C3</f>
        <v>ליום 31 בדצמבר 2017</v>
      </c>
      <c r="C373" s="633">
        <f t="shared" si="11"/>
        <v>0</v>
      </c>
      <c r="D373" s="633">
        <f t="shared" si="11"/>
        <v>0</v>
      </c>
      <c r="E373" s="633">
        <f t="shared" si="11"/>
        <v>0</v>
      </c>
      <c r="F373" s="633">
        <f t="shared" si="11"/>
        <v>0</v>
      </c>
      <c r="G373" s="633">
        <f t="shared" si="11"/>
        <v>0</v>
      </c>
    </row>
    <row r="374" spans="2:7" ht="8.25" customHeight="1">
      <c r="B374" s="99"/>
      <c r="C374" s="99"/>
      <c r="D374" s="99"/>
      <c r="E374" s="99"/>
      <c r="F374" s="99"/>
      <c r="G374" s="99"/>
    </row>
    <row r="375" spans="2:7" ht="13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>
      <c r="B376" s="82" t="str">
        <f t="shared" si="12"/>
        <v>חייבים בגין אגרות והיטלים</v>
      </c>
      <c r="C376" s="83"/>
      <c r="D376" s="100">
        <f t="shared" si="13"/>
        <v>240807</v>
      </c>
      <c r="E376" s="83">
        <f t="shared" si="13"/>
        <v>0</v>
      </c>
      <c r="F376" s="100">
        <f t="shared" si="13"/>
        <v>232605</v>
      </c>
      <c r="G376" s="84">
        <f t="shared" si="13"/>
        <v>0</v>
      </c>
    </row>
    <row r="377" spans="2:7">
      <c r="B377" s="101" t="str">
        <f t="shared" si="12"/>
        <v>עומס מלוות לפרעון (משוערך) לשנים הבאות</v>
      </c>
      <c r="C377" s="83"/>
      <c r="D377" s="87">
        <f t="shared" si="13"/>
        <v>8234.9189999999999</v>
      </c>
      <c r="E377" s="83">
        <f t="shared" si="13"/>
        <v>0</v>
      </c>
      <c r="F377" s="87">
        <f t="shared" si="13"/>
        <v>13535</v>
      </c>
      <c r="G377" s="84">
        <f t="shared" si="13"/>
        <v>0</v>
      </c>
    </row>
    <row r="378" spans="2:7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ht="13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>
      <c r="B381" s="82" t="str">
        <f t="shared" si="12"/>
        <v>מענקים לכסוי הגרעון</v>
      </c>
      <c r="C381" s="83"/>
      <c r="D381" s="87">
        <f t="shared" si="13"/>
        <v>26</v>
      </c>
      <c r="E381" s="83">
        <f t="shared" si="13"/>
        <v>0</v>
      </c>
      <c r="F381" s="87">
        <f t="shared" si="13"/>
        <v>300</v>
      </c>
      <c r="G381" s="84">
        <f t="shared" si="13"/>
        <v>0</v>
      </c>
    </row>
    <row r="382" spans="2:7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" thickBot="1">
      <c r="B384" s="82" t="str">
        <f t="shared" si="12"/>
        <v>סה"כ מקורות לכסוי הגרעון</v>
      </c>
      <c r="C384" s="83"/>
      <c r="D384" s="95">
        <f t="shared" si="13"/>
        <v>26</v>
      </c>
      <c r="E384" s="83">
        <f t="shared" si="13"/>
        <v>0</v>
      </c>
      <c r="F384" s="95">
        <f t="shared" si="13"/>
        <v>300</v>
      </c>
      <c r="G384" s="84">
        <f t="shared" si="13"/>
        <v>0</v>
      </c>
    </row>
    <row r="385" spans="2:7" ht="27.75" customHeight="1" thickTop="1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" thickBot="1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>
      <c r="B393" s="82" t="str">
        <f t="shared" si="12"/>
        <v>קרן היטל השבחה</v>
      </c>
      <c r="C393" s="83"/>
      <c r="D393" s="87">
        <f t="shared" si="14"/>
        <v>212</v>
      </c>
      <c r="E393" s="83">
        <f t="shared" si="14"/>
        <v>0</v>
      </c>
      <c r="F393" s="87">
        <f t="shared" si="14"/>
        <v>319</v>
      </c>
      <c r="G393" s="84">
        <f t="shared" si="14"/>
        <v>0</v>
      </c>
    </row>
    <row r="394" spans="2:7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>
      <c r="B395" s="82" t="str">
        <f t="shared" si="12"/>
        <v>קרן היטל מים</v>
      </c>
      <c r="C395" s="83"/>
      <c r="D395" s="87">
        <f t="shared" si="14"/>
        <v>253</v>
      </c>
      <c r="E395" s="83">
        <f t="shared" si="14"/>
        <v>0</v>
      </c>
      <c r="F395" s="87">
        <f t="shared" si="14"/>
        <v>239</v>
      </c>
      <c r="G395" s="84"/>
    </row>
    <row r="396" spans="2:7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>
      <c r="B397" s="82" t="str">
        <f t="shared" si="12"/>
        <v>קרנות אחרות</v>
      </c>
      <c r="C397" s="83"/>
      <c r="D397" s="87">
        <f t="shared" si="14"/>
        <v>1671</v>
      </c>
      <c r="E397" s="83">
        <f t="shared" si="14"/>
        <v>0</v>
      </c>
      <c r="F397" s="87">
        <f t="shared" si="14"/>
        <v>1658</v>
      </c>
      <c r="G397" s="84">
        <f>G79</f>
        <v>0</v>
      </c>
    </row>
    <row r="398" spans="2:7" ht="13" thickBot="1">
      <c r="B398" s="82" t="str">
        <f t="shared" si="12"/>
        <v>סה"כ קרנות</v>
      </c>
      <c r="C398" s="83"/>
      <c r="D398" s="95">
        <f t="shared" si="14"/>
        <v>2136</v>
      </c>
      <c r="E398" s="83">
        <f t="shared" si="14"/>
        <v>0</v>
      </c>
      <c r="F398" s="95">
        <f t="shared" si="14"/>
        <v>2216</v>
      </c>
      <c r="G398" s="84">
        <f>G80</f>
        <v>0</v>
      </c>
    </row>
    <row r="399" spans="2:7" ht="10.5" customHeight="1" thickTop="1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>
      <c r="B400" s="82" t="str">
        <f t="shared" si="12"/>
        <v xml:space="preserve">(*) מתוך זה הפרשה בגין תביעות תלויות  </v>
      </c>
      <c r="C400" s="83"/>
      <c r="D400" s="83">
        <f t="shared" si="14"/>
        <v>5879</v>
      </c>
      <c r="E400" s="83">
        <f t="shared" si="14"/>
        <v>0</v>
      </c>
      <c r="F400" s="83">
        <f t="shared" si="14"/>
        <v>4676</v>
      </c>
      <c r="G400" s="84">
        <f>G82</f>
        <v>0</v>
      </c>
    </row>
    <row r="401" spans="2:7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4" priority="1" stopIfTrue="1">
      <formula>$B$365=""</formula>
    </cfRule>
  </conditionalFormatting>
  <conditionalFormatting sqref="F338:F339 D338:D339">
    <cfRule type="expression" dxfId="13" priority="2" stopIfTrue="1">
      <formula>$B$338=""</formula>
    </cfRule>
  </conditionalFormatting>
  <conditionalFormatting sqref="D340 F340">
    <cfRule type="expression" dxfId="12" priority="3" stopIfTrue="1">
      <formula>$B$340=""</formula>
    </cfRule>
  </conditionalFormatting>
  <conditionalFormatting sqref="B370">
    <cfRule type="expression" dxfId="11" priority="4" stopIfTrue="1">
      <formula>$L$3=0</formula>
    </cfRule>
  </conditionalFormatting>
  <conditionalFormatting sqref="D52 F52">
    <cfRule type="expression" dxfId="10" priority="5" stopIfTrue="1">
      <formula>$B$52=""</formula>
    </cfRule>
  </conditionalFormatting>
  <conditionalFormatting sqref="D53 F53">
    <cfRule type="expression" dxfId="9" priority="6" stopIfTrue="1">
      <formula>$B$53=""</formula>
    </cfRule>
  </conditionalFormatting>
  <conditionalFormatting sqref="D26 F26">
    <cfRule type="expression" dxfId="8" priority="7" stopIfTrue="1">
      <formula>$B$26=""</formula>
    </cfRule>
  </conditionalFormatting>
  <conditionalFormatting sqref="D27 F27">
    <cfRule type="expression" dxfId="7" priority="8" stopIfTrue="1">
      <formula>$B$27=""</formula>
    </cfRule>
  </conditionalFormatting>
  <conditionalFormatting sqref="D28 F28">
    <cfRule type="expression" dxfId="6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zoomScale="85" workbookViewId="0">
      <selection activeCell="A5" sqref="A5"/>
    </sheetView>
  </sheetViews>
  <sheetFormatPr defaultColWidth="9.1796875" defaultRowHeight="12.5"/>
  <cols>
    <col min="1" max="1" width="12.54296875" style="42" customWidth="1"/>
    <col min="2" max="2" width="28.81640625" style="42" customWidth="1"/>
    <col min="3" max="3" width="13" style="42" customWidth="1"/>
    <col min="4" max="4" width="2.1796875" style="42" customWidth="1"/>
    <col min="5" max="5" width="13" style="42" customWidth="1"/>
    <col min="6" max="6" width="2.1796875" style="42" customWidth="1"/>
    <col min="7" max="7" width="12.81640625" style="42" customWidth="1"/>
    <col min="8" max="8" width="2.1796875" style="42" customWidth="1"/>
    <col min="9" max="9" width="13" style="42" customWidth="1"/>
    <col min="10" max="10" width="2.1796875" style="42" customWidth="1"/>
    <col min="11" max="11" width="13" style="42" customWidth="1"/>
    <col min="12" max="12" width="11" style="42" customWidth="1"/>
    <col min="13" max="13" width="13.81640625" style="42" customWidth="1"/>
    <col min="14" max="14" width="26.1796875" style="42" customWidth="1"/>
    <col min="15" max="16384" width="9.1796875" style="42"/>
  </cols>
  <sheetData>
    <row r="1" spans="1:15" ht="19" thickTop="1" thickBot="1">
      <c r="A1" s="41"/>
      <c r="B1" s="41"/>
      <c r="C1" s="627" t="str">
        <f>GufMevukar</f>
        <v>עיריית באקה אלגרבייה</v>
      </c>
      <c r="D1" s="628"/>
      <c r="E1" s="628"/>
      <c r="F1" s="628"/>
      <c r="G1" s="628"/>
      <c r="H1" s="628"/>
      <c r="I1" s="628"/>
      <c r="J1" s="628"/>
      <c r="K1" s="628"/>
      <c r="L1" s="629"/>
      <c r="M1" s="41"/>
    </row>
    <row r="2" spans="1:15" ht="19" thickTop="1" thickBot="1">
      <c r="A2" s="41"/>
      <c r="B2" s="41"/>
      <c r="C2" s="635" t="s">
        <v>642</v>
      </c>
      <c r="D2" s="636"/>
      <c r="E2" s="636"/>
      <c r="F2" s="636"/>
      <c r="G2" s="636"/>
      <c r="H2" s="636"/>
      <c r="I2" s="636"/>
      <c r="J2" s="636"/>
      <c r="K2" s="636"/>
      <c r="L2" s="637"/>
      <c r="M2" s="41"/>
    </row>
    <row r="3" spans="1:15" ht="19" thickTop="1" thickBot="1">
      <c r="A3" s="41"/>
      <c r="B3" s="41"/>
      <c r="C3" s="627" t="str">
        <f>ReportPeriod</f>
        <v>לתקופה: רבעון 4, שנת 2017</v>
      </c>
      <c r="D3" s="628"/>
      <c r="E3" s="628"/>
      <c r="F3" s="628"/>
      <c r="G3" s="628"/>
      <c r="H3" s="628"/>
      <c r="I3" s="628"/>
      <c r="J3" s="628"/>
      <c r="K3" s="628"/>
      <c r="L3" s="629"/>
      <c r="M3" s="41"/>
    </row>
    <row r="4" spans="1:15" ht="13" hidden="1" thickTop="1">
      <c r="A4" s="230"/>
      <c r="B4" s="231"/>
      <c r="C4" s="148"/>
      <c r="D4" s="148"/>
      <c r="E4" s="232"/>
      <c r="F4" s="232"/>
      <c r="G4" s="108">
        <f>'הגדרות כלליות'!D20</f>
        <v>4</v>
      </c>
      <c r="H4" s="108"/>
      <c r="I4" s="148"/>
      <c r="J4" s="148"/>
      <c r="K4" s="148"/>
      <c r="L4" s="148"/>
      <c r="M4" s="148"/>
    </row>
    <row r="5" spans="1:15" ht="13.5" thickTop="1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5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>
      <c r="A11" s="43"/>
      <c r="B11" s="65" t="s">
        <v>648</v>
      </c>
      <c r="C11" s="50">
        <v>30808</v>
      </c>
      <c r="D11" s="47"/>
      <c r="E11" s="151">
        <f>C11*MIN($G$4,4)/4</f>
        <v>30808</v>
      </c>
      <c r="F11" s="47"/>
      <c r="G11" s="50">
        <v>30135</v>
      </c>
      <c r="H11" s="47"/>
      <c r="I11" s="151">
        <f t="shared" ref="I11:I16" si="0">G11-E11</f>
        <v>-673</v>
      </c>
      <c r="J11" s="47"/>
      <c r="K11" s="188">
        <f t="shared" ref="K11:K16" si="1">IF(E11=0,0,I11/E11)</f>
        <v>-2.1844975331082837E-2</v>
      </c>
      <c r="L11" s="61"/>
      <c r="M11" s="44"/>
    </row>
    <row r="12" spans="1:15">
      <c r="A12" s="43"/>
      <c r="B12" s="65" t="s">
        <v>649</v>
      </c>
      <c r="C12" s="50">
        <v>1000</v>
      </c>
      <c r="D12" s="47"/>
      <c r="E12" s="151">
        <f>C12*MIN($G$4,4)/4</f>
        <v>1000</v>
      </c>
      <c r="F12" s="47"/>
      <c r="G12" s="50">
        <v>778</v>
      </c>
      <c r="H12" s="47"/>
      <c r="I12" s="151">
        <f t="shared" si="0"/>
        <v>-222</v>
      </c>
      <c r="J12" s="47"/>
      <c r="K12" s="188">
        <f t="shared" si="1"/>
        <v>-0.222</v>
      </c>
      <c r="L12" s="61"/>
      <c r="M12" s="44"/>
    </row>
    <row r="13" spans="1:15">
      <c r="A13" s="43"/>
      <c r="B13" s="65" t="s">
        <v>851</v>
      </c>
      <c r="C13" s="50">
        <v>172</v>
      </c>
      <c r="D13" s="47"/>
      <c r="E13" s="151">
        <f>C13*MIN($G$4,4)/4</f>
        <v>172</v>
      </c>
      <c r="F13" s="47"/>
      <c r="G13" s="50">
        <v>180</v>
      </c>
      <c r="H13" s="47"/>
      <c r="I13" s="151">
        <f t="shared" si="0"/>
        <v>8</v>
      </c>
      <c r="J13" s="47"/>
      <c r="K13" s="188">
        <f t="shared" si="1"/>
        <v>4.6511627906976744E-2</v>
      </c>
      <c r="L13" s="61"/>
      <c r="M13" s="44"/>
    </row>
    <row r="14" spans="1:15">
      <c r="A14" s="43"/>
      <c r="B14" s="65" t="s">
        <v>852</v>
      </c>
      <c r="C14" s="50">
        <v>209</v>
      </c>
      <c r="D14" s="47"/>
      <c r="E14" s="151">
        <f>C14*MIN($G$4,4)/4</f>
        <v>209</v>
      </c>
      <c r="F14" s="47"/>
      <c r="G14" s="50">
        <v>189</v>
      </c>
      <c r="H14" s="47"/>
      <c r="I14" s="151">
        <f t="shared" si="0"/>
        <v>-20</v>
      </c>
      <c r="J14" s="47"/>
      <c r="K14" s="188">
        <f t="shared" si="1"/>
        <v>-9.569377990430622E-2</v>
      </c>
      <c r="L14" s="61"/>
      <c r="M14" s="44"/>
    </row>
    <row r="15" spans="1:15">
      <c r="A15" s="43"/>
      <c r="B15" s="233" t="s">
        <v>853</v>
      </c>
      <c r="C15" s="50">
        <v>5625</v>
      </c>
      <c r="D15" s="47"/>
      <c r="E15" s="151">
        <f>C15*MIN($G$4,4)/4</f>
        <v>5625</v>
      </c>
      <c r="F15" s="47"/>
      <c r="G15" s="50">
        <v>2730</v>
      </c>
      <c r="H15" s="47"/>
      <c r="I15" s="151">
        <f t="shared" si="0"/>
        <v>-2895</v>
      </c>
      <c r="J15" s="47"/>
      <c r="K15" s="188">
        <f t="shared" si="1"/>
        <v>-0.51466666666666672</v>
      </c>
      <c r="L15" s="61"/>
      <c r="M15" s="44"/>
    </row>
    <row r="16" spans="1:15">
      <c r="A16" s="43"/>
      <c r="B16" s="46" t="s">
        <v>650</v>
      </c>
      <c r="C16" s="51">
        <f>SUM(C11:C15)</f>
        <v>37814</v>
      </c>
      <c r="D16" s="47"/>
      <c r="E16" s="51">
        <f>SUM(E11:E15)</f>
        <v>37814</v>
      </c>
      <c r="F16" s="47"/>
      <c r="G16" s="51">
        <f>SUM(G11:G15)</f>
        <v>34012</v>
      </c>
      <c r="H16" s="47"/>
      <c r="I16" s="51">
        <f t="shared" si="0"/>
        <v>-3802</v>
      </c>
      <c r="J16" s="47"/>
      <c r="K16" s="463">
        <f t="shared" si="1"/>
        <v>-0.10054477177764849</v>
      </c>
      <c r="L16" s="61"/>
      <c r="M16" s="44"/>
    </row>
    <row r="17" spans="1:13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>
      <c r="A18" s="43"/>
      <c r="B18" s="46" t="s">
        <v>651</v>
      </c>
      <c r="C18" s="50">
        <v>66385</v>
      </c>
      <c r="D18" s="47"/>
      <c r="E18" s="151">
        <f t="shared" ref="E18:E25" si="2">C18*MIN($G$4,4)/4</f>
        <v>66385</v>
      </c>
      <c r="F18" s="47"/>
      <c r="G18" s="50">
        <v>65447</v>
      </c>
      <c r="H18" s="47"/>
      <c r="I18" s="151">
        <f t="shared" ref="I18:I25" si="3">G18-E18</f>
        <v>-938</v>
      </c>
      <c r="J18" s="47"/>
      <c r="K18" s="188">
        <f t="shared" ref="K18:K25" si="4">IF(E18=0,0,I18/E18)</f>
        <v>-1.4129697973939896E-2</v>
      </c>
      <c r="L18" s="61"/>
      <c r="M18" s="44"/>
    </row>
    <row r="19" spans="1:13">
      <c r="A19" s="43"/>
      <c r="B19" s="46" t="s">
        <v>652</v>
      </c>
      <c r="C19" s="50">
        <v>14492</v>
      </c>
      <c r="D19" s="47"/>
      <c r="E19" s="151">
        <f t="shared" si="2"/>
        <v>14492</v>
      </c>
      <c r="F19" s="47"/>
      <c r="G19" s="50">
        <v>13465</v>
      </c>
      <c r="H19" s="47"/>
      <c r="I19" s="151">
        <f t="shared" si="3"/>
        <v>-1027</v>
      </c>
      <c r="J19" s="47"/>
      <c r="K19" s="188">
        <f t="shared" si="4"/>
        <v>-7.0866685067623517E-2</v>
      </c>
      <c r="L19" s="61"/>
      <c r="M19" s="44"/>
    </row>
    <row r="20" spans="1:13">
      <c r="A20" s="43"/>
      <c r="B20" s="46" t="s">
        <v>653</v>
      </c>
      <c r="C20" s="50">
        <v>2515</v>
      </c>
      <c r="D20" s="47"/>
      <c r="E20" s="151">
        <f t="shared" si="2"/>
        <v>2515</v>
      </c>
      <c r="F20" s="47"/>
      <c r="G20" s="50">
        <v>1700</v>
      </c>
      <c r="H20" s="47"/>
      <c r="I20" s="151">
        <f t="shared" si="3"/>
        <v>-815</v>
      </c>
      <c r="J20" s="47"/>
      <c r="K20" s="188">
        <f t="shared" si="4"/>
        <v>-0.32405566600397612</v>
      </c>
      <c r="L20" s="61"/>
      <c r="M20" s="44"/>
    </row>
    <row r="21" spans="1:13">
      <c r="A21" s="43"/>
      <c r="B21" s="46" t="s">
        <v>654</v>
      </c>
      <c r="C21" s="50">
        <v>23480</v>
      </c>
      <c r="D21" s="47"/>
      <c r="E21" s="151">
        <f t="shared" si="2"/>
        <v>23480</v>
      </c>
      <c r="F21" s="47"/>
      <c r="G21" s="50">
        <v>23480</v>
      </c>
      <c r="H21" s="47"/>
      <c r="I21" s="151">
        <f t="shared" si="3"/>
        <v>0</v>
      </c>
      <c r="J21" s="47"/>
      <c r="K21" s="188">
        <f t="shared" si="4"/>
        <v>0</v>
      </c>
      <c r="L21" s="61"/>
      <c r="M21" s="44"/>
    </row>
    <row r="22" spans="1:13">
      <c r="A22" s="43"/>
      <c r="B22" s="65" t="s">
        <v>655</v>
      </c>
      <c r="C22" s="50">
        <v>3239</v>
      </c>
      <c r="D22" s="47"/>
      <c r="E22" s="151">
        <f t="shared" si="2"/>
        <v>3239</v>
      </c>
      <c r="F22" s="47"/>
      <c r="G22" s="50">
        <v>1868</v>
      </c>
      <c r="H22" s="47"/>
      <c r="I22" s="151">
        <f t="shared" si="3"/>
        <v>-1371</v>
      </c>
      <c r="J22" s="47"/>
      <c r="K22" s="188">
        <f t="shared" si="4"/>
        <v>-0.42327878974992283</v>
      </c>
      <c r="L22" s="61"/>
      <c r="M22" s="44"/>
    </row>
    <row r="23" spans="1:13" ht="12" customHeight="1">
      <c r="A23" s="43"/>
      <c r="B23" s="46" t="s">
        <v>656</v>
      </c>
      <c r="C23" s="50">
        <v>875</v>
      </c>
      <c r="D23" s="47"/>
      <c r="E23" s="151">
        <f t="shared" si="2"/>
        <v>875</v>
      </c>
      <c r="F23" s="47"/>
      <c r="G23" s="50">
        <v>6000</v>
      </c>
      <c r="H23" s="47"/>
      <c r="I23" s="151">
        <f t="shared" si="3"/>
        <v>5125</v>
      </c>
      <c r="J23" s="47"/>
      <c r="K23" s="188">
        <f t="shared" si="4"/>
        <v>5.8571428571428568</v>
      </c>
      <c r="L23" s="61"/>
      <c r="M23" s="44"/>
    </row>
    <row r="24" spans="1:13" ht="3" hidden="1" customHeight="1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>
      <c r="A25" s="43"/>
      <c r="B25" s="245" t="s">
        <v>657</v>
      </c>
      <c r="C25" s="234">
        <f>C16+SUM(C18:C24)</f>
        <v>148800</v>
      </c>
      <c r="D25" s="47"/>
      <c r="E25" s="234">
        <f t="shared" si="2"/>
        <v>148800</v>
      </c>
      <c r="F25" s="47"/>
      <c r="G25" s="121">
        <f>SUM(G18:G24)+G16</f>
        <v>145972</v>
      </c>
      <c r="H25" s="47"/>
      <c r="I25" s="235">
        <f t="shared" si="3"/>
        <v>-2828</v>
      </c>
      <c r="J25" s="47"/>
      <c r="K25" s="464">
        <f t="shared" si="4"/>
        <v>-1.9005376344086021E-2</v>
      </c>
      <c r="L25" s="61"/>
      <c r="M25" s="44"/>
    </row>
    <row r="26" spans="1:13" ht="4.5" customHeight="1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>
      <c r="A28" s="43"/>
      <c r="B28" s="65" t="s">
        <v>659</v>
      </c>
      <c r="C28" s="50"/>
      <c r="D28" s="47"/>
      <c r="E28" s="151">
        <f>C28*MIN($G$4,4)/4</f>
        <v>0</v>
      </c>
      <c r="F28" s="47"/>
      <c r="G28" s="50">
        <v>26</v>
      </c>
      <c r="H28" s="47"/>
      <c r="I28" s="151">
        <f>G28-E28</f>
        <v>26</v>
      </c>
      <c r="J28" s="47"/>
      <c r="K28" s="188">
        <f>IF(E28=0,0,I28/E28)</f>
        <v>0</v>
      </c>
      <c r="L28" s="61"/>
      <c r="M28" s="44"/>
    </row>
    <row r="29" spans="1:13">
      <c r="A29" s="43"/>
      <c r="B29" s="65" t="s">
        <v>660</v>
      </c>
      <c r="C29" s="50">
        <v>15535</v>
      </c>
      <c r="D29" s="47"/>
      <c r="E29" s="151">
        <f>C29*MIN($G$4,4)/4</f>
        <v>15535</v>
      </c>
      <c r="F29" s="47"/>
      <c r="G29" s="50">
        <v>16585</v>
      </c>
      <c r="H29" s="47"/>
      <c r="I29" s="151">
        <f>G29-E29</f>
        <v>1050</v>
      </c>
      <c r="J29" s="47"/>
      <c r="K29" s="188">
        <f>IF(E29=0,0,I29/E29)</f>
        <v>6.7589314451239141E-2</v>
      </c>
      <c r="L29" s="61"/>
      <c r="M29" s="44"/>
    </row>
    <row r="30" spans="1:13" ht="13" thickBot="1">
      <c r="A30" s="43"/>
      <c r="B30" s="46" t="s">
        <v>661</v>
      </c>
      <c r="C30" s="51">
        <f>SUM(C27:C29)+C25</f>
        <v>164335</v>
      </c>
      <c r="D30" s="47"/>
      <c r="E30" s="51">
        <f>SUM(E27:E29)+E25</f>
        <v>164335</v>
      </c>
      <c r="F30" s="47"/>
      <c r="G30" s="51">
        <f>SUM(G27:G29)+G25</f>
        <v>162583</v>
      </c>
      <c r="H30" s="47"/>
      <c r="I30" s="51">
        <f>G30-E30</f>
        <v>-1752</v>
      </c>
      <c r="J30" s="47"/>
      <c r="K30" s="465">
        <f>IF(E30=0,0,I30/E30)</f>
        <v>-1.0661149481242584E-2</v>
      </c>
      <c r="L30" s="61"/>
      <c r="M30" s="44"/>
    </row>
    <row r="31" spans="1:13" ht="21.75" customHeight="1" thickTop="1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>
      <c r="A32" s="43"/>
      <c r="B32" s="46" t="s">
        <v>663</v>
      </c>
      <c r="C32" s="50">
        <v>20503</v>
      </c>
      <c r="D32" s="47"/>
      <c r="E32" s="151">
        <f>C32*MIN($G$4,4)/4</f>
        <v>20503</v>
      </c>
      <c r="F32" s="47"/>
      <c r="G32" s="50">
        <v>19621</v>
      </c>
      <c r="H32" s="47"/>
      <c r="I32" s="151">
        <f>G32-E32</f>
        <v>-882</v>
      </c>
      <c r="J32" s="47"/>
      <c r="K32" s="188">
        <f>IF(E32=0,0,I32/E32)</f>
        <v>-4.3018094912939571E-2</v>
      </c>
      <c r="L32" s="61"/>
      <c r="M32" s="44"/>
    </row>
    <row r="33" spans="1:13">
      <c r="A33" s="43"/>
      <c r="B33" s="46" t="s">
        <v>664</v>
      </c>
      <c r="C33" s="50">
        <v>29765</v>
      </c>
      <c r="D33" s="47"/>
      <c r="E33" s="151">
        <f>C33*MIN($G$4,4)/4</f>
        <v>29765</v>
      </c>
      <c r="F33" s="47"/>
      <c r="G33" s="587">
        <v>23909</v>
      </c>
      <c r="H33" s="47"/>
      <c r="I33" s="151">
        <f>G33-E33</f>
        <v>-5856</v>
      </c>
      <c r="J33" s="47"/>
      <c r="K33" s="188">
        <f>IF(E33=0,0,I33/E33)</f>
        <v>-0.19674113892155215</v>
      </c>
      <c r="L33" s="61"/>
      <c r="M33" s="44"/>
    </row>
    <row r="34" spans="1:13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>
      <c r="A35" s="43"/>
      <c r="B35" s="46" t="s">
        <v>666</v>
      </c>
      <c r="C35" s="51">
        <f>SUM(C32:C34)</f>
        <v>50268</v>
      </c>
      <c r="D35" s="47"/>
      <c r="E35" s="51">
        <f>SUM(E32:E34)</f>
        <v>50268</v>
      </c>
      <c r="F35" s="47"/>
      <c r="G35" s="51">
        <f>SUM(G32:G34)</f>
        <v>43530</v>
      </c>
      <c r="H35" s="47"/>
      <c r="I35" s="51">
        <f>G35-E35</f>
        <v>-6738</v>
      </c>
      <c r="J35" s="47"/>
      <c r="K35" s="243">
        <f>IF(E35=0,0,I35/E35)</f>
        <v>-0.13404153735975174</v>
      </c>
      <c r="L35" s="61"/>
      <c r="M35" s="44"/>
    </row>
    <row r="36" spans="1:13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>
      <c r="A37" s="43"/>
      <c r="B37" s="46" t="s">
        <v>667</v>
      </c>
      <c r="C37" s="50">
        <v>47004</v>
      </c>
      <c r="D37" s="47"/>
      <c r="E37" s="151">
        <f>C37*MIN($G$4,4)/4</f>
        <v>47004</v>
      </c>
      <c r="F37" s="47"/>
      <c r="G37" s="50">
        <v>49779</v>
      </c>
      <c r="H37" s="47"/>
      <c r="I37" s="151">
        <f t="shared" ref="I37:I42" si="5">G37-E37</f>
        <v>2775</v>
      </c>
      <c r="J37" s="47"/>
      <c r="K37" s="188">
        <f t="shared" ref="K37:K42" si="6">IF(E37=0,0,I37/E37)</f>
        <v>5.9037528720959916E-2</v>
      </c>
      <c r="L37" s="61"/>
      <c r="M37" s="44"/>
    </row>
    <row r="38" spans="1:13">
      <c r="A38" s="43"/>
      <c r="B38" s="46" t="s">
        <v>668</v>
      </c>
      <c r="C38" s="50">
        <v>28083</v>
      </c>
      <c r="D38" s="47"/>
      <c r="E38" s="151">
        <f>C38*MIN($G$4,4)/4</f>
        <v>28083</v>
      </c>
      <c r="F38" s="47"/>
      <c r="G38" s="50">
        <v>24716</v>
      </c>
      <c r="H38" s="47"/>
      <c r="I38" s="151">
        <f t="shared" si="5"/>
        <v>-3367</v>
      </c>
      <c r="J38" s="47"/>
      <c r="K38" s="188">
        <f t="shared" si="6"/>
        <v>-0.11989459815546773</v>
      </c>
      <c r="L38" s="61"/>
      <c r="M38" s="44"/>
    </row>
    <row r="39" spans="1:13">
      <c r="A39" s="43"/>
      <c r="B39" s="46" t="s">
        <v>669</v>
      </c>
      <c r="C39" s="51">
        <f>SUM(C37:C38)</f>
        <v>75087</v>
      </c>
      <c r="D39" s="47"/>
      <c r="E39" s="51">
        <f>SUM(E37:E38)</f>
        <v>75087</v>
      </c>
      <c r="F39" s="47"/>
      <c r="G39" s="51">
        <f>SUM(G37:G38)</f>
        <v>74495</v>
      </c>
      <c r="H39" s="47"/>
      <c r="I39" s="51">
        <f t="shared" si="5"/>
        <v>-592</v>
      </c>
      <c r="J39" s="47"/>
      <c r="K39" s="244">
        <f t="shared" si="6"/>
        <v>-7.8841876756296034E-3</v>
      </c>
      <c r="L39" s="61"/>
      <c r="M39" s="44"/>
    </row>
    <row r="40" spans="1:13">
      <c r="A40" s="43"/>
      <c r="B40" s="46" t="s">
        <v>670</v>
      </c>
      <c r="C40" s="63">
        <v>6379</v>
      </c>
      <c r="D40" s="47"/>
      <c r="E40" s="240">
        <f>C40*MIN($G$4,4)/4</f>
        <v>6379</v>
      </c>
      <c r="F40" s="47"/>
      <c r="G40" s="63">
        <v>5850</v>
      </c>
      <c r="H40" s="47"/>
      <c r="I40" s="240">
        <f t="shared" si="5"/>
        <v>-529</v>
      </c>
      <c r="J40" s="47"/>
      <c r="K40" s="188">
        <f t="shared" si="6"/>
        <v>-8.2928358676908606E-2</v>
      </c>
      <c r="L40" s="61"/>
      <c r="M40" s="44"/>
    </row>
    <row r="41" spans="1:13">
      <c r="A41" s="43"/>
      <c r="B41" s="46" t="s">
        <v>671</v>
      </c>
      <c r="C41" s="50">
        <v>12984</v>
      </c>
      <c r="D41" s="47"/>
      <c r="E41" s="151">
        <f>C41*MIN($G$4,4)/4</f>
        <v>12984</v>
      </c>
      <c r="F41" s="47"/>
      <c r="G41" s="50">
        <v>12280</v>
      </c>
      <c r="H41" s="47"/>
      <c r="I41" s="151">
        <f t="shared" si="5"/>
        <v>-704</v>
      </c>
      <c r="J41" s="47"/>
      <c r="K41" s="188">
        <f t="shared" si="6"/>
        <v>-5.4220579174368455E-2</v>
      </c>
      <c r="L41" s="61"/>
      <c r="M41" s="44"/>
    </row>
    <row r="42" spans="1:13">
      <c r="A42" s="43"/>
      <c r="B42" s="46" t="s">
        <v>672</v>
      </c>
      <c r="C42" s="51">
        <f>SUM(C40:C41)</f>
        <v>19363</v>
      </c>
      <c r="D42" s="47"/>
      <c r="E42" s="51">
        <f>SUM(E40:E41)</f>
        <v>19363</v>
      </c>
      <c r="F42" s="47"/>
      <c r="G42" s="51">
        <f>SUM(G40:G41)</f>
        <v>18130</v>
      </c>
      <c r="H42" s="47"/>
      <c r="I42" s="51">
        <f t="shared" si="5"/>
        <v>-1233</v>
      </c>
      <c r="J42" s="47"/>
      <c r="K42" s="244">
        <f t="shared" si="6"/>
        <v>-6.3678149047151786E-2</v>
      </c>
      <c r="L42" s="61"/>
      <c r="M42" s="44"/>
    </row>
    <row r="43" spans="1:13" ht="4.5" customHeight="1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7.5">
      <c r="A44" s="43"/>
      <c r="B44" s="245" t="s">
        <v>673</v>
      </c>
      <c r="C44" s="51">
        <f>C35+C39+C42</f>
        <v>144718</v>
      </c>
      <c r="D44" s="47"/>
      <c r="E44" s="51">
        <f>C44*MIN($G$4,4)/4</f>
        <v>144718</v>
      </c>
      <c r="F44" s="47"/>
      <c r="G44" s="51">
        <f>G35+G39+G42</f>
        <v>136155</v>
      </c>
      <c r="H44" s="47"/>
      <c r="I44" s="51">
        <f>G44-E44</f>
        <v>-8563</v>
      </c>
      <c r="J44" s="47"/>
      <c r="K44" s="244">
        <f>IF(E44=0,0,I44/E44)</f>
        <v>-5.9170248345057283E-2</v>
      </c>
      <c r="L44" s="61"/>
      <c r="M44" s="44"/>
    </row>
    <row r="45" spans="1:13">
      <c r="A45" s="43"/>
      <c r="B45" s="46" t="s">
        <v>674</v>
      </c>
      <c r="C45" s="63"/>
      <c r="D45" s="47"/>
      <c r="E45" s="240">
        <f>C45*MIN($G$4,4)/4</f>
        <v>0</v>
      </c>
      <c r="F45" s="47"/>
      <c r="G45" s="63">
        <v>5875</v>
      </c>
      <c r="H45" s="47"/>
      <c r="I45" s="240">
        <f>G45-E45</f>
        <v>5875</v>
      </c>
      <c r="J45" s="47"/>
      <c r="K45" s="241">
        <f>IF(E45=0,0,I45/E45)</f>
        <v>0</v>
      </c>
      <c r="L45" s="61"/>
      <c r="M45" s="44"/>
    </row>
    <row r="46" spans="1:13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>
      <c r="A47" s="43"/>
      <c r="B47" s="46" t="s">
        <v>676</v>
      </c>
      <c r="C47" s="51">
        <f>SUM(C45:C46)</f>
        <v>0</v>
      </c>
      <c r="D47" s="47"/>
      <c r="E47" s="51">
        <f>SUM(E45:E46)</f>
        <v>0</v>
      </c>
      <c r="F47" s="47"/>
      <c r="G47" s="51">
        <f>SUM(G45:G46)</f>
        <v>5875</v>
      </c>
      <c r="H47" s="47"/>
      <c r="I47" s="51">
        <f>G47-E47</f>
        <v>5875</v>
      </c>
      <c r="J47" s="47"/>
      <c r="K47" s="244">
        <f>IF(E47=0,0,I47/E47)</f>
        <v>0</v>
      </c>
      <c r="L47" s="61"/>
      <c r="M47" s="44"/>
    </row>
    <row r="48" spans="1:13" ht="4.5" customHeight="1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>
      <c r="A49" s="43"/>
      <c r="B49" s="46" t="s">
        <v>677</v>
      </c>
      <c r="C49" s="63">
        <v>445</v>
      </c>
      <c r="D49" s="47"/>
      <c r="E49" s="240">
        <f>C49*MIN($G$4,4)/4</f>
        <v>445</v>
      </c>
      <c r="F49" s="47"/>
      <c r="G49" s="63">
        <v>181</v>
      </c>
      <c r="H49" s="47"/>
      <c r="I49" s="240">
        <f>G49-E49</f>
        <v>-264</v>
      </c>
      <c r="J49" s="47"/>
      <c r="K49" s="241">
        <f>IF(E49=0,0,I49/E49)</f>
        <v>-0.59325842696629216</v>
      </c>
      <c r="L49" s="61"/>
      <c r="M49" s="44"/>
    </row>
    <row r="50" spans="1:13" ht="12.75" customHeight="1">
      <c r="A50" s="43"/>
      <c r="B50" s="248" t="s">
        <v>678</v>
      </c>
      <c r="C50" s="50">
        <v>3672</v>
      </c>
      <c r="D50" s="47"/>
      <c r="E50" s="151">
        <f>C50*MIN($G$4,4)/4</f>
        <v>3672</v>
      </c>
      <c r="F50" s="47"/>
      <c r="G50" s="50">
        <v>3511</v>
      </c>
      <c r="H50" s="47"/>
      <c r="I50" s="151">
        <f>G50-E50</f>
        <v>-161</v>
      </c>
      <c r="J50" s="47"/>
      <c r="K50" s="188">
        <f>IF(E50=0,0,I50/E50)</f>
        <v>-4.3845315904139433E-2</v>
      </c>
      <c r="L50" s="61"/>
      <c r="M50" s="44"/>
    </row>
    <row r="51" spans="1:13" ht="24" customHeight="1">
      <c r="A51" s="43"/>
      <c r="B51" s="248" t="s">
        <v>679</v>
      </c>
      <c r="C51" s="234">
        <f>C44+C47+C49+C50</f>
        <v>148835</v>
      </c>
      <c r="D51" s="47"/>
      <c r="E51" s="249">
        <f>C51*MIN($G$4,4)/4</f>
        <v>148835</v>
      </c>
      <c r="F51" s="47"/>
      <c r="G51" s="234">
        <f>G44+G47+G49+G50</f>
        <v>145722</v>
      </c>
      <c r="H51" s="47"/>
      <c r="I51" s="249">
        <f>G51-E51</f>
        <v>-3113</v>
      </c>
      <c r="J51" s="47"/>
      <c r="K51" s="250">
        <f>IF(E51=0,0,I51/E51)</f>
        <v>-2.0915779218597778E-2</v>
      </c>
      <c r="L51" s="61"/>
      <c r="M51" s="44"/>
    </row>
    <row r="52" spans="1:13" ht="4.5" customHeight="1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>
      <c r="A53" s="43"/>
      <c r="B53" s="248" t="s">
        <v>692</v>
      </c>
      <c r="C53" s="63"/>
      <c r="D53" s="47"/>
      <c r="E53" s="240">
        <f>C53*MIN($G$4,4)/4</f>
        <v>0</v>
      </c>
      <c r="F53" s="47"/>
      <c r="G53" s="63">
        <v>26</v>
      </c>
      <c r="H53" s="47"/>
      <c r="I53" s="240">
        <f>G53-E53</f>
        <v>26</v>
      </c>
      <c r="J53" s="47"/>
      <c r="K53" s="241">
        <f>IF(E53=0,0,I53/E53)</f>
        <v>0</v>
      </c>
      <c r="L53" s="61"/>
      <c r="M53" s="44"/>
    </row>
    <row r="54" spans="1:13" ht="12.75" customHeight="1">
      <c r="A54" s="43"/>
      <c r="B54" s="248" t="s">
        <v>681</v>
      </c>
      <c r="C54" s="50">
        <v>15500</v>
      </c>
      <c r="D54" s="47"/>
      <c r="E54" s="151">
        <f>C54*MIN($G$4,4)/4</f>
        <v>15500</v>
      </c>
      <c r="F54" s="47"/>
      <c r="G54" s="50">
        <v>16546</v>
      </c>
      <c r="H54" s="47"/>
      <c r="I54" s="151">
        <f>G54-E54</f>
        <v>1046</v>
      </c>
      <c r="J54" s="47"/>
      <c r="K54" s="188">
        <f>IF(E54=0,0,I54/E54)</f>
        <v>6.748387096774193E-2</v>
      </c>
      <c r="L54" s="61"/>
      <c r="M54" s="44"/>
    </row>
    <row r="55" spans="1:13" ht="13" thickBot="1">
      <c r="A55" s="43"/>
      <c r="B55" s="46" t="s">
        <v>682</v>
      </c>
      <c r="C55" s="51">
        <f>C51+C53+C54</f>
        <v>164335</v>
      </c>
      <c r="D55" s="47"/>
      <c r="E55" s="51">
        <f>E51+E53+E54</f>
        <v>164335</v>
      </c>
      <c r="F55" s="47"/>
      <c r="G55" s="51">
        <f>G51+G53+G54</f>
        <v>162294</v>
      </c>
      <c r="H55" s="47"/>
      <c r="I55" s="51">
        <f>G55-E55</f>
        <v>-2041</v>
      </c>
      <c r="J55" s="47"/>
      <c r="K55" s="242">
        <f>IF(E55=0,0,I55/E55)</f>
        <v>-1.2419752335169015E-2</v>
      </c>
      <c r="L55" s="61"/>
      <c r="M55" s="44"/>
    </row>
    <row r="56" spans="1:13" ht="13" thickTop="1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" thickBot="1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289</v>
      </c>
      <c r="H57" s="47"/>
      <c r="I57" s="52">
        <f>I30-I55</f>
        <v>289</v>
      </c>
      <c r="J57" s="47"/>
      <c r="K57" s="242">
        <f>IF(E57=0,0,I57/E57)</f>
        <v>0</v>
      </c>
      <c r="L57" s="61"/>
      <c r="M57" s="44"/>
    </row>
    <row r="58" spans="1:13" ht="13" thickTop="1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" thickBo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" thickTop="1"/>
    <row r="155" spans="2:11" ht="33.75" customHeight="1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ht="13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ht="13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ht="13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>
      <c r="B314" s="634" t="str">
        <f>C1</f>
        <v>עיריית באקה אלגרבייה</v>
      </c>
      <c r="C314" s="634"/>
      <c r="D314" s="634"/>
      <c r="E314" s="634"/>
      <c r="F314" s="634"/>
      <c r="G314" s="634"/>
      <c r="H314" s="634"/>
      <c r="I314" s="634"/>
      <c r="J314" s="634"/>
      <c r="K314" s="634"/>
      <c r="L314" s="634"/>
    </row>
    <row r="315" spans="2:12" ht="18">
      <c r="B315" s="634" t="str">
        <f>C2</f>
        <v>תמצית נתוני התקציב הרגיל באלפי ₪</v>
      </c>
      <c r="C315" s="634"/>
      <c r="D315" s="634"/>
      <c r="E315" s="634"/>
      <c r="F315" s="634"/>
      <c r="G315" s="634"/>
      <c r="H315" s="634"/>
      <c r="I315" s="634"/>
      <c r="J315" s="634"/>
      <c r="K315" s="634"/>
      <c r="L315" s="634"/>
    </row>
    <row r="316" spans="2:12" ht="18">
      <c r="B316" s="634" t="str">
        <f>C3</f>
        <v>לתקופה: רבעון 4, שנת 2017</v>
      </c>
      <c r="C316" s="634"/>
      <c r="D316" s="634"/>
      <c r="E316" s="634"/>
      <c r="F316" s="634"/>
      <c r="G316" s="634"/>
      <c r="H316" s="634"/>
      <c r="I316" s="634"/>
      <c r="J316" s="634"/>
      <c r="K316" s="634"/>
      <c r="L316" s="634"/>
    </row>
    <row r="317" spans="2:12" ht="13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6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5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>
      <c r="B323" s="82" t="str">
        <f t="shared" si="8"/>
        <v>ארנונה כללית</v>
      </c>
      <c r="C323" s="86">
        <f t="shared" si="8"/>
        <v>30808</v>
      </c>
      <c r="D323" s="83">
        <f t="shared" si="8"/>
        <v>0</v>
      </c>
      <c r="E323" s="259">
        <f t="shared" si="8"/>
        <v>30808</v>
      </c>
      <c r="F323" s="83">
        <f t="shared" si="8"/>
        <v>0</v>
      </c>
      <c r="G323" s="86">
        <f t="shared" si="8"/>
        <v>30135</v>
      </c>
      <c r="H323" s="83">
        <f t="shared" si="8"/>
        <v>0</v>
      </c>
      <c r="I323" s="259">
        <f t="shared" si="8"/>
        <v>-673</v>
      </c>
      <c r="J323" s="83">
        <f t="shared" si="8"/>
        <v>0</v>
      </c>
      <c r="K323" s="260">
        <f t="shared" si="8"/>
        <v>-2.1844975331082837E-2</v>
      </c>
      <c r="L323" s="84">
        <f t="shared" si="8"/>
        <v>0</v>
      </c>
    </row>
    <row r="324" spans="2:12">
      <c r="B324" s="82" t="str">
        <f t="shared" si="8"/>
        <v>הכנסות ממכירת מים</v>
      </c>
      <c r="C324" s="87">
        <f t="shared" si="8"/>
        <v>1000</v>
      </c>
      <c r="D324" s="83">
        <f t="shared" si="8"/>
        <v>0</v>
      </c>
      <c r="E324" s="261">
        <f t="shared" si="8"/>
        <v>1000</v>
      </c>
      <c r="F324" s="83">
        <f t="shared" si="8"/>
        <v>0</v>
      </c>
      <c r="G324" s="87">
        <f t="shared" si="8"/>
        <v>778</v>
      </c>
      <c r="H324" s="83">
        <f t="shared" si="8"/>
        <v>0</v>
      </c>
      <c r="I324" s="261">
        <f t="shared" si="8"/>
        <v>-222</v>
      </c>
      <c r="J324" s="83">
        <f t="shared" si="8"/>
        <v>0</v>
      </c>
      <c r="K324" s="262">
        <f t="shared" si="8"/>
        <v>-0.222</v>
      </c>
      <c r="L324" s="84">
        <f t="shared" si="8"/>
        <v>0</v>
      </c>
    </row>
    <row r="325" spans="2:12">
      <c r="B325" s="82" t="str">
        <f t="shared" si="8"/>
        <v>עצמיות חינוך</v>
      </c>
      <c r="C325" s="87">
        <f t="shared" si="8"/>
        <v>172</v>
      </c>
      <c r="D325" s="83">
        <f t="shared" si="8"/>
        <v>0</v>
      </c>
      <c r="E325" s="261">
        <f t="shared" si="8"/>
        <v>172</v>
      </c>
      <c r="F325" s="83">
        <f t="shared" si="8"/>
        <v>0</v>
      </c>
      <c r="G325" s="87">
        <f t="shared" si="8"/>
        <v>180</v>
      </c>
      <c r="H325" s="83">
        <f t="shared" si="8"/>
        <v>0</v>
      </c>
      <c r="I325" s="261">
        <f t="shared" si="8"/>
        <v>8</v>
      </c>
      <c r="J325" s="83">
        <f t="shared" si="8"/>
        <v>0</v>
      </c>
      <c r="K325" s="262">
        <f t="shared" si="8"/>
        <v>4.6511627906976744E-2</v>
      </c>
      <c r="L325" s="84">
        <f t="shared" si="8"/>
        <v>0</v>
      </c>
    </row>
    <row r="326" spans="2:12">
      <c r="B326" s="82" t="str">
        <f t="shared" si="8"/>
        <v>עצמיות רווחה</v>
      </c>
      <c r="C326" s="87">
        <f t="shared" si="8"/>
        <v>209</v>
      </c>
      <c r="D326" s="83">
        <f t="shared" si="8"/>
        <v>0</v>
      </c>
      <c r="E326" s="261">
        <f t="shared" si="8"/>
        <v>209</v>
      </c>
      <c r="F326" s="83">
        <f t="shared" si="8"/>
        <v>0</v>
      </c>
      <c r="G326" s="87">
        <f t="shared" si="8"/>
        <v>189</v>
      </c>
      <c r="H326" s="83">
        <f t="shared" si="8"/>
        <v>0</v>
      </c>
      <c r="I326" s="261">
        <f t="shared" si="8"/>
        <v>-20</v>
      </c>
      <c r="J326" s="83">
        <f t="shared" si="8"/>
        <v>0</v>
      </c>
      <c r="K326" s="262">
        <f t="shared" si="8"/>
        <v>-9.569377990430622E-2</v>
      </c>
      <c r="L326" s="84">
        <f t="shared" si="8"/>
        <v>0</v>
      </c>
    </row>
    <row r="327" spans="2:12">
      <c r="B327" s="263" t="str">
        <f t="shared" si="8"/>
        <v>עצמיות אחר</v>
      </c>
      <c r="C327" s="87">
        <f t="shared" si="8"/>
        <v>5625</v>
      </c>
      <c r="D327" s="83">
        <f t="shared" si="8"/>
        <v>0</v>
      </c>
      <c r="E327" s="261">
        <f t="shared" si="8"/>
        <v>5625</v>
      </c>
      <c r="F327" s="83">
        <f t="shared" si="8"/>
        <v>0</v>
      </c>
      <c r="G327" s="87">
        <f t="shared" si="8"/>
        <v>2730</v>
      </c>
      <c r="H327" s="83">
        <f t="shared" si="8"/>
        <v>0</v>
      </c>
      <c r="I327" s="261">
        <f t="shared" si="8"/>
        <v>-2895</v>
      </c>
      <c r="J327" s="83">
        <f t="shared" si="8"/>
        <v>0</v>
      </c>
      <c r="K327" s="262">
        <f t="shared" si="8"/>
        <v>-0.51466666666666672</v>
      </c>
      <c r="L327" s="84">
        <f t="shared" si="8"/>
        <v>0</v>
      </c>
    </row>
    <row r="328" spans="2:12">
      <c r="B328" s="82" t="str">
        <f t="shared" si="8"/>
        <v>סה"כ עצמיות</v>
      </c>
      <c r="C328" s="88">
        <f t="shared" si="8"/>
        <v>37814</v>
      </c>
      <c r="D328" s="83">
        <f t="shared" si="8"/>
        <v>0</v>
      </c>
      <c r="E328" s="88">
        <f t="shared" si="8"/>
        <v>37814</v>
      </c>
      <c r="F328" s="83">
        <f t="shared" si="8"/>
        <v>0</v>
      </c>
      <c r="G328" s="88">
        <f t="shared" si="8"/>
        <v>34012</v>
      </c>
      <c r="H328" s="83">
        <f t="shared" si="8"/>
        <v>0</v>
      </c>
      <c r="I328" s="88">
        <f t="shared" si="8"/>
        <v>-3802</v>
      </c>
      <c r="J328" s="83">
        <f t="shared" si="8"/>
        <v>0</v>
      </c>
      <c r="K328" s="466">
        <f t="shared" si="8"/>
        <v>-0.10054477177764849</v>
      </c>
      <c r="L328" s="84">
        <f t="shared" si="8"/>
        <v>0</v>
      </c>
    </row>
    <row r="329" spans="2:1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>
      <c r="B330" s="82" t="str">
        <f t="shared" si="8"/>
        <v>תקבולים ממשרד החינוך</v>
      </c>
      <c r="C330" s="86">
        <f t="shared" si="8"/>
        <v>66385</v>
      </c>
      <c r="D330" s="83">
        <f t="shared" si="8"/>
        <v>0</v>
      </c>
      <c r="E330" s="259">
        <f t="shared" si="8"/>
        <v>66385</v>
      </c>
      <c r="F330" s="83">
        <f t="shared" si="8"/>
        <v>0</v>
      </c>
      <c r="G330" s="86">
        <f t="shared" si="8"/>
        <v>65447</v>
      </c>
      <c r="H330" s="83">
        <f t="shared" si="8"/>
        <v>0</v>
      </c>
      <c r="I330" s="259">
        <f t="shared" si="8"/>
        <v>-938</v>
      </c>
      <c r="J330" s="83">
        <f t="shared" si="8"/>
        <v>0</v>
      </c>
      <c r="K330" s="260">
        <f t="shared" si="8"/>
        <v>-1.4129697973939896E-2</v>
      </c>
      <c r="L330" s="84">
        <f t="shared" si="8"/>
        <v>0</v>
      </c>
    </row>
    <row r="331" spans="2:12">
      <c r="B331" s="82" t="str">
        <f t="shared" si="8"/>
        <v>תקבולים ממשרד הרווחה</v>
      </c>
      <c r="C331" s="87">
        <f t="shared" si="8"/>
        <v>14492</v>
      </c>
      <c r="D331" s="83">
        <f t="shared" si="8"/>
        <v>0</v>
      </c>
      <c r="E331" s="261">
        <f t="shared" si="8"/>
        <v>14492</v>
      </c>
      <c r="F331" s="83">
        <f t="shared" si="8"/>
        <v>0</v>
      </c>
      <c r="G331" s="87">
        <f t="shared" si="8"/>
        <v>13465</v>
      </c>
      <c r="H331" s="83">
        <f t="shared" si="8"/>
        <v>0</v>
      </c>
      <c r="I331" s="261">
        <f t="shared" si="8"/>
        <v>-1027</v>
      </c>
      <c r="J331" s="83">
        <f t="shared" si="8"/>
        <v>0</v>
      </c>
      <c r="K331" s="262">
        <f t="shared" si="8"/>
        <v>-7.0866685067623517E-2</v>
      </c>
      <c r="L331" s="84">
        <f t="shared" si="8"/>
        <v>0</v>
      </c>
    </row>
    <row r="332" spans="2:12">
      <c r="B332" s="82" t="str">
        <f t="shared" si="8"/>
        <v>תקבולים ממשלתיים אחרים</v>
      </c>
      <c r="C332" s="87">
        <f t="shared" si="8"/>
        <v>2515</v>
      </c>
      <c r="D332" s="83">
        <f t="shared" si="8"/>
        <v>0</v>
      </c>
      <c r="E332" s="261">
        <f t="shared" si="8"/>
        <v>2515</v>
      </c>
      <c r="F332" s="83">
        <f t="shared" si="8"/>
        <v>0</v>
      </c>
      <c r="G332" s="87">
        <f t="shared" si="8"/>
        <v>1700</v>
      </c>
      <c r="H332" s="83">
        <f t="shared" si="8"/>
        <v>0</v>
      </c>
      <c r="I332" s="261">
        <f t="shared" si="8"/>
        <v>-815</v>
      </c>
      <c r="J332" s="83">
        <f t="shared" si="8"/>
        <v>0</v>
      </c>
      <c r="K332" s="262">
        <f t="shared" si="8"/>
        <v>-0.32405566600397612</v>
      </c>
      <c r="L332" s="84">
        <f t="shared" si="8"/>
        <v>0</v>
      </c>
    </row>
    <row r="333" spans="2:12">
      <c r="B333" s="82" t="str">
        <f t="shared" ref="B333:L342" si="9">B21</f>
        <v>מענק כללי לאיזון</v>
      </c>
      <c r="C333" s="87">
        <f t="shared" si="9"/>
        <v>23480</v>
      </c>
      <c r="D333" s="83">
        <f t="shared" si="9"/>
        <v>0</v>
      </c>
      <c r="E333" s="261">
        <f t="shared" si="9"/>
        <v>23480</v>
      </c>
      <c r="F333" s="83">
        <f t="shared" si="9"/>
        <v>0</v>
      </c>
      <c r="G333" s="87">
        <f t="shared" si="9"/>
        <v>23480</v>
      </c>
      <c r="H333" s="83">
        <f t="shared" si="9"/>
        <v>0</v>
      </c>
      <c r="I333" s="261">
        <f t="shared" si="9"/>
        <v>0</v>
      </c>
      <c r="J333" s="83">
        <f t="shared" si="9"/>
        <v>0</v>
      </c>
      <c r="K333" s="262">
        <f t="shared" si="9"/>
        <v>0</v>
      </c>
      <c r="L333" s="84">
        <f t="shared" si="9"/>
        <v>0</v>
      </c>
    </row>
    <row r="334" spans="2:12">
      <c r="B334" s="82" t="str">
        <f t="shared" si="9"/>
        <v>מענקים מיועדים</v>
      </c>
      <c r="C334" s="87">
        <f t="shared" si="9"/>
        <v>3239</v>
      </c>
      <c r="D334" s="83">
        <f t="shared" si="9"/>
        <v>0</v>
      </c>
      <c r="E334" s="261">
        <f t="shared" si="9"/>
        <v>3239</v>
      </c>
      <c r="F334" s="83">
        <f t="shared" si="9"/>
        <v>0</v>
      </c>
      <c r="G334" s="87">
        <f t="shared" si="9"/>
        <v>1868</v>
      </c>
      <c r="H334" s="83">
        <f t="shared" si="9"/>
        <v>0</v>
      </c>
      <c r="I334" s="261">
        <f t="shared" si="9"/>
        <v>-1371</v>
      </c>
      <c r="J334" s="83">
        <f t="shared" si="9"/>
        <v>0</v>
      </c>
      <c r="K334" s="262">
        <f t="shared" si="9"/>
        <v>-0.42327878974992283</v>
      </c>
      <c r="L334" s="84">
        <f t="shared" si="9"/>
        <v>0</v>
      </c>
    </row>
    <row r="335" spans="2:12" ht="12" customHeight="1">
      <c r="B335" s="82" t="str">
        <f t="shared" si="9"/>
        <v>תקבולים אחרים</v>
      </c>
      <c r="C335" s="87">
        <f t="shared" si="9"/>
        <v>875</v>
      </c>
      <c r="D335" s="83">
        <f t="shared" si="9"/>
        <v>0</v>
      </c>
      <c r="E335" s="261">
        <f t="shared" si="9"/>
        <v>875</v>
      </c>
      <c r="F335" s="83">
        <f t="shared" si="9"/>
        <v>0</v>
      </c>
      <c r="G335" s="87">
        <f t="shared" si="9"/>
        <v>6000</v>
      </c>
      <c r="H335" s="83">
        <f t="shared" si="9"/>
        <v>0</v>
      </c>
      <c r="I335" s="261">
        <f t="shared" si="9"/>
        <v>5125</v>
      </c>
      <c r="J335" s="83">
        <f t="shared" si="9"/>
        <v>0</v>
      </c>
      <c r="K335" s="262">
        <f t="shared" si="9"/>
        <v>5.8571428571428568</v>
      </c>
      <c r="L335" s="84"/>
    </row>
    <row r="336" spans="2:12" ht="2.25" hidden="1" customHeight="1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>
      <c r="B337" s="274" t="str">
        <f t="shared" si="9"/>
        <v>סה"כ הכנסות לפני כיסוי גרעון מצטבר והנחות בארנונה</v>
      </c>
      <c r="C337" s="264">
        <f t="shared" si="9"/>
        <v>148800</v>
      </c>
      <c r="D337" s="83">
        <f t="shared" si="9"/>
        <v>0</v>
      </c>
      <c r="E337" s="265">
        <f t="shared" si="9"/>
        <v>148800</v>
      </c>
      <c r="F337" s="83">
        <f t="shared" si="9"/>
        <v>0</v>
      </c>
      <c r="G337" s="264">
        <f t="shared" si="9"/>
        <v>145972</v>
      </c>
      <c r="H337" s="83">
        <f t="shared" si="9"/>
        <v>0</v>
      </c>
      <c r="I337" s="265">
        <f t="shared" si="9"/>
        <v>-2828</v>
      </c>
      <c r="J337" s="83">
        <f t="shared" si="9"/>
        <v>0</v>
      </c>
      <c r="K337" s="266">
        <f t="shared" si="9"/>
        <v>-1.9005376344086021E-2</v>
      </c>
      <c r="L337" s="84"/>
    </row>
    <row r="338" spans="2:12" ht="6.75" customHeight="1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26</v>
      </c>
      <c r="H340" s="83">
        <f t="shared" si="9"/>
        <v>0</v>
      </c>
      <c r="I340" s="529">
        <f t="shared" si="9"/>
        <v>26</v>
      </c>
      <c r="J340" s="83">
        <f t="shared" si="9"/>
        <v>0</v>
      </c>
      <c r="K340" s="530">
        <f t="shared" si="9"/>
        <v>0</v>
      </c>
      <c r="L340" s="84"/>
    </row>
    <row r="341" spans="2:12">
      <c r="B341" s="82" t="str">
        <f t="shared" si="9"/>
        <v>הנחות בארנונה (הכנסות)</v>
      </c>
      <c r="C341" s="87">
        <f t="shared" si="9"/>
        <v>15535</v>
      </c>
      <c r="D341" s="83">
        <f t="shared" si="9"/>
        <v>0</v>
      </c>
      <c r="E341" s="261">
        <f t="shared" si="9"/>
        <v>15535</v>
      </c>
      <c r="F341" s="83">
        <f t="shared" si="9"/>
        <v>0</v>
      </c>
      <c r="G341" s="87">
        <f t="shared" si="9"/>
        <v>16585</v>
      </c>
      <c r="H341" s="83">
        <f t="shared" si="9"/>
        <v>0</v>
      </c>
      <c r="I341" s="261">
        <f t="shared" si="9"/>
        <v>1050</v>
      </c>
      <c r="J341" s="83">
        <f t="shared" si="9"/>
        <v>0</v>
      </c>
      <c r="K341" s="262">
        <f t="shared" si="9"/>
        <v>6.7589314451239141E-2</v>
      </c>
      <c r="L341" s="84"/>
    </row>
    <row r="342" spans="2:12" ht="12.75" customHeight="1" thickBot="1">
      <c r="B342" s="82" t="str">
        <f t="shared" si="9"/>
        <v>סה"כ הכנסות</v>
      </c>
      <c r="C342" s="88">
        <f t="shared" si="9"/>
        <v>164335</v>
      </c>
      <c r="D342" s="83">
        <f t="shared" si="9"/>
        <v>0</v>
      </c>
      <c r="E342" s="88">
        <f t="shared" si="9"/>
        <v>164335</v>
      </c>
      <c r="F342" s="83">
        <f t="shared" si="9"/>
        <v>0</v>
      </c>
      <c r="G342" s="88">
        <f t="shared" si="9"/>
        <v>162583</v>
      </c>
      <c r="H342" s="83">
        <f t="shared" si="9"/>
        <v>0</v>
      </c>
      <c r="I342" s="88">
        <f t="shared" si="9"/>
        <v>-1752</v>
      </c>
      <c r="J342" s="83">
        <f t="shared" si="9"/>
        <v>0</v>
      </c>
      <c r="K342" s="467">
        <f t="shared" si="9"/>
        <v>-1.0661149481242584E-2</v>
      </c>
      <c r="L342" s="84">
        <f t="shared" si="9"/>
        <v>0</v>
      </c>
    </row>
    <row r="343" spans="2:12" ht="12" customHeight="1" thickTop="1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>
      <c r="B346" s="82" t="str">
        <f t="shared" ref="B346:L346" si="11">B32</f>
        <v>הוצאות שכר כללי</v>
      </c>
      <c r="C346" s="86">
        <f t="shared" si="11"/>
        <v>20503</v>
      </c>
      <c r="D346" s="83">
        <f t="shared" si="11"/>
        <v>0</v>
      </c>
      <c r="E346" s="259">
        <f t="shared" si="11"/>
        <v>20503</v>
      </c>
      <c r="F346" s="83">
        <f t="shared" si="11"/>
        <v>0</v>
      </c>
      <c r="G346" s="86">
        <f t="shared" si="11"/>
        <v>19621</v>
      </c>
      <c r="H346" s="83">
        <f t="shared" si="11"/>
        <v>0</v>
      </c>
      <c r="I346" s="259">
        <f t="shared" si="11"/>
        <v>-882</v>
      </c>
      <c r="J346" s="83">
        <f t="shared" si="11"/>
        <v>0</v>
      </c>
      <c r="K346" s="260">
        <f t="shared" si="11"/>
        <v>-4.3018094912939571E-2</v>
      </c>
      <c r="L346" s="84">
        <f t="shared" si="11"/>
        <v>0</v>
      </c>
    </row>
    <row r="347" spans="2:12">
      <c r="B347" s="82" t="str">
        <f t="shared" ref="B347:L347" si="12">B33</f>
        <v>פעולות כלליות</v>
      </c>
      <c r="C347" s="87">
        <f t="shared" si="12"/>
        <v>29765</v>
      </c>
      <c r="D347" s="83">
        <f t="shared" si="12"/>
        <v>0</v>
      </c>
      <c r="E347" s="261">
        <f t="shared" si="12"/>
        <v>29765</v>
      </c>
      <c r="F347" s="83">
        <f t="shared" si="12"/>
        <v>0</v>
      </c>
      <c r="G347" s="87">
        <f t="shared" si="12"/>
        <v>23909</v>
      </c>
      <c r="H347" s="83">
        <f t="shared" si="12"/>
        <v>0</v>
      </c>
      <c r="I347" s="261">
        <f t="shared" si="12"/>
        <v>-5856</v>
      </c>
      <c r="J347" s="83">
        <f t="shared" si="12"/>
        <v>0</v>
      </c>
      <c r="K347" s="262">
        <f t="shared" si="12"/>
        <v>-0.19674113892155215</v>
      </c>
      <c r="L347" s="84">
        <f t="shared" si="12"/>
        <v>0</v>
      </c>
    </row>
    <row r="348" spans="2:1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>
      <c r="B349" s="82" t="str">
        <f t="shared" ref="B349:L349" si="14">B35</f>
        <v>סה"כ כלליות</v>
      </c>
      <c r="C349" s="88">
        <f t="shared" si="14"/>
        <v>50268</v>
      </c>
      <c r="D349" s="83">
        <f t="shared" si="14"/>
        <v>0</v>
      </c>
      <c r="E349" s="88">
        <f t="shared" si="14"/>
        <v>50268</v>
      </c>
      <c r="F349" s="83">
        <f t="shared" si="14"/>
        <v>0</v>
      </c>
      <c r="G349" s="88">
        <f t="shared" si="14"/>
        <v>43530</v>
      </c>
      <c r="H349" s="83">
        <f t="shared" si="14"/>
        <v>0</v>
      </c>
      <c r="I349" s="88">
        <f t="shared" si="14"/>
        <v>-6738</v>
      </c>
      <c r="J349" s="83">
        <f t="shared" si="14"/>
        <v>0</v>
      </c>
      <c r="K349" s="268">
        <f t="shared" si="14"/>
        <v>-0.13404153735975174</v>
      </c>
      <c r="L349" s="84">
        <f t="shared" si="14"/>
        <v>0</v>
      </c>
    </row>
    <row r="350" spans="2:1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>
      <c r="B351" s="82" t="str">
        <f t="shared" ref="B351:L366" si="16">B37</f>
        <v>שכר עובדי חינוך</v>
      </c>
      <c r="C351" s="86">
        <f t="shared" si="16"/>
        <v>47004</v>
      </c>
      <c r="D351" s="83">
        <f t="shared" si="16"/>
        <v>0</v>
      </c>
      <c r="E351" s="259">
        <f t="shared" si="16"/>
        <v>47004</v>
      </c>
      <c r="F351" s="83">
        <f t="shared" si="16"/>
        <v>0</v>
      </c>
      <c r="G351" s="86">
        <f t="shared" si="16"/>
        <v>49779</v>
      </c>
      <c r="H351" s="83">
        <f t="shared" si="16"/>
        <v>0</v>
      </c>
      <c r="I351" s="259">
        <f t="shared" si="16"/>
        <v>2775</v>
      </c>
      <c r="J351" s="83">
        <f t="shared" si="16"/>
        <v>0</v>
      </c>
      <c r="K351" s="260">
        <f t="shared" si="16"/>
        <v>5.9037528720959916E-2</v>
      </c>
      <c r="L351" s="84">
        <f t="shared" si="16"/>
        <v>0</v>
      </c>
    </row>
    <row r="352" spans="2:12">
      <c r="B352" s="82" t="str">
        <f t="shared" si="16"/>
        <v>פעולות חינוך</v>
      </c>
      <c r="C352" s="87">
        <f t="shared" si="16"/>
        <v>28083</v>
      </c>
      <c r="D352" s="83">
        <f t="shared" si="16"/>
        <v>0</v>
      </c>
      <c r="E352" s="261">
        <f t="shared" si="16"/>
        <v>28083</v>
      </c>
      <c r="F352" s="83">
        <f t="shared" si="16"/>
        <v>0</v>
      </c>
      <c r="G352" s="87">
        <f t="shared" si="16"/>
        <v>24716</v>
      </c>
      <c r="H352" s="83">
        <f t="shared" si="16"/>
        <v>0</v>
      </c>
      <c r="I352" s="261">
        <f t="shared" si="16"/>
        <v>-3367</v>
      </c>
      <c r="J352" s="83">
        <f t="shared" si="16"/>
        <v>0</v>
      </c>
      <c r="K352" s="262">
        <f t="shared" si="16"/>
        <v>-0.11989459815546773</v>
      </c>
      <c r="L352" s="84">
        <f t="shared" si="16"/>
        <v>0</v>
      </c>
    </row>
    <row r="353" spans="2:12">
      <c r="B353" s="82" t="str">
        <f t="shared" si="16"/>
        <v>סה"כ חינוך</v>
      </c>
      <c r="C353" s="88">
        <f t="shared" si="16"/>
        <v>75087</v>
      </c>
      <c r="D353" s="83">
        <f t="shared" si="16"/>
        <v>0</v>
      </c>
      <c r="E353" s="88">
        <f t="shared" si="16"/>
        <v>75087</v>
      </c>
      <c r="F353" s="83">
        <f t="shared" si="16"/>
        <v>0</v>
      </c>
      <c r="G353" s="88">
        <f t="shared" si="16"/>
        <v>74495</v>
      </c>
      <c r="H353" s="83">
        <f t="shared" si="16"/>
        <v>0</v>
      </c>
      <c r="I353" s="88">
        <f t="shared" si="16"/>
        <v>-592</v>
      </c>
      <c r="J353" s="83">
        <f t="shared" si="16"/>
        <v>0</v>
      </c>
      <c r="K353" s="269">
        <f t="shared" si="16"/>
        <v>-7.8841876756296034E-3</v>
      </c>
      <c r="L353" s="84">
        <f t="shared" si="16"/>
        <v>0</v>
      </c>
    </row>
    <row r="354" spans="2:12">
      <c r="B354" s="82" t="str">
        <f t="shared" si="16"/>
        <v>שכר עובדי רווחה</v>
      </c>
      <c r="C354" s="86">
        <f t="shared" si="16"/>
        <v>6379</v>
      </c>
      <c r="D354" s="83">
        <f t="shared" si="16"/>
        <v>0</v>
      </c>
      <c r="E354" s="259">
        <f t="shared" si="16"/>
        <v>6379</v>
      </c>
      <c r="F354" s="83">
        <f t="shared" si="16"/>
        <v>0</v>
      </c>
      <c r="G354" s="86">
        <f t="shared" si="16"/>
        <v>5850</v>
      </c>
      <c r="H354" s="83">
        <f t="shared" si="16"/>
        <v>0</v>
      </c>
      <c r="I354" s="259">
        <f t="shared" si="16"/>
        <v>-529</v>
      </c>
      <c r="J354" s="83">
        <f t="shared" si="16"/>
        <v>0</v>
      </c>
      <c r="K354" s="262">
        <f t="shared" si="16"/>
        <v>-8.2928358676908606E-2</v>
      </c>
      <c r="L354" s="84">
        <f t="shared" si="16"/>
        <v>0</v>
      </c>
    </row>
    <row r="355" spans="2:12">
      <c r="B355" s="82" t="str">
        <f t="shared" si="16"/>
        <v>פעולות רווחה</v>
      </c>
      <c r="C355" s="87">
        <f t="shared" si="16"/>
        <v>12984</v>
      </c>
      <c r="D355" s="83">
        <f t="shared" si="16"/>
        <v>0</v>
      </c>
      <c r="E355" s="261">
        <f t="shared" si="16"/>
        <v>12984</v>
      </c>
      <c r="F355" s="83">
        <f t="shared" si="16"/>
        <v>0</v>
      </c>
      <c r="G355" s="87">
        <f t="shared" si="16"/>
        <v>12280</v>
      </c>
      <c r="H355" s="83">
        <f t="shared" si="16"/>
        <v>0</v>
      </c>
      <c r="I355" s="261">
        <f t="shared" si="16"/>
        <v>-704</v>
      </c>
      <c r="J355" s="83">
        <f t="shared" si="16"/>
        <v>0</v>
      </c>
      <c r="K355" s="262">
        <f t="shared" si="16"/>
        <v>-5.4220579174368455E-2</v>
      </c>
      <c r="L355" s="84">
        <f t="shared" si="16"/>
        <v>0</v>
      </c>
    </row>
    <row r="356" spans="2:12">
      <c r="B356" s="82" t="str">
        <f t="shared" si="16"/>
        <v>סה"כ רווחה</v>
      </c>
      <c r="C356" s="270">
        <f t="shared" si="16"/>
        <v>19363</v>
      </c>
      <c r="D356" s="83">
        <f t="shared" si="16"/>
        <v>0</v>
      </c>
      <c r="E356" s="270">
        <f t="shared" si="16"/>
        <v>19363</v>
      </c>
      <c r="F356" s="83">
        <f t="shared" si="16"/>
        <v>0</v>
      </c>
      <c r="G356" s="270">
        <f t="shared" si="16"/>
        <v>18130</v>
      </c>
      <c r="H356" s="83">
        <f t="shared" si="16"/>
        <v>0</v>
      </c>
      <c r="I356" s="270">
        <f t="shared" si="16"/>
        <v>-1233</v>
      </c>
      <c r="J356" s="83">
        <f t="shared" si="16"/>
        <v>0</v>
      </c>
      <c r="K356" s="271">
        <f t="shared" si="16"/>
        <v>-6.3678149047151786E-2</v>
      </c>
      <c r="L356" s="84">
        <f t="shared" si="16"/>
        <v>0</v>
      </c>
    </row>
    <row r="357" spans="2:12" ht="4.5" customHeight="1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144718</v>
      </c>
      <c r="D358" s="83">
        <f t="shared" si="16"/>
        <v>0</v>
      </c>
      <c r="E358" s="88">
        <f t="shared" si="16"/>
        <v>144718</v>
      </c>
      <c r="F358" s="83">
        <f t="shared" si="16"/>
        <v>0</v>
      </c>
      <c r="G358" s="88">
        <f t="shared" si="16"/>
        <v>136155</v>
      </c>
      <c r="H358" s="83">
        <f t="shared" si="16"/>
        <v>0</v>
      </c>
      <c r="I358" s="88">
        <f t="shared" si="16"/>
        <v>-8563</v>
      </c>
      <c r="J358" s="83">
        <f t="shared" si="16"/>
        <v>0</v>
      </c>
      <c r="K358" s="269">
        <f t="shared" si="16"/>
        <v>-5.9170248345057283E-2</v>
      </c>
      <c r="L358" s="84"/>
    </row>
    <row r="359" spans="2:12">
      <c r="B359" s="82" t="str">
        <f t="shared" si="16"/>
        <v>פרעון מלוות מים וביוב</v>
      </c>
      <c r="C359" s="86">
        <f t="shared" si="16"/>
        <v>0</v>
      </c>
      <c r="D359" s="83">
        <f t="shared" si="16"/>
        <v>0</v>
      </c>
      <c r="E359" s="259">
        <f t="shared" si="16"/>
        <v>0</v>
      </c>
      <c r="F359" s="83">
        <f t="shared" si="16"/>
        <v>0</v>
      </c>
      <c r="G359" s="86">
        <f t="shared" si="16"/>
        <v>5875</v>
      </c>
      <c r="H359" s="83">
        <f t="shared" si="16"/>
        <v>0</v>
      </c>
      <c r="I359" s="259">
        <f t="shared" si="16"/>
        <v>5875</v>
      </c>
      <c r="J359" s="83">
        <f t="shared" si="16"/>
        <v>0</v>
      </c>
      <c r="K359" s="260">
        <f t="shared" si="16"/>
        <v>0</v>
      </c>
      <c r="L359" s="84">
        <f>L45</f>
        <v>0</v>
      </c>
    </row>
    <row r="360" spans="2:1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>
      <c r="B361" s="82" t="str">
        <f t="shared" si="16"/>
        <v>סה"כ פרעון מלוות</v>
      </c>
      <c r="C361" s="88">
        <f t="shared" si="16"/>
        <v>0</v>
      </c>
      <c r="D361" s="83">
        <f t="shared" si="16"/>
        <v>0</v>
      </c>
      <c r="E361" s="88">
        <f t="shared" si="16"/>
        <v>0</v>
      </c>
      <c r="F361" s="83">
        <f t="shared" si="16"/>
        <v>0</v>
      </c>
      <c r="G361" s="88">
        <f t="shared" si="16"/>
        <v>5875</v>
      </c>
      <c r="H361" s="83">
        <f t="shared" si="16"/>
        <v>0</v>
      </c>
      <c r="I361" s="88">
        <f t="shared" si="16"/>
        <v>5875</v>
      </c>
      <c r="J361" s="83">
        <f t="shared" si="16"/>
        <v>0</v>
      </c>
      <c r="K361" s="269">
        <f t="shared" si="16"/>
        <v>0</v>
      </c>
      <c r="L361" s="84">
        <f>L47</f>
        <v>0</v>
      </c>
    </row>
    <row r="362" spans="2:12" ht="4.5" customHeight="1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>
      <c r="B363" s="82" t="str">
        <f t="shared" si="16"/>
        <v>הוצאות מימון</v>
      </c>
      <c r="C363" s="86">
        <f t="shared" si="16"/>
        <v>445</v>
      </c>
      <c r="D363" s="83">
        <f t="shared" si="16"/>
        <v>0</v>
      </c>
      <c r="E363" s="259">
        <f t="shared" si="16"/>
        <v>445</v>
      </c>
      <c r="F363" s="83">
        <f t="shared" si="16"/>
        <v>0</v>
      </c>
      <c r="G363" s="86">
        <f t="shared" si="16"/>
        <v>181</v>
      </c>
      <c r="H363" s="83">
        <f t="shared" si="16"/>
        <v>0</v>
      </c>
      <c r="I363" s="259">
        <f t="shared" si="16"/>
        <v>-264</v>
      </c>
      <c r="J363" s="83">
        <f t="shared" si="16"/>
        <v>0</v>
      </c>
      <c r="K363" s="260">
        <f t="shared" si="16"/>
        <v>-0.59325842696629216</v>
      </c>
      <c r="L363" s="84">
        <f>L49</f>
        <v>0</v>
      </c>
    </row>
    <row r="364" spans="2:12">
      <c r="B364" s="277" t="str">
        <f t="shared" si="16"/>
        <v>העברות והוצאות חד פעמיות</v>
      </c>
      <c r="C364" s="87">
        <f t="shared" si="16"/>
        <v>3672</v>
      </c>
      <c r="D364" s="83">
        <f t="shared" si="16"/>
        <v>0</v>
      </c>
      <c r="E364" s="261">
        <f t="shared" si="16"/>
        <v>3672</v>
      </c>
      <c r="F364" s="83">
        <f t="shared" si="16"/>
        <v>0</v>
      </c>
      <c r="G364" s="87">
        <f t="shared" si="16"/>
        <v>3511</v>
      </c>
      <c r="H364" s="83">
        <f t="shared" si="16"/>
        <v>0</v>
      </c>
      <c r="I364" s="261">
        <f t="shared" si="16"/>
        <v>-161</v>
      </c>
      <c r="J364" s="83">
        <f t="shared" si="16"/>
        <v>0</v>
      </c>
      <c r="K364" s="262">
        <f t="shared" si="16"/>
        <v>-4.3845315904139433E-2</v>
      </c>
      <c r="L364" s="84">
        <f>L50</f>
        <v>0</v>
      </c>
    </row>
    <row r="365" spans="2:12" ht="26.25" customHeight="1">
      <c r="B365" s="277" t="str">
        <f t="shared" si="16"/>
        <v>סה"כ הוצאות לפני כיסוי גרעון מצטבר והנחות בארנונה</v>
      </c>
      <c r="C365" s="264">
        <f t="shared" si="16"/>
        <v>148835</v>
      </c>
      <c r="D365" s="83">
        <f t="shared" si="16"/>
        <v>0</v>
      </c>
      <c r="E365" s="265">
        <f t="shared" si="16"/>
        <v>148835</v>
      </c>
      <c r="F365" s="83">
        <f t="shared" si="16"/>
        <v>0</v>
      </c>
      <c r="G365" s="264">
        <f t="shared" si="16"/>
        <v>145722</v>
      </c>
      <c r="H365" s="83">
        <f t="shared" si="16"/>
        <v>0</v>
      </c>
      <c r="I365" s="265">
        <f t="shared" si="16"/>
        <v>-3113</v>
      </c>
      <c r="J365" s="83">
        <f t="shared" si="16"/>
        <v>0</v>
      </c>
      <c r="K365" s="266">
        <f t="shared" si="16"/>
        <v>-2.0915779218597778E-2</v>
      </c>
      <c r="L365" s="84"/>
    </row>
    <row r="366" spans="2:12" ht="4.5" customHeight="1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26</v>
      </c>
      <c r="H367" s="83">
        <f t="shared" si="17"/>
        <v>0</v>
      </c>
      <c r="I367" s="261">
        <f t="shared" si="17"/>
        <v>26</v>
      </c>
      <c r="J367" s="83">
        <f t="shared" si="17"/>
        <v>0</v>
      </c>
      <c r="K367" s="262">
        <f t="shared" si="17"/>
        <v>0</v>
      </c>
      <c r="L367" s="84"/>
    </row>
    <row r="368" spans="2:12">
      <c r="B368" s="277" t="str">
        <f t="shared" si="17"/>
        <v>הנחות בארנונה (הוצאות)</v>
      </c>
      <c r="C368" s="87">
        <f t="shared" si="17"/>
        <v>15500</v>
      </c>
      <c r="D368" s="83">
        <f t="shared" si="17"/>
        <v>0</v>
      </c>
      <c r="E368" s="261">
        <f t="shared" si="17"/>
        <v>15500</v>
      </c>
      <c r="F368" s="83">
        <f t="shared" si="17"/>
        <v>0</v>
      </c>
      <c r="G368" s="87">
        <f t="shared" si="17"/>
        <v>16546</v>
      </c>
      <c r="H368" s="83">
        <f t="shared" si="17"/>
        <v>0</v>
      </c>
      <c r="I368" s="261">
        <f t="shared" si="17"/>
        <v>1046</v>
      </c>
      <c r="J368" s="83">
        <f t="shared" si="17"/>
        <v>0</v>
      </c>
      <c r="K368" s="262">
        <f t="shared" si="17"/>
        <v>6.748387096774193E-2</v>
      </c>
      <c r="L368" s="84"/>
    </row>
    <row r="369" spans="2:12" ht="13" thickBot="1">
      <c r="B369" s="82" t="str">
        <f t="shared" si="17"/>
        <v>סה"כ הוצאות</v>
      </c>
      <c r="C369" s="88">
        <f t="shared" si="17"/>
        <v>164335</v>
      </c>
      <c r="D369" s="83">
        <f t="shared" si="17"/>
        <v>0</v>
      </c>
      <c r="E369" s="88">
        <f t="shared" si="17"/>
        <v>164335</v>
      </c>
      <c r="F369" s="83">
        <f t="shared" si="17"/>
        <v>0</v>
      </c>
      <c r="G369" s="88">
        <f t="shared" si="17"/>
        <v>162294</v>
      </c>
      <c r="H369" s="83">
        <f t="shared" si="17"/>
        <v>0</v>
      </c>
      <c r="I369" s="88">
        <f t="shared" si="17"/>
        <v>-2041</v>
      </c>
      <c r="J369" s="83">
        <f t="shared" si="17"/>
        <v>0</v>
      </c>
      <c r="K369" s="267">
        <f t="shared" si="17"/>
        <v>-1.2419752335169015E-2</v>
      </c>
      <c r="L369" s="84">
        <f>L55</f>
        <v>0</v>
      </c>
    </row>
    <row r="370" spans="2:12" ht="13" thickTop="1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" thickBot="1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289</v>
      </c>
      <c r="H371" s="83">
        <f t="shared" si="17"/>
        <v>0</v>
      </c>
      <c r="I371" s="95">
        <f t="shared" si="17"/>
        <v>289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" thickTop="1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>
      <c r="B374" s="58"/>
    </row>
    <row r="375" spans="2:1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5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ColWidth="9.1796875" defaultRowHeight="12.5"/>
  <cols>
    <col min="1" max="1" width="9.1796875" style="42"/>
    <col min="2" max="2" width="26" style="42" customWidth="1"/>
    <col min="3" max="3" width="11.54296875" style="42" customWidth="1"/>
    <col min="4" max="4" width="14.26953125" style="42" customWidth="1"/>
    <col min="5" max="5" width="2.7265625" style="42" customWidth="1"/>
    <col min="6" max="6" width="14.26953125" style="42" customWidth="1"/>
    <col min="7" max="7" width="2.81640625" style="42" customWidth="1"/>
    <col min="8" max="8" width="10.26953125" style="42" customWidth="1"/>
    <col min="9" max="16384" width="9.1796875" style="42"/>
  </cols>
  <sheetData>
    <row r="1" spans="1:8" ht="19" thickTop="1" thickBot="1">
      <c r="A1" s="41"/>
      <c r="B1" s="41"/>
      <c r="C1" s="635" t="str">
        <f>GufMevukar</f>
        <v>עיריית באקה אלגרבייה</v>
      </c>
      <c r="D1" s="628"/>
      <c r="E1" s="628"/>
      <c r="F1" s="628"/>
      <c r="G1" s="628"/>
      <c r="H1" s="629"/>
    </row>
    <row r="2" spans="1:8" ht="15.75" customHeight="1" thickTop="1" thickBot="1">
      <c r="A2" s="41"/>
      <c r="B2" s="41"/>
      <c r="C2" s="635" t="s">
        <v>827</v>
      </c>
      <c r="D2" s="628"/>
      <c r="E2" s="628"/>
      <c r="F2" s="628"/>
      <c r="G2" s="628"/>
      <c r="H2" s="629"/>
    </row>
    <row r="3" spans="1:8" ht="19" thickTop="1" thickBot="1">
      <c r="A3" s="41"/>
      <c r="B3" s="41"/>
      <c r="C3" s="627" t="str">
        <f>ReportPeriod</f>
        <v>לתקופה: רבעון 4, שנת 2017</v>
      </c>
      <c r="D3" s="628"/>
      <c r="E3" s="628"/>
      <c r="F3" s="628"/>
      <c r="G3" s="628"/>
      <c r="H3" s="629"/>
    </row>
    <row r="4" spans="1:8" ht="13.5" thickTop="1">
      <c r="A4" s="59" t="s">
        <v>584</v>
      </c>
      <c r="B4" s="43"/>
      <c r="C4" s="43"/>
      <c r="D4" s="43"/>
      <c r="E4" s="43"/>
      <c r="F4" s="43"/>
      <c r="G4" s="43"/>
      <c r="H4" s="44"/>
    </row>
    <row r="5" spans="1:8">
      <c r="A5" s="43"/>
      <c r="B5" s="43"/>
      <c r="C5" s="43"/>
      <c r="D5" s="43"/>
      <c r="E5" s="43"/>
      <c r="F5" s="43"/>
      <c r="G5" s="43"/>
      <c r="H5" s="44"/>
    </row>
    <row r="6" spans="1:8" ht="13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>
      <c r="A7" s="43"/>
      <c r="B7" s="46"/>
      <c r="C7" s="47"/>
      <c r="D7" s="47"/>
      <c r="E7" s="47"/>
      <c r="F7" s="47"/>
      <c r="G7" s="61"/>
      <c r="H7" s="44"/>
    </row>
    <row r="8" spans="1:8" ht="15.5">
      <c r="A8" s="43"/>
      <c r="B8" s="62" t="s">
        <v>828</v>
      </c>
      <c r="C8" s="47"/>
      <c r="D8" s="47"/>
      <c r="E8" s="47"/>
      <c r="F8" s="47"/>
      <c r="G8" s="61"/>
      <c r="H8" s="44"/>
    </row>
    <row r="9" spans="1:8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ht="13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>
      <c r="A12" s="43"/>
      <c r="B12" s="46" t="s">
        <v>832</v>
      </c>
      <c r="C12" s="47"/>
      <c r="D12" s="50">
        <v>1871</v>
      </c>
      <c r="E12" s="47"/>
      <c r="F12" s="118">
        <v>3699</v>
      </c>
      <c r="G12" s="61"/>
      <c r="H12" s="44"/>
    </row>
    <row r="13" spans="1:8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>
      <c r="A14" s="43"/>
      <c r="B14" s="46" t="s">
        <v>834</v>
      </c>
      <c r="C14" s="47"/>
      <c r="D14" s="50">
        <v>4362</v>
      </c>
      <c r="E14" s="47"/>
      <c r="F14" s="118">
        <v>4946</v>
      </c>
      <c r="G14" s="61"/>
      <c r="H14" s="44"/>
    </row>
    <row r="15" spans="1:8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>
      <c r="A18" s="43"/>
      <c r="B18" s="46" t="s">
        <v>838</v>
      </c>
      <c r="C18" s="47"/>
      <c r="D18" s="50">
        <v>458</v>
      </c>
      <c r="E18" s="47"/>
      <c r="F18" s="118"/>
      <c r="G18" s="61"/>
      <c r="H18" s="44"/>
    </row>
    <row r="19" spans="1:8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>
      <c r="A21" s="43"/>
      <c r="B21" s="46" t="s">
        <v>841</v>
      </c>
      <c r="C21" s="47"/>
      <c r="D21" s="50">
        <v>152</v>
      </c>
      <c r="E21" s="47"/>
      <c r="F21" s="118">
        <v>307</v>
      </c>
      <c r="G21" s="61"/>
      <c r="H21" s="44"/>
    </row>
    <row r="22" spans="1:8">
      <c r="A22" s="43"/>
      <c r="B22" s="46" t="s">
        <v>842</v>
      </c>
      <c r="C22" s="47"/>
      <c r="D22" s="50">
        <v>2022</v>
      </c>
      <c r="E22" s="47"/>
      <c r="F22" s="118">
        <f>553+123</f>
        <v>676</v>
      </c>
      <c r="G22" s="61"/>
      <c r="H22" s="44"/>
    </row>
    <row r="23" spans="1:8">
      <c r="A23" s="43"/>
      <c r="B23" s="46" t="s">
        <v>843</v>
      </c>
      <c r="C23" s="47"/>
      <c r="D23" s="51">
        <f>SUM(D12:D22)</f>
        <v>8865</v>
      </c>
      <c r="E23" s="47"/>
      <c r="F23" s="51">
        <f>SUM(F12:F22)</f>
        <v>9628</v>
      </c>
      <c r="G23" s="61"/>
      <c r="H23" s="44"/>
    </row>
    <row r="24" spans="1:8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>
      <c r="A25" s="43"/>
      <c r="B25" s="46" t="s">
        <v>845</v>
      </c>
      <c r="C25" s="47"/>
      <c r="D25" s="50">
        <f>1764+64</f>
        <v>1828</v>
      </c>
      <c r="E25" s="47"/>
      <c r="F25" s="118">
        <f>993+1372+600</f>
        <v>2965</v>
      </c>
      <c r="G25" s="61"/>
      <c r="H25" s="44"/>
    </row>
    <row r="26" spans="1:8">
      <c r="A26" s="43"/>
      <c r="B26" s="46" t="s">
        <v>862</v>
      </c>
      <c r="C26" s="47"/>
      <c r="D26" s="50">
        <v>700</v>
      </c>
      <c r="E26" s="47"/>
      <c r="F26" s="118">
        <v>600</v>
      </c>
      <c r="G26" s="61"/>
      <c r="H26" s="44"/>
    </row>
    <row r="27" spans="1:8">
      <c r="A27" s="43"/>
      <c r="B27" s="65" t="s">
        <v>863</v>
      </c>
      <c r="C27" s="47"/>
      <c r="D27" s="50">
        <v>450</v>
      </c>
      <c r="E27" s="47"/>
      <c r="F27" s="118">
        <v>487</v>
      </c>
      <c r="G27" s="61"/>
      <c r="H27" s="44"/>
    </row>
    <row r="28" spans="1:8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>
      <c r="A30" s="43"/>
      <c r="B30" s="46" t="s">
        <v>866</v>
      </c>
      <c r="C30" s="47"/>
      <c r="D30" s="51">
        <f>D9+D10+D23+D24+D25+D26+D27+D28+D29</f>
        <v>11843</v>
      </c>
      <c r="E30" s="47"/>
      <c r="F30" s="51">
        <f>F9+F10+F23+F24+F25+F26+F27+F28+F29</f>
        <v>13680</v>
      </c>
      <c r="G30" s="61"/>
      <c r="H30" s="44"/>
    </row>
    <row r="31" spans="1:8">
      <c r="A31" s="43"/>
      <c r="B31" s="46"/>
      <c r="C31" s="47"/>
      <c r="D31" s="47"/>
      <c r="E31" s="47"/>
      <c r="F31" s="47"/>
      <c r="G31" s="61"/>
      <c r="H31" s="44"/>
    </row>
    <row r="32" spans="1:8" ht="15.5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>
      <c r="A33" s="43"/>
      <c r="B33" s="46" t="s">
        <v>868</v>
      </c>
      <c r="C33" s="47"/>
      <c r="D33" s="50">
        <f>11987+391+385</f>
        <v>12763</v>
      </c>
      <c r="E33" s="47"/>
      <c r="F33" s="118">
        <v>7719</v>
      </c>
      <c r="G33" s="61"/>
      <c r="H33" s="44"/>
    </row>
    <row r="34" spans="1:8">
      <c r="A34" s="43"/>
      <c r="B34" s="46" t="s">
        <v>869</v>
      </c>
      <c r="C34" s="47"/>
      <c r="D34" s="78">
        <f>921+174+66+66+30+787</f>
        <v>2044</v>
      </c>
      <c r="E34" s="47"/>
      <c r="F34" s="177">
        <f>12284-7719-97</f>
        <v>4468</v>
      </c>
      <c r="G34" s="61"/>
      <c r="H34" s="44"/>
    </row>
    <row r="35" spans="1:8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>
      <c r="A37" s="43"/>
      <c r="B37" s="46" t="s">
        <v>872</v>
      </c>
      <c r="C37" s="47"/>
      <c r="D37" s="50"/>
      <c r="E37" s="47"/>
      <c r="F37" s="118">
        <v>97</v>
      </c>
      <c r="G37" s="61"/>
      <c r="H37" s="44"/>
    </row>
    <row r="38" spans="1:8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>
      <c r="A39" s="43"/>
      <c r="B39" s="46" t="s">
        <v>874</v>
      </c>
      <c r="C39" s="47"/>
      <c r="D39" s="51">
        <f>SUM(D33:D38)</f>
        <v>14807</v>
      </c>
      <c r="E39" s="47"/>
      <c r="F39" s="51">
        <f>SUM(F33:F38)</f>
        <v>12284</v>
      </c>
      <c r="G39" s="61"/>
      <c r="H39" s="44"/>
    </row>
    <row r="40" spans="1:8">
      <c r="A40" s="43"/>
      <c r="B40" s="46"/>
      <c r="C40" s="47"/>
      <c r="D40" s="47"/>
      <c r="E40" s="47"/>
      <c r="F40" s="47"/>
      <c r="G40" s="61"/>
      <c r="H40" s="44"/>
    </row>
    <row r="41" spans="1:8" ht="13" thickBot="1">
      <c r="A41" s="43"/>
      <c r="B41" s="65" t="s">
        <v>619</v>
      </c>
      <c r="C41" s="47"/>
      <c r="D41" s="52">
        <f>D30-D39</f>
        <v>-2964</v>
      </c>
      <c r="E41" s="47"/>
      <c r="F41" s="72">
        <f>F30-F39</f>
        <v>1396</v>
      </c>
      <c r="G41" s="61"/>
      <c r="H41" s="44"/>
    </row>
    <row r="42" spans="1:8" ht="13" thickTop="1">
      <c r="A42" s="43"/>
      <c r="B42" s="46"/>
      <c r="C42" s="47"/>
      <c r="D42" s="47"/>
      <c r="E42" s="47"/>
      <c r="F42" s="47"/>
      <c r="G42" s="61"/>
      <c r="H42" s="44"/>
    </row>
    <row r="43" spans="1:8" ht="13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>
      <c r="A44" s="43"/>
      <c r="B44" s="46" t="s">
        <v>876</v>
      </c>
      <c r="C44" s="47"/>
      <c r="D44" s="50">
        <v>57793</v>
      </c>
      <c r="E44" s="47"/>
      <c r="F44" s="118">
        <v>65649</v>
      </c>
      <c r="G44" s="61"/>
      <c r="H44" s="44"/>
    </row>
    <row r="45" spans="1:8">
      <c r="A45" s="43"/>
      <c r="B45" s="46" t="s">
        <v>877</v>
      </c>
      <c r="C45" s="47"/>
      <c r="D45" s="50">
        <v>60517</v>
      </c>
      <c r="E45" s="47"/>
      <c r="F45" s="118">
        <v>69769</v>
      </c>
      <c r="G45" s="61"/>
      <c r="H45" s="44"/>
    </row>
    <row r="46" spans="1:8" ht="13" thickBot="1">
      <c r="A46" s="43"/>
      <c r="B46" s="46" t="s">
        <v>878</v>
      </c>
      <c r="C46" s="47"/>
      <c r="D46" s="72">
        <f>D44-D45</f>
        <v>-2724</v>
      </c>
      <c r="E46" s="47"/>
      <c r="F46" s="72">
        <f>F44-F45</f>
        <v>-4120</v>
      </c>
      <c r="G46" s="61"/>
      <c r="H46" s="44"/>
    </row>
    <row r="47" spans="1:8" ht="13" thickTop="1">
      <c r="A47" s="43"/>
      <c r="B47" s="46"/>
      <c r="C47" s="47"/>
      <c r="D47" s="47"/>
      <c r="E47" s="47"/>
      <c r="F47" s="47"/>
      <c r="G47" s="61"/>
      <c r="H47" s="44"/>
    </row>
    <row r="48" spans="1:8" ht="13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>
      <c r="A49" s="43"/>
      <c r="B49" s="65" t="s">
        <v>856</v>
      </c>
      <c r="C49" s="47"/>
      <c r="D49" s="50">
        <f>D30+D44-D57</f>
        <v>69636</v>
      </c>
      <c r="E49" s="47"/>
      <c r="F49" s="50">
        <f>F30+F44-F57</f>
        <v>57793</v>
      </c>
      <c r="G49" s="61"/>
      <c r="H49" s="44"/>
    </row>
    <row r="50" spans="1:8">
      <c r="A50" s="43"/>
      <c r="B50" s="65" t="s">
        <v>857</v>
      </c>
      <c r="C50" s="47"/>
      <c r="D50" s="50">
        <f>D39+D45-D58</f>
        <v>75324</v>
      </c>
      <c r="E50" s="47"/>
      <c r="F50" s="50">
        <f>F39+F45-F58</f>
        <v>60517</v>
      </c>
      <c r="G50" s="61"/>
      <c r="H50" s="44"/>
    </row>
    <row r="51" spans="1:8" ht="13" thickBot="1">
      <c r="A51" s="43"/>
      <c r="B51" s="46" t="s">
        <v>879</v>
      </c>
      <c r="C51" s="47"/>
      <c r="D51" s="72">
        <f>D49-D50</f>
        <v>-5688</v>
      </c>
      <c r="E51" s="47"/>
      <c r="F51" s="72">
        <f>F49-F50</f>
        <v>-2724</v>
      </c>
      <c r="G51" s="61"/>
      <c r="H51" s="44"/>
    </row>
    <row r="52" spans="1:8" ht="13.5" thickTop="1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>
      <c r="A53" s="43"/>
      <c r="B53" s="46" t="s">
        <v>641</v>
      </c>
      <c r="C53" s="47"/>
      <c r="D53" s="50">
        <v>4033</v>
      </c>
      <c r="E53" s="47"/>
      <c r="F53" s="118">
        <v>7426</v>
      </c>
      <c r="G53" s="61"/>
      <c r="H53" s="44"/>
    </row>
    <row r="54" spans="1:8">
      <c r="A54" s="43"/>
      <c r="B54" s="46" t="s">
        <v>640</v>
      </c>
      <c r="C54" s="47"/>
      <c r="D54" s="50">
        <v>9721</v>
      </c>
      <c r="E54" s="47"/>
      <c r="F54" s="118">
        <v>10150</v>
      </c>
      <c r="G54" s="61"/>
      <c r="H54" s="44"/>
    </row>
    <row r="55" spans="1:8" ht="13" thickBot="1">
      <c r="A55" s="43"/>
      <c r="B55" s="46" t="s">
        <v>879</v>
      </c>
      <c r="C55" s="47"/>
      <c r="D55" s="72">
        <f>D53-D54</f>
        <v>-5688</v>
      </c>
      <c r="E55" s="47"/>
      <c r="F55" s="72">
        <f>F53-F54</f>
        <v>-2724</v>
      </c>
      <c r="G55" s="61"/>
      <c r="H55" s="44"/>
    </row>
    <row r="56" spans="1:8" ht="20.25" customHeight="1" thickTop="1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>
      <c r="A57" s="43"/>
      <c r="B57" s="46" t="s">
        <v>882</v>
      </c>
      <c r="C57" s="47"/>
      <c r="D57" s="50">
        <v>0</v>
      </c>
      <c r="E57" s="47"/>
      <c r="F57" s="50">
        <v>21536</v>
      </c>
      <c r="G57" s="61"/>
      <c r="H57" s="44"/>
    </row>
    <row r="58" spans="1:8">
      <c r="A58" s="43"/>
      <c r="B58" s="46" t="s">
        <v>883</v>
      </c>
      <c r="C58" s="47"/>
      <c r="D58" s="50">
        <v>0</v>
      </c>
      <c r="E58" s="47"/>
      <c r="F58" s="50">
        <v>21536</v>
      </c>
      <c r="G58" s="61"/>
      <c r="H58" s="44"/>
    </row>
    <row r="59" spans="1:8" hidden="1">
      <c r="A59" s="43"/>
      <c r="B59" s="46"/>
      <c r="C59" s="47"/>
      <c r="D59" s="148"/>
      <c r="E59" s="148"/>
      <c r="F59" s="148"/>
      <c r="G59" s="61"/>
      <c r="H59" s="44"/>
    </row>
    <row r="60" spans="1:8" hidden="1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>
      <c r="A70" s="43"/>
      <c r="B70" s="53"/>
      <c r="C70" s="54"/>
      <c r="D70" s="54"/>
      <c r="E70" s="54"/>
      <c r="F70" s="54"/>
      <c r="G70" s="79"/>
      <c r="H70" s="44"/>
    </row>
    <row r="71" spans="1:8">
      <c r="A71" s="43"/>
      <c r="B71" s="43"/>
      <c r="C71" s="43"/>
      <c r="D71" s="43"/>
      <c r="E71" s="43"/>
      <c r="F71" s="43"/>
      <c r="G71" s="43"/>
      <c r="H71" s="44"/>
    </row>
    <row r="72" spans="1:8" ht="13" thickBot="1">
      <c r="A72" s="56"/>
      <c r="B72" s="56"/>
      <c r="C72" s="56"/>
      <c r="D72" s="56"/>
      <c r="E72" s="56"/>
      <c r="F72" s="56"/>
      <c r="G72" s="56"/>
      <c r="H72" s="57"/>
    </row>
    <row r="73" spans="1:8" ht="13" thickTop="1"/>
    <row r="110" ht="3" customHeight="1"/>
    <row r="303" spans="2:9" ht="18">
      <c r="B303" s="633" t="str">
        <f>C1</f>
        <v>עיריית באקה אלגרבייה</v>
      </c>
      <c r="C303" s="633"/>
      <c r="D303" s="633"/>
      <c r="E303" s="633"/>
      <c r="F303" s="633"/>
    </row>
    <row r="304" spans="2:9" ht="18">
      <c r="B304" s="633" t="str">
        <f>C2</f>
        <v>ריכוז תקבולים ותשלומים של תב"רים באלפי ₪</v>
      </c>
      <c r="C304" s="633"/>
      <c r="D304" s="633"/>
      <c r="E304" s="633"/>
      <c r="F304" s="633"/>
      <c r="G304" s="223"/>
      <c r="H304" s="223"/>
      <c r="I304" s="223"/>
    </row>
    <row r="305" spans="2:7" ht="18">
      <c r="B305" s="633" t="str">
        <f>C3</f>
        <v>לתקופה: רבעון 4, שנת 2017</v>
      </c>
      <c r="C305" s="633"/>
      <c r="D305" s="633"/>
      <c r="E305" s="633"/>
      <c r="F305" s="633"/>
    </row>
    <row r="308" spans="2:7" ht="13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5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>
      <c r="B314" s="158" t="str">
        <f t="shared" si="0"/>
        <v>משרד הפנים</v>
      </c>
      <c r="C314" s="157"/>
      <c r="D314" s="225">
        <f t="shared" si="1"/>
        <v>1871</v>
      </c>
      <c r="E314" s="157">
        <f t="shared" si="1"/>
        <v>0</v>
      </c>
      <c r="F314" s="225">
        <f t="shared" si="1"/>
        <v>3699</v>
      </c>
      <c r="G314" s="156">
        <f t="shared" si="1"/>
        <v>0</v>
      </c>
    </row>
    <row r="315" spans="2:7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>
      <c r="B316" s="158" t="str">
        <f t="shared" si="0"/>
        <v>משרד החינוך</v>
      </c>
      <c r="C316" s="157"/>
      <c r="D316" s="139">
        <f t="shared" si="1"/>
        <v>4362</v>
      </c>
      <c r="E316" s="157">
        <f t="shared" si="1"/>
        <v>0</v>
      </c>
      <c r="F316" s="139">
        <f t="shared" si="1"/>
        <v>4946</v>
      </c>
      <c r="G316" s="156">
        <f t="shared" si="1"/>
        <v>0</v>
      </c>
    </row>
    <row r="317" spans="2:7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>
      <c r="B320" s="158" t="str">
        <f t="shared" si="0"/>
        <v>משרד הבינוי והשיכון</v>
      </c>
      <c r="C320" s="157"/>
      <c r="D320" s="139">
        <f t="shared" si="1"/>
        <v>458</v>
      </c>
      <c r="E320" s="157">
        <f t="shared" si="1"/>
        <v>0</v>
      </c>
      <c r="F320" s="139">
        <f t="shared" si="1"/>
        <v>0</v>
      </c>
      <c r="G320" s="156">
        <f t="shared" si="1"/>
        <v>0</v>
      </c>
    </row>
    <row r="321" spans="2:7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>
      <c r="B323" s="158" t="str">
        <f t="shared" si="0"/>
        <v>משרד התחבורה</v>
      </c>
      <c r="C323" s="157"/>
      <c r="D323" s="139">
        <f t="shared" si="1"/>
        <v>152</v>
      </c>
      <c r="E323" s="157">
        <f t="shared" si="1"/>
        <v>0</v>
      </c>
      <c r="F323" s="139">
        <f t="shared" si="1"/>
        <v>307</v>
      </c>
      <c r="G323" s="156">
        <f t="shared" si="1"/>
        <v>0</v>
      </c>
    </row>
    <row r="324" spans="2:7">
      <c r="B324" s="158" t="str">
        <f t="shared" si="0"/>
        <v>משרדים אחרים</v>
      </c>
      <c r="C324" s="157"/>
      <c r="D324" s="139">
        <f t="shared" ref="D324:G325" si="2">D22</f>
        <v>2022</v>
      </c>
      <c r="E324" s="157">
        <f t="shared" si="2"/>
        <v>0</v>
      </c>
      <c r="F324" s="139">
        <f t="shared" si="2"/>
        <v>676</v>
      </c>
      <c r="G324" s="156">
        <f t="shared" si="2"/>
        <v>0</v>
      </c>
    </row>
    <row r="325" spans="2:7">
      <c r="B325" s="158" t="str">
        <f t="shared" si="0"/>
        <v>סה"כ השתתפות משרדי ממשלה</v>
      </c>
      <c r="C325" s="157"/>
      <c r="D325" s="143">
        <f t="shared" si="2"/>
        <v>8865</v>
      </c>
      <c r="E325" s="157">
        <f t="shared" si="2"/>
        <v>0</v>
      </c>
      <c r="F325" s="143">
        <f t="shared" si="2"/>
        <v>9628</v>
      </c>
      <c r="G325" s="156">
        <f t="shared" si="2"/>
        <v>0</v>
      </c>
    </row>
    <row r="326" spans="2:7" ht="17.25" customHeight="1">
      <c r="B326" s="160" t="s">
        <v>854</v>
      </c>
      <c r="C326" s="157"/>
      <c r="D326" s="531"/>
      <c r="E326" s="157"/>
      <c r="F326" s="531"/>
      <c r="G326" s="156"/>
    </row>
    <row r="327" spans="2:7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>
      <c r="B328" s="158" t="str">
        <f t="shared" si="3"/>
        <v>מקורות אחרים</v>
      </c>
      <c r="C328" s="157"/>
      <c r="D328" s="139">
        <f t="shared" si="4"/>
        <v>1828</v>
      </c>
      <c r="E328" s="157">
        <f t="shared" si="4"/>
        <v>0</v>
      </c>
      <c r="F328" s="139">
        <f t="shared" si="4"/>
        <v>2965</v>
      </c>
      <c r="G328" s="156">
        <f t="shared" si="4"/>
        <v>0</v>
      </c>
    </row>
    <row r="329" spans="2:7">
      <c r="B329" s="158" t="str">
        <f t="shared" si="3"/>
        <v>העברה מקרנות הרשות</v>
      </c>
      <c r="C329" s="157"/>
      <c r="D329" s="139">
        <f t="shared" si="4"/>
        <v>700</v>
      </c>
      <c r="E329" s="157">
        <f t="shared" si="4"/>
        <v>0</v>
      </c>
      <c r="F329" s="139">
        <f t="shared" si="4"/>
        <v>600</v>
      </c>
      <c r="G329" s="156">
        <f t="shared" si="4"/>
        <v>0</v>
      </c>
    </row>
    <row r="330" spans="2:7">
      <c r="B330" s="158" t="str">
        <f t="shared" si="3"/>
        <v>השתתפות תקציב רגיל</v>
      </c>
      <c r="C330" s="157"/>
      <c r="D330" s="139">
        <f t="shared" ref="D330:F340" si="5">D27</f>
        <v>450</v>
      </c>
      <c r="E330" s="157">
        <f t="shared" si="5"/>
        <v>0</v>
      </c>
      <c r="F330" s="139">
        <f t="shared" si="5"/>
        <v>487</v>
      </c>
      <c r="G330" s="156"/>
    </row>
    <row r="331" spans="2:7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>
      <c r="B333" s="158" t="str">
        <f t="shared" si="3"/>
        <v>סה"כ תקבולים</v>
      </c>
      <c r="C333" s="157"/>
      <c r="D333" s="143">
        <f t="shared" si="5"/>
        <v>11843</v>
      </c>
      <c r="E333" s="157">
        <f t="shared" si="5"/>
        <v>0</v>
      </c>
      <c r="F333" s="143">
        <f t="shared" si="5"/>
        <v>13680</v>
      </c>
      <c r="G333" s="156">
        <f t="shared" ref="G333:G340" si="6">G30</f>
        <v>0</v>
      </c>
    </row>
    <row r="334" spans="2:7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5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>
      <c r="B336" s="158" t="str">
        <f t="shared" si="3"/>
        <v>עבודות שבוצעו במשך השנה</v>
      </c>
      <c r="C336" s="157"/>
      <c r="D336" s="136">
        <f t="shared" si="5"/>
        <v>12763</v>
      </c>
      <c r="E336" s="157">
        <f t="shared" si="5"/>
        <v>0</v>
      </c>
      <c r="F336" s="136">
        <f t="shared" si="5"/>
        <v>7719</v>
      </c>
      <c r="G336" s="156">
        <f t="shared" si="6"/>
        <v>0</v>
      </c>
    </row>
    <row r="337" spans="2:7">
      <c r="B337" s="158" t="str">
        <f t="shared" si="3"/>
        <v>הוצאות אחרות (תכנון, ציוד וכד')</v>
      </c>
      <c r="C337" s="157"/>
      <c r="D337" s="139">
        <f t="shared" si="5"/>
        <v>2044</v>
      </c>
      <c r="E337" s="157">
        <f t="shared" si="5"/>
        <v>0</v>
      </c>
      <c r="F337" s="139">
        <f t="shared" si="5"/>
        <v>4468</v>
      </c>
      <c r="G337" s="156">
        <f t="shared" si="6"/>
        <v>0</v>
      </c>
    </row>
    <row r="338" spans="2:7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>
      <c r="B340" s="158" t="str">
        <f t="shared" si="3"/>
        <v>העברה לקרנות פיתוח</v>
      </c>
      <c r="C340" s="157"/>
      <c r="D340" s="139">
        <f t="shared" si="5"/>
        <v>0</v>
      </c>
      <c r="E340" s="157">
        <f t="shared" si="5"/>
        <v>0</v>
      </c>
      <c r="F340" s="139">
        <f t="shared" si="5"/>
        <v>97</v>
      </c>
      <c r="G340" s="156">
        <f t="shared" si="6"/>
        <v>0</v>
      </c>
    </row>
    <row r="341" spans="2:7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>
      <c r="B342" s="158" t="str">
        <f t="shared" si="3"/>
        <v>סה"כ תשלומים</v>
      </c>
      <c r="C342" s="157"/>
      <c r="D342" s="143">
        <f t="shared" si="7"/>
        <v>14807</v>
      </c>
      <c r="E342" s="157">
        <f t="shared" si="7"/>
        <v>0</v>
      </c>
      <c r="F342" s="143">
        <f t="shared" si="7"/>
        <v>12284</v>
      </c>
      <c r="G342" s="156">
        <f t="shared" si="7"/>
        <v>0</v>
      </c>
    </row>
    <row r="343" spans="2:7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" thickBot="1">
      <c r="B344" s="158" t="str">
        <f t="shared" si="3"/>
        <v>עודף (גרעון) בתקופת הדוח</v>
      </c>
      <c r="C344" s="157"/>
      <c r="D344" s="145">
        <f t="shared" si="7"/>
        <v>-2964</v>
      </c>
      <c r="E344" s="157">
        <f t="shared" si="7"/>
        <v>0</v>
      </c>
      <c r="F344" s="145">
        <f t="shared" si="7"/>
        <v>1396</v>
      </c>
      <c r="G344" s="156">
        <f t="shared" si="7"/>
        <v>0</v>
      </c>
    </row>
    <row r="345" spans="2:7" ht="13" thickTop="1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ht="13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>
      <c r="B347" s="158" t="str">
        <f t="shared" si="3"/>
        <v>תקבולים שנצברו (תחילת שנה)</v>
      </c>
      <c r="C347" s="157"/>
      <c r="D347" s="136">
        <f t="shared" si="7"/>
        <v>57793</v>
      </c>
      <c r="E347" s="133">
        <f t="shared" si="7"/>
        <v>0</v>
      </c>
      <c r="F347" s="136">
        <f t="shared" si="7"/>
        <v>65649</v>
      </c>
      <c r="G347" s="156">
        <f t="shared" si="7"/>
        <v>0</v>
      </c>
    </row>
    <row r="348" spans="2:7">
      <c r="B348" s="158" t="str">
        <f t="shared" si="3"/>
        <v>תשלומים שנצברו (תחילת שנה)</v>
      </c>
      <c r="C348" s="157"/>
      <c r="D348" s="139">
        <f t="shared" si="7"/>
        <v>60517</v>
      </c>
      <c r="E348" s="133">
        <f t="shared" si="7"/>
        <v>0</v>
      </c>
      <c r="F348" s="139">
        <f t="shared" si="7"/>
        <v>69769</v>
      </c>
      <c r="G348" s="156">
        <f t="shared" si="7"/>
        <v>0</v>
      </c>
    </row>
    <row r="349" spans="2:7" ht="13" thickBot="1">
      <c r="B349" s="158" t="str">
        <f t="shared" si="3"/>
        <v>יתרות זמניות נטו לתחילת השנה</v>
      </c>
      <c r="C349" s="157"/>
      <c r="D349" s="145">
        <f t="shared" si="7"/>
        <v>-2724</v>
      </c>
      <c r="E349" s="133">
        <f t="shared" si="7"/>
        <v>0</v>
      </c>
      <c r="F349" s="145">
        <f t="shared" si="7"/>
        <v>-4120</v>
      </c>
      <c r="G349" s="156">
        <f t="shared" si="7"/>
        <v>0</v>
      </c>
    </row>
    <row r="350" spans="2:7" ht="13" thickTop="1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ht="13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>
      <c r="B352" s="158" t="str">
        <f t="shared" si="3"/>
        <v>תקבולים שנצברו (סוף תקופה)</v>
      </c>
      <c r="C352" s="157"/>
      <c r="D352" s="136">
        <f t="shared" si="7"/>
        <v>69636</v>
      </c>
      <c r="E352" s="133">
        <f t="shared" si="7"/>
        <v>0</v>
      </c>
      <c r="F352" s="136">
        <f t="shared" si="7"/>
        <v>57793</v>
      </c>
      <c r="G352" s="156">
        <f t="shared" si="7"/>
        <v>0</v>
      </c>
    </row>
    <row r="353" spans="2:7">
      <c r="B353" s="158" t="str">
        <f t="shared" si="3"/>
        <v>תשלומים שנצברו (סוף תקופה)</v>
      </c>
      <c r="C353" s="157"/>
      <c r="D353" s="139">
        <f t="shared" si="7"/>
        <v>75324</v>
      </c>
      <c r="E353" s="133">
        <f t="shared" si="7"/>
        <v>0</v>
      </c>
      <c r="F353" s="139">
        <f t="shared" si="7"/>
        <v>60517</v>
      </c>
      <c r="G353" s="156">
        <f t="shared" si="7"/>
        <v>0</v>
      </c>
    </row>
    <row r="354" spans="2:7" ht="13" thickBot="1">
      <c r="B354" s="158" t="str">
        <f t="shared" si="3"/>
        <v>עודף (גרעון) נטו</v>
      </c>
      <c r="C354" s="157"/>
      <c r="D354" s="145">
        <f t="shared" si="7"/>
        <v>-5688</v>
      </c>
      <c r="E354" s="133">
        <f t="shared" si="7"/>
        <v>0</v>
      </c>
      <c r="F354" s="145">
        <f t="shared" si="7"/>
        <v>-2724</v>
      </c>
      <c r="G354" s="156">
        <f t="shared" si="7"/>
        <v>0</v>
      </c>
    </row>
    <row r="355" spans="2:7" ht="18" customHeight="1" thickTop="1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>
      <c r="B356" s="158" t="str">
        <f t="shared" si="3"/>
        <v>עודפי מימון זמניים</v>
      </c>
      <c r="C356" s="157"/>
      <c r="D356" s="139">
        <f t="shared" si="7"/>
        <v>4033</v>
      </c>
      <c r="E356" s="133">
        <f t="shared" si="7"/>
        <v>0</v>
      </c>
      <c r="F356" s="139">
        <f t="shared" si="7"/>
        <v>7426</v>
      </c>
      <c r="G356" s="156">
        <f t="shared" si="7"/>
        <v>0</v>
      </c>
    </row>
    <row r="357" spans="2:7">
      <c r="B357" s="158" t="str">
        <f t="shared" si="3"/>
        <v>גרעונות מימון זמניים</v>
      </c>
      <c r="C357" s="157"/>
      <c r="D357" s="139">
        <f t="shared" ref="D357:G362" si="8">D54</f>
        <v>9721</v>
      </c>
      <c r="E357" s="133">
        <f t="shared" si="8"/>
        <v>0</v>
      </c>
      <c r="F357" s="139">
        <f t="shared" si="8"/>
        <v>10150</v>
      </c>
      <c r="G357" s="156">
        <f t="shared" si="8"/>
        <v>0</v>
      </c>
    </row>
    <row r="358" spans="2:7" ht="13" thickBot="1">
      <c r="B358" s="158" t="str">
        <f t="shared" si="3"/>
        <v>עודף (גרעון) נטו</v>
      </c>
      <c r="C358" s="157"/>
      <c r="D358" s="145">
        <f t="shared" si="8"/>
        <v>-5688</v>
      </c>
      <c r="E358" s="133">
        <f t="shared" si="8"/>
        <v>0</v>
      </c>
      <c r="F358" s="145">
        <f t="shared" si="8"/>
        <v>-2724</v>
      </c>
      <c r="G358" s="156">
        <f t="shared" si="8"/>
        <v>0</v>
      </c>
    </row>
    <row r="359" spans="2:7" ht="18" customHeight="1" thickTop="1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21536</v>
      </c>
      <c r="G360" s="156">
        <f t="shared" si="8"/>
        <v>0</v>
      </c>
    </row>
    <row r="361" spans="2:7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21536</v>
      </c>
      <c r="G361" s="156">
        <f t="shared" si="8"/>
        <v>0</v>
      </c>
    </row>
    <row r="362" spans="2:7" hidden="1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>
      <c r="B363" s="158"/>
      <c r="C363" s="157"/>
      <c r="D363" s="229"/>
      <c r="E363" s="229"/>
      <c r="F363" s="229"/>
      <c r="G363" s="156"/>
    </row>
    <row r="364" spans="2:7" ht="22.5" customHeight="1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>
      <c r="B365" s="158"/>
      <c r="C365" s="157"/>
      <c r="D365" s="229"/>
      <c r="E365" s="229"/>
      <c r="F365" s="229"/>
      <c r="G365" s="156"/>
    </row>
    <row r="366" spans="2:7">
      <c r="B366" s="158"/>
      <c r="C366" s="157"/>
      <c r="D366" s="229"/>
      <c r="E366" s="229"/>
      <c r="F366" s="229"/>
      <c r="G366" s="156"/>
    </row>
    <row r="367" spans="2:7">
      <c r="B367" s="158"/>
      <c r="C367" s="157"/>
      <c r="D367" s="229"/>
      <c r="E367" s="229"/>
      <c r="F367" s="229"/>
      <c r="G367" s="156"/>
    </row>
    <row r="368" spans="2:7">
      <c r="B368" s="158"/>
      <c r="C368" s="157"/>
      <c r="D368" s="229"/>
      <c r="E368" s="229"/>
      <c r="F368" s="229"/>
      <c r="G368" s="156"/>
    </row>
    <row r="369" spans="2:7">
      <c r="B369" s="158"/>
      <c r="C369" s="157"/>
      <c r="D369" s="229"/>
      <c r="E369" s="229"/>
      <c r="F369" s="229"/>
      <c r="G369" s="156"/>
    </row>
    <row r="370" spans="2:7">
      <c r="B370" s="158"/>
      <c r="C370" s="157"/>
      <c r="D370" s="229"/>
      <c r="E370" s="229"/>
      <c r="F370" s="229"/>
      <c r="G370" s="156"/>
    </row>
    <row r="371" spans="2:7">
      <c r="B371" s="158"/>
      <c r="C371" s="157"/>
      <c r="D371" s="229"/>
      <c r="E371" s="229"/>
      <c r="F371" s="229"/>
      <c r="G371" s="156"/>
    </row>
    <row r="372" spans="2:7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ColWidth="9.1796875" defaultRowHeight="12.5"/>
  <cols>
    <col min="1" max="1" width="4" style="106" customWidth="1"/>
    <col min="2" max="2" width="3.1796875" style="106" customWidth="1"/>
    <col min="3" max="3" width="16.1796875" style="106" customWidth="1"/>
    <col min="4" max="4" width="11.453125" style="106" customWidth="1"/>
    <col min="5" max="5" width="2.7265625" style="106" customWidth="1"/>
    <col min="6" max="6" width="11.54296875" style="106" customWidth="1"/>
    <col min="7" max="7" width="2.7265625" style="106" customWidth="1"/>
    <col min="8" max="8" width="11.453125" style="106" customWidth="1"/>
    <col min="9" max="9" width="2.7265625" style="106" customWidth="1"/>
    <col min="10" max="10" width="11.453125" style="106" customWidth="1"/>
    <col min="11" max="11" width="2.7265625" style="106" customWidth="1"/>
    <col min="12" max="12" width="11.453125" style="106" customWidth="1"/>
    <col min="13" max="13" width="2.7265625" style="106" customWidth="1"/>
    <col min="14" max="14" width="11.453125" style="106" customWidth="1"/>
    <col min="15" max="15" width="2.7265625" style="106" customWidth="1"/>
    <col min="16" max="16" width="11.453125" style="106" customWidth="1"/>
    <col min="17" max="17" width="2.7265625" style="106" customWidth="1"/>
    <col min="18" max="18" width="11.453125" style="106" customWidth="1"/>
    <col min="19" max="19" width="2.7265625" style="106" customWidth="1"/>
    <col min="20" max="20" width="11.453125" style="106" customWidth="1"/>
    <col min="21" max="21" width="2.7265625" style="106" customWidth="1"/>
    <col min="22" max="22" width="11.453125" style="106" customWidth="1"/>
    <col min="23" max="23" width="2.7265625" style="106" customWidth="1"/>
    <col min="24" max="24" width="11.54296875" style="106" customWidth="1"/>
    <col min="25" max="25" width="5.26953125" style="106" customWidth="1"/>
    <col min="26" max="16384" width="9.1796875" style="106"/>
  </cols>
  <sheetData>
    <row r="1" spans="1:26" ht="19" thickTop="1" thickBot="1">
      <c r="A1" s="105"/>
      <c r="B1" s="105"/>
      <c r="C1" s="105"/>
      <c r="D1" s="105"/>
      <c r="E1" s="640" t="str">
        <f>GufMevukar</f>
        <v>עיריית באקה אלגרבייה</v>
      </c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2"/>
      <c r="Z1" s="105"/>
    </row>
    <row r="2" spans="1:26" ht="19" thickTop="1" thickBot="1">
      <c r="A2" s="105"/>
      <c r="B2" s="105"/>
      <c r="C2" s="105"/>
      <c r="D2" s="105"/>
      <c r="E2" s="643" t="s">
        <v>801</v>
      </c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1"/>
      <c r="R2" s="641"/>
      <c r="S2" s="641"/>
      <c r="T2" s="641"/>
      <c r="U2" s="641"/>
      <c r="V2" s="641"/>
      <c r="W2" s="641"/>
      <c r="X2" s="641"/>
      <c r="Y2" s="642"/>
      <c r="Z2" s="105"/>
    </row>
    <row r="3" spans="1:26" ht="19" thickTop="1" thickBot="1">
      <c r="A3" s="105"/>
      <c r="B3" s="105"/>
      <c r="C3" s="105"/>
      <c r="D3" s="105"/>
      <c r="E3" s="640" t="str">
        <f>ReportPeriod</f>
        <v>לתקופה: רבעון 4, שנת 2017</v>
      </c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1"/>
      <c r="Q3" s="641"/>
      <c r="R3" s="641"/>
      <c r="S3" s="641"/>
      <c r="T3" s="641"/>
      <c r="U3" s="641"/>
      <c r="V3" s="641"/>
      <c r="W3" s="641"/>
      <c r="X3" s="641"/>
      <c r="Y3" s="642"/>
      <c r="Z3" s="105"/>
    </row>
    <row r="4" spans="1:26" ht="13.5" thickTop="1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>
      <c r="A8" s="110"/>
      <c r="B8" s="114">
        <v>61</v>
      </c>
      <c r="C8" s="195" t="s">
        <v>708</v>
      </c>
      <c r="D8" s="118">
        <v>1</v>
      </c>
      <c r="E8" s="115"/>
      <c r="F8" s="118">
        <v>700</v>
      </c>
      <c r="G8" s="115"/>
      <c r="H8" s="118"/>
      <c r="I8" s="115"/>
      <c r="J8" s="118"/>
      <c r="K8" s="115"/>
      <c r="L8" s="118"/>
      <c r="M8" s="115"/>
      <c r="N8" s="118">
        <v>32</v>
      </c>
      <c r="O8" s="115"/>
      <c r="P8" s="119">
        <f t="shared" ref="P8:P36" si="0">H8+L8</f>
        <v>0</v>
      </c>
      <c r="Q8" s="115"/>
      <c r="R8" s="119">
        <f t="shared" ref="R8:R36" si="1">J8+N8</f>
        <v>32</v>
      </c>
      <c r="S8" s="115"/>
      <c r="T8" s="118"/>
      <c r="U8" s="115"/>
      <c r="V8" s="119">
        <f t="shared" ref="V8:V36" si="2">R8-P8+T8</f>
        <v>32</v>
      </c>
      <c r="W8" s="115"/>
      <c r="X8" s="119">
        <f t="shared" ref="X8:X36" si="3">P8-R8</f>
        <v>-32</v>
      </c>
      <c r="Y8" s="116"/>
      <c r="Z8" s="111"/>
    </row>
    <row r="9" spans="1:26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>
      <c r="A12" s="110"/>
      <c r="B12" s="114">
        <v>71</v>
      </c>
      <c r="C12" s="195" t="s">
        <v>712</v>
      </c>
      <c r="D12" s="118">
        <v>1</v>
      </c>
      <c r="E12" s="115"/>
      <c r="F12" s="118">
        <v>2075</v>
      </c>
      <c r="G12" s="115"/>
      <c r="H12" s="118">
        <v>19</v>
      </c>
      <c r="I12" s="115"/>
      <c r="J12" s="118">
        <v>1923</v>
      </c>
      <c r="K12" s="115"/>
      <c r="L12" s="118">
        <v>1922</v>
      </c>
      <c r="M12" s="115"/>
      <c r="N12" s="118">
        <v>38</v>
      </c>
      <c r="O12" s="115"/>
      <c r="P12" s="119">
        <f t="shared" si="0"/>
        <v>1941</v>
      </c>
      <c r="Q12" s="115"/>
      <c r="R12" s="119">
        <f t="shared" si="1"/>
        <v>1961</v>
      </c>
      <c r="S12" s="115"/>
      <c r="T12" s="118"/>
      <c r="U12" s="115"/>
      <c r="V12" s="119">
        <f t="shared" si="2"/>
        <v>20</v>
      </c>
      <c r="W12" s="115"/>
      <c r="X12" s="119">
        <f t="shared" si="3"/>
        <v>-20</v>
      </c>
      <c r="Y12" s="116"/>
      <c r="Z12" s="111"/>
    </row>
    <row r="13" spans="1:26">
      <c r="A13" s="110"/>
      <c r="B13" s="114">
        <v>72</v>
      </c>
      <c r="C13" s="195" t="s">
        <v>713</v>
      </c>
      <c r="D13" s="118">
        <v>1</v>
      </c>
      <c r="E13" s="115"/>
      <c r="F13" s="118">
        <v>308</v>
      </c>
      <c r="G13" s="115"/>
      <c r="H13" s="118"/>
      <c r="I13" s="115"/>
      <c r="J13" s="118"/>
      <c r="K13" s="115"/>
      <c r="L13" s="118"/>
      <c r="M13" s="115"/>
      <c r="N13" s="118">
        <v>156</v>
      </c>
      <c r="O13" s="115"/>
      <c r="P13" s="119">
        <f t="shared" si="0"/>
        <v>0</v>
      </c>
      <c r="Q13" s="115"/>
      <c r="R13" s="119">
        <f t="shared" si="1"/>
        <v>156</v>
      </c>
      <c r="S13" s="115"/>
      <c r="T13" s="118"/>
      <c r="U13" s="115"/>
      <c r="V13" s="119">
        <f t="shared" si="2"/>
        <v>156</v>
      </c>
      <c r="W13" s="115"/>
      <c r="X13" s="119">
        <f t="shared" si="3"/>
        <v>-156</v>
      </c>
      <c r="Y13" s="116"/>
      <c r="Z13" s="111"/>
    </row>
    <row r="14" spans="1:26">
      <c r="A14" s="110"/>
      <c r="B14" s="114">
        <v>73</v>
      </c>
      <c r="C14" s="195" t="s">
        <v>813</v>
      </c>
      <c r="D14" s="118">
        <v>7</v>
      </c>
      <c r="E14" s="115"/>
      <c r="F14" s="118">
        <v>5896</v>
      </c>
      <c r="G14" s="115"/>
      <c r="H14" s="118">
        <v>1365</v>
      </c>
      <c r="I14" s="115"/>
      <c r="J14" s="118">
        <v>1296</v>
      </c>
      <c r="K14" s="115"/>
      <c r="L14" s="118">
        <v>600</v>
      </c>
      <c r="M14" s="115"/>
      <c r="N14" s="118">
        <v>384</v>
      </c>
      <c r="O14" s="115"/>
      <c r="P14" s="119">
        <f t="shared" si="0"/>
        <v>1965</v>
      </c>
      <c r="Q14" s="115"/>
      <c r="R14" s="119">
        <f t="shared" si="1"/>
        <v>1680</v>
      </c>
      <c r="S14" s="115"/>
      <c r="T14" s="118">
        <v>578</v>
      </c>
      <c r="U14" s="115"/>
      <c r="V14" s="119">
        <f t="shared" si="2"/>
        <v>293</v>
      </c>
      <c r="W14" s="115"/>
      <c r="X14" s="119">
        <f t="shared" si="3"/>
        <v>285</v>
      </c>
      <c r="Y14" s="116"/>
      <c r="Z14" s="111"/>
    </row>
    <row r="15" spans="1:26">
      <c r="A15" s="110"/>
      <c r="B15" s="114">
        <v>74</v>
      </c>
      <c r="C15" s="195" t="s">
        <v>814</v>
      </c>
      <c r="D15" s="118">
        <v>32</v>
      </c>
      <c r="E15" s="115"/>
      <c r="F15" s="118">
        <v>16074</v>
      </c>
      <c r="G15" s="115"/>
      <c r="H15" s="118">
        <v>6933</v>
      </c>
      <c r="I15" s="115"/>
      <c r="J15" s="118">
        <v>2146</v>
      </c>
      <c r="K15" s="115"/>
      <c r="L15" s="118">
        <v>518</v>
      </c>
      <c r="M15" s="115"/>
      <c r="N15" s="118">
        <v>4407</v>
      </c>
      <c r="O15" s="115"/>
      <c r="P15" s="119">
        <f t="shared" si="0"/>
        <v>7451</v>
      </c>
      <c r="Q15" s="115"/>
      <c r="R15" s="119">
        <f t="shared" si="1"/>
        <v>6553</v>
      </c>
      <c r="S15" s="115"/>
      <c r="T15" s="586">
        <v>1701</v>
      </c>
      <c r="U15" s="115"/>
      <c r="V15" s="119">
        <f t="shared" si="2"/>
        <v>803</v>
      </c>
      <c r="W15" s="115"/>
      <c r="X15" s="119">
        <f t="shared" si="3"/>
        <v>898</v>
      </c>
      <c r="Y15" s="116"/>
      <c r="Z15" s="111"/>
    </row>
    <row r="16" spans="1:26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>
      <c r="A18" s="110"/>
      <c r="B18" s="114">
        <v>77</v>
      </c>
      <c r="C18" s="195" t="s">
        <v>817</v>
      </c>
      <c r="D18" s="118">
        <v>1</v>
      </c>
      <c r="E18" s="115"/>
      <c r="F18" s="118">
        <v>800</v>
      </c>
      <c r="G18" s="115"/>
      <c r="H18" s="118"/>
      <c r="I18" s="115"/>
      <c r="J18" s="118">
        <v>20</v>
      </c>
      <c r="K18" s="115"/>
      <c r="L18" s="118">
        <v>374</v>
      </c>
      <c r="M18" s="115"/>
      <c r="N18" s="118">
        <v>513</v>
      </c>
      <c r="O18" s="115"/>
      <c r="P18" s="119">
        <f t="shared" si="0"/>
        <v>374</v>
      </c>
      <c r="Q18" s="115"/>
      <c r="R18" s="119">
        <f t="shared" si="1"/>
        <v>533</v>
      </c>
      <c r="S18" s="115"/>
      <c r="T18" s="118"/>
      <c r="U18" s="115"/>
      <c r="V18" s="119">
        <f t="shared" si="2"/>
        <v>159</v>
      </c>
      <c r="W18" s="115"/>
      <c r="X18" s="119">
        <f t="shared" si="3"/>
        <v>-159</v>
      </c>
      <c r="Y18" s="116"/>
      <c r="Z18" s="111"/>
    </row>
    <row r="19" spans="1:26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>
      <c r="A20" s="110"/>
      <c r="B20" s="114">
        <v>79</v>
      </c>
      <c r="C20" s="195" t="s">
        <v>818</v>
      </c>
      <c r="D20" s="118">
        <v>1</v>
      </c>
      <c r="E20" s="115"/>
      <c r="F20" s="118">
        <v>247</v>
      </c>
      <c r="G20" s="115"/>
      <c r="H20" s="118"/>
      <c r="I20" s="115"/>
      <c r="J20" s="118"/>
      <c r="K20" s="115"/>
      <c r="L20" s="118">
        <v>50</v>
      </c>
      <c r="M20" s="115"/>
      <c r="N20" s="118">
        <v>64</v>
      </c>
      <c r="O20" s="115"/>
      <c r="P20" s="119">
        <f t="shared" si="0"/>
        <v>50</v>
      </c>
      <c r="Q20" s="115"/>
      <c r="R20" s="119">
        <f t="shared" si="1"/>
        <v>64</v>
      </c>
      <c r="S20" s="115"/>
      <c r="T20" s="118"/>
      <c r="U20" s="115"/>
      <c r="V20" s="119">
        <f t="shared" si="2"/>
        <v>14</v>
      </c>
      <c r="W20" s="115"/>
      <c r="X20" s="119">
        <f t="shared" si="3"/>
        <v>-14</v>
      </c>
      <c r="Y20" s="116"/>
      <c r="Z20" s="111"/>
    </row>
    <row r="21" spans="1:26">
      <c r="A21" s="110"/>
      <c r="B21" s="114">
        <v>81</v>
      </c>
      <c r="C21" s="195" t="s">
        <v>819</v>
      </c>
      <c r="D21" s="118">
        <v>48</v>
      </c>
      <c r="E21" s="115"/>
      <c r="F21" s="118">
        <v>85064</v>
      </c>
      <c r="G21" s="115"/>
      <c r="H21" s="118">
        <v>42948</v>
      </c>
      <c r="I21" s="115"/>
      <c r="J21" s="118">
        <v>45053</v>
      </c>
      <c r="K21" s="115"/>
      <c r="L21" s="118">
        <v>6279</v>
      </c>
      <c r="M21" s="115"/>
      <c r="N21" s="118">
        <v>6784</v>
      </c>
      <c r="O21" s="115"/>
      <c r="P21" s="119">
        <f t="shared" si="0"/>
        <v>49227</v>
      </c>
      <c r="Q21" s="115"/>
      <c r="R21" s="119">
        <f t="shared" si="1"/>
        <v>51837</v>
      </c>
      <c r="S21" s="115"/>
      <c r="T21" s="118">
        <v>924</v>
      </c>
      <c r="U21" s="115"/>
      <c r="V21" s="119">
        <f t="shared" si="2"/>
        <v>3534</v>
      </c>
      <c r="W21" s="115"/>
      <c r="X21" s="119">
        <f t="shared" si="3"/>
        <v>-2610</v>
      </c>
      <c r="Y21" s="116"/>
      <c r="Z21" s="111"/>
    </row>
    <row r="22" spans="1:26">
      <c r="A22" s="110"/>
      <c r="B22" s="114">
        <v>82</v>
      </c>
      <c r="C22" s="195" t="s">
        <v>722</v>
      </c>
      <c r="D22" s="118">
        <v>10</v>
      </c>
      <c r="E22" s="115"/>
      <c r="F22" s="118">
        <v>30957</v>
      </c>
      <c r="G22" s="115"/>
      <c r="H22" s="118">
        <v>5188</v>
      </c>
      <c r="I22" s="115"/>
      <c r="J22" s="118">
        <v>8748</v>
      </c>
      <c r="K22" s="115"/>
      <c r="L22" s="118">
        <v>2100</v>
      </c>
      <c r="M22" s="115"/>
      <c r="N22" s="118">
        <v>2106</v>
      </c>
      <c r="O22" s="115"/>
      <c r="P22" s="119">
        <f t="shared" si="0"/>
        <v>7288</v>
      </c>
      <c r="Q22" s="115"/>
      <c r="R22" s="119">
        <f t="shared" si="1"/>
        <v>10854</v>
      </c>
      <c r="S22" s="115"/>
      <c r="T22" s="118">
        <v>766</v>
      </c>
      <c r="U22" s="115"/>
      <c r="V22" s="119">
        <f t="shared" si="2"/>
        <v>4332</v>
      </c>
      <c r="W22" s="115"/>
      <c r="X22" s="119">
        <f t="shared" si="3"/>
        <v>-3566</v>
      </c>
      <c r="Y22" s="116"/>
      <c r="Z22" s="111"/>
    </row>
    <row r="23" spans="1:26">
      <c r="A23" s="110"/>
      <c r="B23" s="114">
        <v>83</v>
      </c>
      <c r="C23" s="195" t="s">
        <v>723</v>
      </c>
      <c r="D23" s="118">
        <v>1</v>
      </c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/>
      <c r="M23" s="115"/>
      <c r="N23" s="118"/>
      <c r="O23" s="115"/>
      <c r="P23" s="119">
        <f t="shared" si="0"/>
        <v>369</v>
      </c>
      <c r="Q23" s="115"/>
      <c r="R23" s="119">
        <f t="shared" si="1"/>
        <v>305</v>
      </c>
      <c r="S23" s="115"/>
      <c r="T23" s="118">
        <v>64</v>
      </c>
      <c r="U23" s="115"/>
      <c r="V23" s="119">
        <f t="shared" si="2"/>
        <v>0</v>
      </c>
      <c r="W23" s="115"/>
      <c r="X23" s="119">
        <f t="shared" si="3"/>
        <v>64</v>
      </c>
      <c r="Y23" s="116"/>
      <c r="Z23" s="111"/>
    </row>
    <row r="24" spans="1:26">
      <c r="A24" s="110"/>
      <c r="B24" s="114">
        <v>84</v>
      </c>
      <c r="C24" s="195" t="s">
        <v>724</v>
      </c>
      <c r="D24" s="118">
        <v>2</v>
      </c>
      <c r="E24" s="115"/>
      <c r="F24" s="118">
        <v>4362</v>
      </c>
      <c r="G24" s="115"/>
      <c r="H24" s="118">
        <v>971</v>
      </c>
      <c r="I24" s="115"/>
      <c r="J24" s="118">
        <v>826</v>
      </c>
      <c r="K24" s="115"/>
      <c r="L24" s="118"/>
      <c r="M24" s="115"/>
      <c r="N24" s="118">
        <v>323</v>
      </c>
      <c r="O24" s="115"/>
      <c r="P24" s="119">
        <f t="shared" si="0"/>
        <v>971</v>
      </c>
      <c r="Q24" s="115"/>
      <c r="R24" s="119">
        <f t="shared" si="1"/>
        <v>1149</v>
      </c>
      <c r="S24" s="115"/>
      <c r="T24" s="118"/>
      <c r="U24" s="115"/>
      <c r="V24" s="119">
        <f t="shared" si="2"/>
        <v>178</v>
      </c>
      <c r="W24" s="115"/>
      <c r="X24" s="119">
        <f t="shared" si="3"/>
        <v>-178</v>
      </c>
      <c r="Y24" s="116"/>
      <c r="Z24" s="111"/>
    </row>
    <row r="25" spans="1:26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>
      <c r="A27" s="110"/>
      <c r="B27" s="114">
        <v>87</v>
      </c>
      <c r="C27" s="195" t="s">
        <v>820</v>
      </c>
      <c r="D27" s="118">
        <v>1</v>
      </c>
      <c r="E27" s="115"/>
      <c r="F27" s="118">
        <v>1900</v>
      </c>
      <c r="G27" s="115"/>
      <c r="H27" s="118"/>
      <c r="I27" s="115"/>
      <c r="J27" s="118"/>
      <c r="K27" s="115"/>
      <c r="L27" s="118"/>
      <c r="M27" s="115"/>
      <c r="N27" s="118"/>
      <c r="O27" s="115"/>
      <c r="P27" s="119">
        <f t="shared" si="0"/>
        <v>0</v>
      </c>
      <c r="Q27" s="115"/>
      <c r="R27" s="119">
        <f t="shared" si="1"/>
        <v>0</v>
      </c>
      <c r="S27" s="115"/>
      <c r="T27" s="118">
        <v>0</v>
      </c>
      <c r="U27" s="115"/>
      <c r="V27" s="119">
        <f t="shared" si="2"/>
        <v>0</v>
      </c>
      <c r="W27" s="115"/>
      <c r="X27" s="119">
        <f t="shared" si="3"/>
        <v>0</v>
      </c>
      <c r="Y27" s="116"/>
      <c r="Z27" s="111"/>
    </row>
    <row r="28" spans="1:26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200</v>
      </c>
      <c r="S30" s="115"/>
      <c r="T30" s="118">
        <v>0</v>
      </c>
      <c r="U30" s="115"/>
      <c r="V30" s="119">
        <f t="shared" si="2"/>
        <v>200</v>
      </c>
      <c r="W30" s="115"/>
      <c r="X30" s="119">
        <f t="shared" si="3"/>
        <v>-200</v>
      </c>
      <c r="Y30" s="116"/>
      <c r="Z30" s="111"/>
    </row>
    <row r="31" spans="1:26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" thickBot="1">
      <c r="A37" s="110"/>
      <c r="B37" s="114"/>
      <c r="C37" s="115" t="s">
        <v>767</v>
      </c>
      <c r="D37" s="124">
        <f>SUM(D8:D36)</f>
        <v>107</v>
      </c>
      <c r="E37" s="115"/>
      <c r="F37" s="218">
        <f>SUM(F8:F36)</f>
        <v>149426</v>
      </c>
      <c r="G37" s="115"/>
      <c r="H37" s="218">
        <f>SUM(H8:H36)</f>
        <v>57793</v>
      </c>
      <c r="I37" s="115"/>
      <c r="J37" s="218">
        <f>SUM(J8:J36)</f>
        <v>60517</v>
      </c>
      <c r="K37" s="115"/>
      <c r="L37" s="218">
        <f>SUM(L8:L36)</f>
        <v>11843</v>
      </c>
      <c r="M37" s="115"/>
      <c r="N37" s="218">
        <f>SUM(N8:N36)</f>
        <v>14807</v>
      </c>
      <c r="O37" s="115"/>
      <c r="P37" s="218">
        <f>SUM(P8:P36)</f>
        <v>69636</v>
      </c>
      <c r="Q37" s="115"/>
      <c r="R37" s="218">
        <f>SUM(R8:R36)</f>
        <v>75324</v>
      </c>
      <c r="S37" s="115"/>
      <c r="T37" s="218">
        <f>SUM(T8:T36)</f>
        <v>4033</v>
      </c>
      <c r="U37" s="115"/>
      <c r="V37" s="218">
        <f>SUM(V8:V36)</f>
        <v>9721</v>
      </c>
      <c r="W37" s="115"/>
      <c r="X37" s="218">
        <f>SUM(X8:X36)</f>
        <v>-5688</v>
      </c>
      <c r="Y37" s="116"/>
      <c r="Z37" s="111"/>
    </row>
    <row r="38" spans="1:26" ht="13" thickTop="1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" thickBot="1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" thickTop="1"/>
    <row r="305" spans="2:25" ht="18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8" t="str">
        <f t="shared" si="4"/>
        <v>עיריית באקה אלגרבייה</v>
      </c>
      <c r="F305" s="639"/>
      <c r="G305" s="639"/>
      <c r="H305" s="639"/>
      <c r="I305" s="639"/>
      <c r="J305" s="639"/>
      <c r="K305" s="639"/>
      <c r="L305" s="639"/>
      <c r="M305" s="639"/>
      <c r="N305" s="639"/>
      <c r="O305" s="639"/>
      <c r="P305" s="639"/>
      <c r="Q305" s="639"/>
      <c r="R305" s="639"/>
      <c r="S305" s="639"/>
      <c r="T305" s="639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8" t="str">
        <f t="shared" si="4"/>
        <v>ריכוז תב"רים לפי פרקי תקציב באלפי ₪</v>
      </c>
      <c r="F306" s="639"/>
      <c r="G306" s="639"/>
      <c r="H306" s="639"/>
      <c r="I306" s="639"/>
      <c r="J306" s="639"/>
      <c r="K306" s="639"/>
      <c r="L306" s="639"/>
      <c r="M306" s="639"/>
      <c r="N306" s="639"/>
      <c r="O306" s="639"/>
      <c r="P306" s="639"/>
      <c r="Q306" s="639"/>
      <c r="R306" s="639"/>
      <c r="S306" s="639"/>
      <c r="T306" s="639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8" t="str">
        <f t="shared" si="4"/>
        <v>לתקופה: רבעון 4, שנת 2017</v>
      </c>
      <c r="F307" s="639"/>
      <c r="G307" s="639"/>
      <c r="H307" s="639"/>
      <c r="I307" s="639"/>
      <c r="J307" s="639"/>
      <c r="K307" s="639"/>
      <c r="L307" s="639"/>
      <c r="M307" s="639"/>
      <c r="N307" s="639"/>
      <c r="O307" s="639"/>
      <c r="P307" s="639"/>
      <c r="Q307" s="639"/>
      <c r="R307" s="639"/>
      <c r="S307" s="639"/>
      <c r="T307" s="639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9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>
      <c r="B312" s="132">
        <f t="shared" si="4"/>
        <v>61</v>
      </c>
      <c r="C312" s="202" t="str">
        <f t="shared" si="4"/>
        <v>מנהל כללי</v>
      </c>
      <c r="D312" s="183">
        <f t="shared" si="4"/>
        <v>1</v>
      </c>
      <c r="E312" s="133">
        <f t="shared" si="4"/>
        <v>0</v>
      </c>
      <c r="F312" s="183">
        <f t="shared" si="4"/>
        <v>700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0</v>
      </c>
      <c r="K312" s="133">
        <f t="shared" si="4"/>
        <v>0</v>
      </c>
      <c r="L312" s="183">
        <f t="shared" si="4"/>
        <v>0</v>
      </c>
      <c r="M312" s="133">
        <f t="shared" si="4"/>
        <v>0</v>
      </c>
      <c r="N312" s="183">
        <f t="shared" si="4"/>
        <v>32</v>
      </c>
      <c r="O312" s="133">
        <f t="shared" si="4"/>
        <v>0</v>
      </c>
      <c r="P312" s="137">
        <f t="shared" si="4"/>
        <v>0</v>
      </c>
      <c r="Q312" s="133">
        <f t="shared" si="4"/>
        <v>0</v>
      </c>
      <c r="R312" s="137">
        <f t="shared" si="6"/>
        <v>32</v>
      </c>
      <c r="S312" s="133">
        <f t="shared" si="6"/>
        <v>0</v>
      </c>
      <c r="T312" s="183">
        <f t="shared" si="6"/>
        <v>0</v>
      </c>
      <c r="U312" s="133">
        <f t="shared" si="5"/>
        <v>0</v>
      </c>
      <c r="V312" s="137">
        <f t="shared" si="5"/>
        <v>32</v>
      </c>
      <c r="W312" s="133">
        <f t="shared" si="5"/>
        <v>0</v>
      </c>
      <c r="X312" s="137">
        <f t="shared" si="5"/>
        <v>-32</v>
      </c>
      <c r="Y312" s="134">
        <f t="shared" si="5"/>
        <v>0</v>
      </c>
    </row>
    <row r="313" spans="2:25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>
      <c r="B316" s="132">
        <f t="shared" si="4"/>
        <v>71</v>
      </c>
      <c r="C316" s="202" t="str">
        <f t="shared" si="4"/>
        <v>תברואה</v>
      </c>
      <c r="D316" s="184">
        <f t="shared" si="4"/>
        <v>1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</v>
      </c>
      <c r="I316" s="133">
        <f t="shared" si="4"/>
        <v>0</v>
      </c>
      <c r="J316" s="184">
        <f t="shared" si="4"/>
        <v>1923</v>
      </c>
      <c r="K316" s="133">
        <f t="shared" si="4"/>
        <v>0</v>
      </c>
      <c r="L316" s="184">
        <f t="shared" si="4"/>
        <v>1922</v>
      </c>
      <c r="M316" s="133">
        <f t="shared" si="4"/>
        <v>0</v>
      </c>
      <c r="N316" s="184">
        <f t="shared" si="4"/>
        <v>38</v>
      </c>
      <c r="O316" s="133">
        <f t="shared" si="4"/>
        <v>0</v>
      </c>
      <c r="P316" s="140">
        <f t="shared" si="4"/>
        <v>1941</v>
      </c>
      <c r="Q316" s="133">
        <f t="shared" si="4"/>
        <v>0</v>
      </c>
      <c r="R316" s="140">
        <f t="shared" si="6"/>
        <v>1961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20</v>
      </c>
      <c r="W316" s="133">
        <f t="shared" si="5"/>
        <v>0</v>
      </c>
      <c r="X316" s="140">
        <f t="shared" si="5"/>
        <v>-20</v>
      </c>
      <c r="Y316" s="134">
        <f t="shared" si="5"/>
        <v>0</v>
      </c>
    </row>
    <row r="317" spans="2:25">
      <c r="B317" s="132">
        <f t="shared" si="4"/>
        <v>72</v>
      </c>
      <c r="C317" s="202" t="str">
        <f t="shared" si="4"/>
        <v>שמירה ובטחון</v>
      </c>
      <c r="D317" s="184">
        <f t="shared" si="4"/>
        <v>1</v>
      </c>
      <c r="E317" s="133">
        <f t="shared" si="4"/>
        <v>0</v>
      </c>
      <c r="F317" s="184">
        <f t="shared" si="4"/>
        <v>308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0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156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156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156</v>
      </c>
      <c r="W317" s="133">
        <f t="shared" si="5"/>
        <v>0</v>
      </c>
      <c r="X317" s="140">
        <f t="shared" si="5"/>
        <v>-156</v>
      </c>
      <c r="Y317" s="134">
        <f t="shared" si="5"/>
        <v>0</v>
      </c>
    </row>
    <row r="318" spans="2:25">
      <c r="B318" s="132">
        <f t="shared" si="4"/>
        <v>73</v>
      </c>
      <c r="C318" s="202" t="str">
        <f t="shared" si="4"/>
        <v>תכנון ובנין</v>
      </c>
      <c r="D318" s="184">
        <f t="shared" si="4"/>
        <v>7</v>
      </c>
      <c r="E318" s="133">
        <f t="shared" si="4"/>
        <v>0</v>
      </c>
      <c r="F318" s="184">
        <f t="shared" si="4"/>
        <v>5896</v>
      </c>
      <c r="G318" s="133">
        <f t="shared" si="4"/>
        <v>0</v>
      </c>
      <c r="H318" s="184">
        <f t="shared" si="4"/>
        <v>1365</v>
      </c>
      <c r="I318" s="133">
        <f t="shared" si="4"/>
        <v>0</v>
      </c>
      <c r="J318" s="184">
        <f t="shared" si="4"/>
        <v>1296</v>
      </c>
      <c r="K318" s="133">
        <f t="shared" si="4"/>
        <v>0</v>
      </c>
      <c r="L318" s="184">
        <f t="shared" si="4"/>
        <v>600</v>
      </c>
      <c r="M318" s="133">
        <f t="shared" si="4"/>
        <v>0</v>
      </c>
      <c r="N318" s="184">
        <f t="shared" si="4"/>
        <v>384</v>
      </c>
      <c r="O318" s="133">
        <f t="shared" si="4"/>
        <v>0</v>
      </c>
      <c r="P318" s="140">
        <f t="shared" si="4"/>
        <v>1965</v>
      </c>
      <c r="Q318" s="133">
        <f t="shared" si="4"/>
        <v>0</v>
      </c>
      <c r="R318" s="140">
        <f t="shared" si="6"/>
        <v>1680</v>
      </c>
      <c r="S318" s="133">
        <f t="shared" si="6"/>
        <v>0</v>
      </c>
      <c r="T318" s="184">
        <f t="shared" si="6"/>
        <v>578</v>
      </c>
      <c r="U318" s="133">
        <f t="shared" si="5"/>
        <v>0</v>
      </c>
      <c r="V318" s="140">
        <f t="shared" si="5"/>
        <v>293</v>
      </c>
      <c r="W318" s="133">
        <f t="shared" si="5"/>
        <v>0</v>
      </c>
      <c r="X318" s="140">
        <f t="shared" si="5"/>
        <v>285</v>
      </c>
      <c r="Y318" s="134">
        <f t="shared" si="5"/>
        <v>0</v>
      </c>
    </row>
    <row r="319" spans="2:25">
      <c r="B319" s="132">
        <f t="shared" si="4"/>
        <v>74</v>
      </c>
      <c r="C319" s="202" t="str">
        <f t="shared" si="4"/>
        <v>נכסים צבוריים</v>
      </c>
      <c r="D319" s="184">
        <f t="shared" si="4"/>
        <v>32</v>
      </c>
      <c r="E319" s="133">
        <f t="shared" si="4"/>
        <v>0</v>
      </c>
      <c r="F319" s="184">
        <f t="shared" si="4"/>
        <v>16074</v>
      </c>
      <c r="G319" s="133">
        <f t="shared" si="4"/>
        <v>0</v>
      </c>
      <c r="H319" s="184">
        <f t="shared" si="4"/>
        <v>6933</v>
      </c>
      <c r="I319" s="133">
        <f t="shared" si="4"/>
        <v>0</v>
      </c>
      <c r="J319" s="184">
        <f t="shared" si="4"/>
        <v>2146</v>
      </c>
      <c r="K319" s="133">
        <f t="shared" si="4"/>
        <v>0</v>
      </c>
      <c r="L319" s="184">
        <f t="shared" si="4"/>
        <v>518</v>
      </c>
      <c r="M319" s="133">
        <f t="shared" si="4"/>
        <v>0</v>
      </c>
      <c r="N319" s="184">
        <f t="shared" si="4"/>
        <v>4407</v>
      </c>
      <c r="O319" s="133">
        <f t="shared" si="4"/>
        <v>0</v>
      </c>
      <c r="P319" s="140">
        <f t="shared" si="4"/>
        <v>7451</v>
      </c>
      <c r="Q319" s="133">
        <f t="shared" si="4"/>
        <v>0</v>
      </c>
      <c r="R319" s="140">
        <f t="shared" si="6"/>
        <v>6553</v>
      </c>
      <c r="S319" s="133">
        <f t="shared" si="6"/>
        <v>0</v>
      </c>
      <c r="T319" s="184">
        <f t="shared" si="6"/>
        <v>1701</v>
      </c>
      <c r="U319" s="133">
        <f t="shared" si="5"/>
        <v>0</v>
      </c>
      <c r="V319" s="140">
        <f t="shared" si="5"/>
        <v>803</v>
      </c>
      <c r="W319" s="133">
        <f t="shared" si="5"/>
        <v>0</v>
      </c>
      <c r="X319" s="140">
        <f t="shared" si="5"/>
        <v>898</v>
      </c>
      <c r="Y319" s="134">
        <f t="shared" si="5"/>
        <v>0</v>
      </c>
    </row>
    <row r="320" spans="2:25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1</v>
      </c>
      <c r="E322" s="133">
        <f t="shared" si="7"/>
        <v>0</v>
      </c>
      <c r="F322" s="184">
        <f t="shared" si="7"/>
        <v>800</v>
      </c>
      <c r="G322" s="133">
        <f t="shared" si="7"/>
        <v>0</v>
      </c>
      <c r="H322" s="184">
        <f t="shared" si="7"/>
        <v>0</v>
      </c>
      <c r="I322" s="133">
        <f t="shared" si="7"/>
        <v>0</v>
      </c>
      <c r="J322" s="184">
        <f t="shared" si="7"/>
        <v>20</v>
      </c>
      <c r="K322" s="133">
        <f t="shared" si="7"/>
        <v>0</v>
      </c>
      <c r="L322" s="184">
        <f t="shared" si="7"/>
        <v>374</v>
      </c>
      <c r="M322" s="133">
        <f t="shared" si="7"/>
        <v>0</v>
      </c>
      <c r="N322" s="184">
        <f t="shared" si="7"/>
        <v>513</v>
      </c>
      <c r="O322" s="133">
        <f t="shared" si="7"/>
        <v>0</v>
      </c>
      <c r="P322" s="140">
        <f t="shared" si="7"/>
        <v>374</v>
      </c>
      <c r="Q322" s="133">
        <f t="shared" si="7"/>
        <v>0</v>
      </c>
      <c r="R322" s="140">
        <f t="shared" si="7"/>
        <v>533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159</v>
      </c>
      <c r="W322" s="133">
        <f t="shared" si="7"/>
        <v>0</v>
      </c>
      <c r="X322" s="140">
        <f t="shared" si="7"/>
        <v>-159</v>
      </c>
      <c r="Y322" s="134">
        <f t="shared" si="7"/>
        <v>0</v>
      </c>
    </row>
    <row r="323" spans="2:25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>
      <c r="B324" s="132">
        <f t="shared" si="7"/>
        <v>79</v>
      </c>
      <c r="C324" s="202" t="str">
        <f t="shared" si="7"/>
        <v>שרותים חקלאיים</v>
      </c>
      <c r="D324" s="184">
        <f t="shared" si="7"/>
        <v>1</v>
      </c>
      <c r="E324" s="133">
        <f t="shared" si="7"/>
        <v>0</v>
      </c>
      <c r="F324" s="184">
        <f t="shared" si="7"/>
        <v>247</v>
      </c>
      <c r="G324" s="133">
        <f t="shared" si="7"/>
        <v>0</v>
      </c>
      <c r="H324" s="184">
        <f t="shared" si="7"/>
        <v>0</v>
      </c>
      <c r="I324" s="133">
        <f t="shared" si="7"/>
        <v>0</v>
      </c>
      <c r="J324" s="184">
        <f t="shared" si="7"/>
        <v>0</v>
      </c>
      <c r="K324" s="133">
        <f t="shared" si="7"/>
        <v>0</v>
      </c>
      <c r="L324" s="184">
        <f t="shared" si="7"/>
        <v>50</v>
      </c>
      <c r="M324" s="133">
        <f t="shared" si="7"/>
        <v>0</v>
      </c>
      <c r="N324" s="184">
        <f t="shared" si="7"/>
        <v>64</v>
      </c>
      <c r="O324" s="133">
        <f t="shared" si="7"/>
        <v>0</v>
      </c>
      <c r="P324" s="140">
        <f t="shared" si="7"/>
        <v>50</v>
      </c>
      <c r="Q324" s="133">
        <f t="shared" si="7"/>
        <v>0</v>
      </c>
      <c r="R324" s="140">
        <f t="shared" si="7"/>
        <v>64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14</v>
      </c>
      <c r="W324" s="133">
        <f t="shared" si="7"/>
        <v>0</v>
      </c>
      <c r="X324" s="140">
        <f t="shared" si="7"/>
        <v>-14</v>
      </c>
      <c r="Y324" s="134">
        <f t="shared" si="7"/>
        <v>0</v>
      </c>
    </row>
    <row r="325" spans="2:25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48</v>
      </c>
      <c r="E325" s="133">
        <f t="shared" si="7"/>
        <v>0</v>
      </c>
      <c r="F325" s="184">
        <f t="shared" si="7"/>
        <v>85064</v>
      </c>
      <c r="G325" s="133">
        <f t="shared" si="7"/>
        <v>0</v>
      </c>
      <c r="H325" s="184">
        <f t="shared" si="7"/>
        <v>42948</v>
      </c>
      <c r="I325" s="133">
        <f t="shared" si="7"/>
        <v>0</v>
      </c>
      <c r="J325" s="184">
        <f t="shared" si="7"/>
        <v>45053</v>
      </c>
      <c r="K325" s="133">
        <f t="shared" si="7"/>
        <v>0</v>
      </c>
      <c r="L325" s="184">
        <f t="shared" si="7"/>
        <v>6279</v>
      </c>
      <c r="M325" s="133">
        <f t="shared" si="7"/>
        <v>0</v>
      </c>
      <c r="N325" s="184">
        <f t="shared" si="7"/>
        <v>6784</v>
      </c>
      <c r="O325" s="133">
        <f t="shared" si="7"/>
        <v>0</v>
      </c>
      <c r="P325" s="140">
        <f t="shared" si="7"/>
        <v>49227</v>
      </c>
      <c r="Q325" s="133">
        <f t="shared" si="7"/>
        <v>0</v>
      </c>
      <c r="R325" s="140">
        <f t="shared" si="7"/>
        <v>51837</v>
      </c>
      <c r="S325" s="133">
        <f t="shared" si="7"/>
        <v>0</v>
      </c>
      <c r="T325" s="184">
        <f t="shared" si="7"/>
        <v>924</v>
      </c>
      <c r="U325" s="133">
        <f t="shared" si="7"/>
        <v>0</v>
      </c>
      <c r="V325" s="140">
        <f t="shared" si="7"/>
        <v>3534</v>
      </c>
      <c r="W325" s="133">
        <f t="shared" si="7"/>
        <v>0</v>
      </c>
      <c r="X325" s="140">
        <f t="shared" si="7"/>
        <v>-2610</v>
      </c>
      <c r="Y325" s="134">
        <f t="shared" si="7"/>
        <v>0</v>
      </c>
    </row>
    <row r="326" spans="2:25">
      <c r="B326" s="132">
        <f t="shared" si="7"/>
        <v>82</v>
      </c>
      <c r="C326" s="202" t="str">
        <f t="shared" si="7"/>
        <v>תרבות</v>
      </c>
      <c r="D326" s="184">
        <f t="shared" si="7"/>
        <v>10</v>
      </c>
      <c r="E326" s="133">
        <f t="shared" si="7"/>
        <v>0</v>
      </c>
      <c r="F326" s="184">
        <f t="shared" si="7"/>
        <v>30957</v>
      </c>
      <c r="G326" s="133">
        <f t="shared" si="7"/>
        <v>0</v>
      </c>
      <c r="H326" s="184">
        <f t="shared" si="7"/>
        <v>5188</v>
      </c>
      <c r="I326" s="133">
        <f t="shared" si="7"/>
        <v>0</v>
      </c>
      <c r="J326" s="184">
        <f t="shared" si="7"/>
        <v>8748</v>
      </c>
      <c r="K326" s="133">
        <f t="shared" si="7"/>
        <v>0</v>
      </c>
      <c r="L326" s="184">
        <f t="shared" si="7"/>
        <v>2100</v>
      </c>
      <c r="M326" s="133">
        <f t="shared" si="7"/>
        <v>0</v>
      </c>
      <c r="N326" s="184">
        <f t="shared" si="7"/>
        <v>2106</v>
      </c>
      <c r="O326" s="133">
        <f t="shared" si="7"/>
        <v>0</v>
      </c>
      <c r="P326" s="140">
        <f t="shared" si="7"/>
        <v>7288</v>
      </c>
      <c r="Q326" s="133">
        <f t="shared" si="7"/>
        <v>0</v>
      </c>
      <c r="R326" s="140">
        <f t="shared" si="7"/>
        <v>10854</v>
      </c>
      <c r="S326" s="133">
        <f t="shared" si="7"/>
        <v>0</v>
      </c>
      <c r="T326" s="184">
        <f t="shared" si="7"/>
        <v>766</v>
      </c>
      <c r="U326" s="133">
        <f t="shared" si="7"/>
        <v>0</v>
      </c>
      <c r="V326" s="140">
        <f t="shared" si="7"/>
        <v>4332</v>
      </c>
      <c r="W326" s="133">
        <f t="shared" si="7"/>
        <v>0</v>
      </c>
      <c r="X326" s="140">
        <f t="shared" si="7"/>
        <v>-3566</v>
      </c>
      <c r="Y326" s="134">
        <f t="shared" si="7"/>
        <v>0</v>
      </c>
    </row>
    <row r="327" spans="2:25">
      <c r="B327" s="132">
        <f t="shared" si="7"/>
        <v>83</v>
      </c>
      <c r="C327" s="202" t="str">
        <f t="shared" si="7"/>
        <v>בריאות</v>
      </c>
      <c r="D327" s="184">
        <f t="shared" si="7"/>
        <v>1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0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369</v>
      </c>
      <c r="Q327" s="133">
        <f t="shared" si="7"/>
        <v>0</v>
      </c>
      <c r="R327" s="140">
        <f t="shared" si="7"/>
        <v>305</v>
      </c>
      <c r="S327" s="133">
        <f t="shared" si="7"/>
        <v>0</v>
      </c>
      <c r="T327" s="184">
        <f t="shared" si="7"/>
        <v>64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64</v>
      </c>
      <c r="Y327" s="134">
        <f t="shared" si="7"/>
        <v>0</v>
      </c>
    </row>
    <row r="328" spans="2:25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4362</v>
      </c>
      <c r="G328" s="133">
        <f t="shared" si="7"/>
        <v>0</v>
      </c>
      <c r="H328" s="184">
        <f t="shared" si="7"/>
        <v>971</v>
      </c>
      <c r="I328" s="133">
        <f t="shared" si="7"/>
        <v>0</v>
      </c>
      <c r="J328" s="184">
        <f t="shared" si="7"/>
        <v>826</v>
      </c>
      <c r="K328" s="133">
        <f t="shared" si="7"/>
        <v>0</v>
      </c>
      <c r="L328" s="184">
        <f t="shared" si="7"/>
        <v>0</v>
      </c>
      <c r="M328" s="133">
        <f t="shared" si="7"/>
        <v>0</v>
      </c>
      <c r="N328" s="184">
        <f t="shared" si="7"/>
        <v>323</v>
      </c>
      <c r="O328" s="133">
        <f t="shared" si="7"/>
        <v>0</v>
      </c>
      <c r="P328" s="140">
        <f t="shared" si="7"/>
        <v>971</v>
      </c>
      <c r="Q328" s="133">
        <f t="shared" si="7"/>
        <v>0</v>
      </c>
      <c r="R328" s="140">
        <f t="shared" si="7"/>
        <v>1149</v>
      </c>
      <c r="S328" s="133">
        <f t="shared" si="7"/>
        <v>0</v>
      </c>
      <c r="T328" s="184">
        <f t="shared" si="7"/>
        <v>0</v>
      </c>
      <c r="U328" s="133">
        <f t="shared" si="7"/>
        <v>0</v>
      </c>
      <c r="V328" s="140">
        <f t="shared" si="7"/>
        <v>178</v>
      </c>
      <c r="W328" s="133">
        <f t="shared" si="7"/>
        <v>0</v>
      </c>
      <c r="X328" s="140">
        <f t="shared" si="7"/>
        <v>-178</v>
      </c>
      <c r="Y328" s="134">
        <f t="shared" si="7"/>
        <v>0</v>
      </c>
    </row>
    <row r="329" spans="2:25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>
      <c r="B331" s="132">
        <f t="shared" si="7"/>
        <v>87</v>
      </c>
      <c r="C331" s="202" t="str">
        <f t="shared" si="7"/>
        <v>איכות הסביבה</v>
      </c>
      <c r="D331" s="184">
        <f t="shared" si="7"/>
        <v>1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0</v>
      </c>
      <c r="I331" s="133">
        <f t="shared" si="7"/>
        <v>0</v>
      </c>
      <c r="J331" s="184">
        <f t="shared" si="7"/>
        <v>0</v>
      </c>
      <c r="K331" s="133">
        <f t="shared" si="7"/>
        <v>0</v>
      </c>
      <c r="L331" s="184">
        <f t="shared" si="7"/>
        <v>0</v>
      </c>
      <c r="M331" s="133">
        <f t="shared" si="7"/>
        <v>0</v>
      </c>
      <c r="N331" s="184">
        <f t="shared" si="7"/>
        <v>0</v>
      </c>
      <c r="O331" s="133">
        <f t="shared" si="7"/>
        <v>0</v>
      </c>
      <c r="P331" s="140">
        <f t="shared" si="7"/>
        <v>0</v>
      </c>
      <c r="Q331" s="133">
        <f t="shared" ref="Q331:Y331" si="8">Q27</f>
        <v>0</v>
      </c>
      <c r="R331" s="140">
        <f t="shared" si="8"/>
        <v>0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0</v>
      </c>
      <c r="Y331" s="134">
        <f t="shared" si="8"/>
        <v>0</v>
      </c>
    </row>
    <row r="332" spans="2:25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200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200</v>
      </c>
      <c r="W334" s="133">
        <f t="shared" si="10"/>
        <v>0</v>
      </c>
      <c r="X334" s="140">
        <f t="shared" si="10"/>
        <v>-200</v>
      </c>
      <c r="Y334" s="134">
        <f t="shared" si="10"/>
        <v>0</v>
      </c>
    </row>
    <row r="335" spans="2:25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" thickBot="1">
      <c r="B341" s="132">
        <f t="shared" si="9"/>
        <v>0</v>
      </c>
      <c r="C341" s="133" t="str">
        <f t="shared" si="9"/>
        <v>סה"כ</v>
      </c>
      <c r="D341" s="145">
        <f t="shared" si="9"/>
        <v>107</v>
      </c>
      <c r="E341" s="133">
        <f t="shared" si="9"/>
        <v>0</v>
      </c>
      <c r="F341" s="145">
        <f t="shared" si="9"/>
        <v>149426</v>
      </c>
      <c r="G341" s="133">
        <f t="shared" si="9"/>
        <v>0</v>
      </c>
      <c r="H341" s="145">
        <f t="shared" si="9"/>
        <v>57793</v>
      </c>
      <c r="I341" s="133">
        <f t="shared" si="9"/>
        <v>0</v>
      </c>
      <c r="J341" s="145">
        <f t="shared" si="9"/>
        <v>60517</v>
      </c>
      <c r="K341" s="133">
        <f t="shared" si="9"/>
        <v>0</v>
      </c>
      <c r="L341" s="145">
        <f t="shared" si="9"/>
        <v>11843</v>
      </c>
      <c r="M341" s="133">
        <f t="shared" si="9"/>
        <v>0</v>
      </c>
      <c r="N341" s="145">
        <f t="shared" si="9"/>
        <v>14807</v>
      </c>
      <c r="O341" s="133">
        <f t="shared" si="9"/>
        <v>0</v>
      </c>
      <c r="P341" s="145">
        <f t="shared" si="9"/>
        <v>69636</v>
      </c>
      <c r="Q341" s="133">
        <f t="shared" si="9"/>
        <v>0</v>
      </c>
      <c r="R341" s="145">
        <f t="shared" si="9"/>
        <v>75324</v>
      </c>
      <c r="S341" s="133">
        <f t="shared" si="9"/>
        <v>0</v>
      </c>
      <c r="T341" s="145">
        <f t="shared" si="9"/>
        <v>4033</v>
      </c>
      <c r="U341" s="133">
        <f t="shared" si="10"/>
        <v>0</v>
      </c>
      <c r="V341" s="145">
        <f t="shared" si="10"/>
        <v>9721</v>
      </c>
      <c r="W341" s="133">
        <f t="shared" si="10"/>
        <v>0</v>
      </c>
      <c r="X341" s="145">
        <f t="shared" si="10"/>
        <v>-5688</v>
      </c>
      <c r="Y341" s="134">
        <f t="shared" si="10"/>
        <v>0</v>
      </c>
    </row>
    <row r="342" spans="2:25" ht="13" thickTop="1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115" zoomScaleNormal="115" workbookViewId="0">
      <selection activeCell="A4" sqref="A4"/>
    </sheetView>
  </sheetViews>
  <sheetFormatPr defaultColWidth="9.1796875" defaultRowHeight="12.5"/>
  <cols>
    <col min="1" max="1" width="12.1796875" style="106" customWidth="1"/>
    <col min="2" max="2" width="46.81640625" style="106" bestFit="1" customWidth="1"/>
    <col min="3" max="3" width="11.54296875" style="106" customWidth="1"/>
    <col min="4" max="4" width="2.7265625" style="106" customWidth="1"/>
    <col min="5" max="5" width="11.54296875" style="106" customWidth="1"/>
    <col min="6" max="6" width="2.7265625" style="106" customWidth="1"/>
    <col min="7" max="7" width="11.54296875" style="106" customWidth="1"/>
    <col min="8" max="8" width="2.7265625" style="106" customWidth="1"/>
    <col min="9" max="9" width="11.54296875" style="106" customWidth="1"/>
    <col min="10" max="10" width="2.7265625" style="106" customWidth="1"/>
    <col min="11" max="11" width="13" style="106" customWidth="1"/>
    <col min="12" max="12" width="2.7265625" style="106" customWidth="1"/>
    <col min="13" max="13" width="11.453125" style="106" customWidth="1"/>
    <col min="14" max="14" width="5.1796875" style="106" customWidth="1"/>
    <col min="15" max="16384" width="9.1796875" style="106"/>
  </cols>
  <sheetData>
    <row r="1" spans="1:15" ht="19" thickTop="1" thickBot="1">
      <c r="A1" s="105"/>
      <c r="B1" s="105"/>
      <c r="C1" s="640" t="str">
        <f>GufMevukar</f>
        <v>עיריית באקה אלגרבייה</v>
      </c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2"/>
      <c r="O1" s="216" t="str">
        <f>'הגדרות כלליות'!G24</f>
        <v>כן</v>
      </c>
    </row>
    <row r="2" spans="1:15" ht="19" thickTop="1" thickBot="1">
      <c r="A2" s="105"/>
      <c r="B2" s="105"/>
      <c r="C2" s="643" t="s">
        <v>771</v>
      </c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6"/>
      <c r="O2" s="105"/>
    </row>
    <row r="3" spans="1:15" ht="19" thickTop="1" thickBot="1">
      <c r="A3" s="105"/>
      <c r="B3" s="105"/>
      <c r="C3" s="640" t="str">
        <f>ReportPeriod</f>
        <v>לתקופה: רבעון 4, שנת 2017</v>
      </c>
      <c r="D3" s="641"/>
      <c r="E3" s="641"/>
      <c r="F3" s="641"/>
      <c r="G3" s="641"/>
      <c r="H3" s="641"/>
      <c r="I3" s="641"/>
      <c r="J3" s="641"/>
      <c r="K3" s="641"/>
      <c r="L3" s="641"/>
      <c r="M3" s="641"/>
      <c r="N3" s="642"/>
      <c r="O3" s="105"/>
    </row>
    <row r="4" spans="1:15" ht="13.5" thickTop="1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>
      <c r="A9" s="110"/>
      <c r="B9" s="117" t="s">
        <v>779</v>
      </c>
      <c r="C9" s="118">
        <f>G30</f>
        <v>169983</v>
      </c>
      <c r="D9" s="115"/>
      <c r="E9" s="118">
        <v>164541</v>
      </c>
      <c r="F9" s="115"/>
      <c r="G9" s="118">
        <v>164541</v>
      </c>
      <c r="H9" s="115"/>
      <c r="I9" s="118">
        <f>M30</f>
        <v>37540</v>
      </c>
      <c r="J9" s="115"/>
      <c r="K9" s="118">
        <v>36804</v>
      </c>
      <c r="L9" s="115"/>
      <c r="M9" s="118">
        <v>36804</v>
      </c>
      <c r="N9" s="116"/>
      <c r="O9" s="111"/>
    </row>
    <row r="10" spans="1:15">
      <c r="A10" s="110"/>
      <c r="B10" s="117" t="s">
        <v>780</v>
      </c>
      <c r="C10" s="118">
        <v>-5199</v>
      </c>
      <c r="D10" s="115"/>
      <c r="E10" s="118">
        <v>-4132</v>
      </c>
      <c r="F10" s="115"/>
      <c r="G10" s="118">
        <v>-4132</v>
      </c>
      <c r="H10" s="115"/>
      <c r="I10" s="118">
        <f>-513-2</f>
        <v>-515</v>
      </c>
      <c r="J10" s="115"/>
      <c r="K10" s="118">
        <v>-221</v>
      </c>
      <c r="L10" s="115"/>
      <c r="M10" s="118">
        <v>-285</v>
      </c>
      <c r="N10" s="116"/>
      <c r="O10" s="111"/>
    </row>
    <row r="11" spans="1:15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>
      <c r="A12" s="110"/>
      <c r="B12" s="114" t="s">
        <v>782</v>
      </c>
      <c r="C12" s="118">
        <v>10012</v>
      </c>
      <c r="D12" s="115"/>
      <c r="E12" s="118">
        <v>8399</v>
      </c>
      <c r="F12" s="115"/>
      <c r="G12" s="118">
        <v>8399</v>
      </c>
      <c r="H12" s="115"/>
      <c r="I12" s="118">
        <v>2311</v>
      </c>
      <c r="J12" s="115"/>
      <c r="K12" s="118">
        <v>1733</v>
      </c>
      <c r="L12" s="115"/>
      <c r="M12" s="118">
        <v>1999</v>
      </c>
      <c r="N12" s="116"/>
      <c r="O12" s="111"/>
    </row>
    <row r="13" spans="1:15">
      <c r="A13" s="110"/>
      <c r="B13" s="117" t="s">
        <v>7</v>
      </c>
      <c r="C13" s="118">
        <v>-921</v>
      </c>
      <c r="D13" s="115"/>
      <c r="E13" s="118">
        <v>-677</v>
      </c>
      <c r="F13" s="115"/>
      <c r="G13" s="118">
        <v>-677</v>
      </c>
      <c r="H13" s="115"/>
      <c r="I13" s="118"/>
      <c r="J13" s="115"/>
      <c r="K13" s="118"/>
      <c r="L13" s="115"/>
      <c r="M13" s="118"/>
      <c r="N13" s="116"/>
      <c r="O13" s="111"/>
    </row>
    <row r="14" spans="1:15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>
      <c r="A15" s="110"/>
      <c r="B15" s="114" t="s">
        <v>784</v>
      </c>
      <c r="C15" s="67">
        <f>SUM(C9:C14)</f>
        <v>173875</v>
      </c>
      <c r="D15" s="115"/>
      <c r="E15" s="67">
        <f>SUM(E9:E14)</f>
        <v>168131</v>
      </c>
      <c r="F15" s="115"/>
      <c r="G15" s="67">
        <f>SUM(G9:G14)</f>
        <v>168131</v>
      </c>
      <c r="H15" s="115"/>
      <c r="I15" s="67">
        <f>SUM(I9:I14)</f>
        <v>39336</v>
      </c>
      <c r="J15" s="115"/>
      <c r="K15" s="67">
        <f>SUM(K9:K14)</f>
        <v>38316</v>
      </c>
      <c r="L15" s="115"/>
      <c r="M15" s="67">
        <f>SUM(M9:M14)</f>
        <v>38518</v>
      </c>
      <c r="N15" s="116"/>
      <c r="O15" s="111"/>
    </row>
    <row r="16" spans="1:15">
      <c r="A16" s="110"/>
      <c r="B16" s="114" t="s">
        <v>785</v>
      </c>
      <c r="C16" s="122">
        <v>6305</v>
      </c>
      <c r="D16" s="115"/>
      <c r="E16" s="590">
        <v>6965</v>
      </c>
      <c r="F16" s="115"/>
      <c r="G16" s="122">
        <v>6965</v>
      </c>
      <c r="H16" s="115"/>
      <c r="I16" s="122">
        <v>778</v>
      </c>
      <c r="J16" s="115"/>
      <c r="K16" s="122">
        <v>711</v>
      </c>
      <c r="L16" s="115"/>
      <c r="M16" s="122">
        <v>978</v>
      </c>
      <c r="N16" s="116"/>
      <c r="O16" s="111"/>
    </row>
    <row r="17" spans="1:15">
      <c r="A17" s="110"/>
      <c r="B17" s="114" t="s">
        <v>786</v>
      </c>
      <c r="C17" s="67">
        <f>C15-C16</f>
        <v>167570</v>
      </c>
      <c r="D17" s="115"/>
      <c r="E17" s="67">
        <f>E15-E16</f>
        <v>161166</v>
      </c>
      <c r="F17" s="115"/>
      <c r="G17" s="67">
        <f>G15-G16</f>
        <v>161166</v>
      </c>
      <c r="H17" s="115"/>
      <c r="I17" s="67">
        <f>I15-I16</f>
        <v>38558</v>
      </c>
      <c r="J17" s="115"/>
      <c r="K17" s="67">
        <f>K15-K16</f>
        <v>37605</v>
      </c>
      <c r="L17" s="115"/>
      <c r="M17" s="67">
        <f>M15-M16</f>
        <v>37540</v>
      </c>
      <c r="N17" s="116"/>
      <c r="O17" s="111"/>
    </row>
    <row r="18" spans="1:15" ht="22.5" customHeight="1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>
      <c r="A19" s="110"/>
      <c r="B19" s="114" t="s">
        <v>788</v>
      </c>
      <c r="C19" s="118">
        <v>29190</v>
      </c>
      <c r="D19" s="115"/>
      <c r="E19" s="118">
        <v>34042</v>
      </c>
      <c r="F19" s="115"/>
      <c r="G19" s="118">
        <v>34042</v>
      </c>
      <c r="H19" s="115"/>
      <c r="I19" s="118"/>
      <c r="J19" s="115"/>
      <c r="K19" s="118"/>
      <c r="L19" s="115"/>
      <c r="M19" s="118"/>
      <c r="N19" s="116"/>
      <c r="O19" s="111"/>
    </row>
    <row r="20" spans="1:15">
      <c r="A20" s="110"/>
      <c r="B20" s="114" t="s">
        <v>789</v>
      </c>
      <c r="C20" s="118">
        <f>18824+549</f>
        <v>19373</v>
      </c>
      <c r="D20" s="115"/>
      <c r="E20" s="118">
        <v>12362</v>
      </c>
      <c r="F20" s="115"/>
      <c r="G20" s="118">
        <f>11708+654</f>
        <v>12362</v>
      </c>
      <c r="H20" s="115"/>
      <c r="I20" s="177"/>
      <c r="J20" s="115"/>
      <c r="K20" s="118"/>
      <c r="L20" s="115"/>
      <c r="M20" s="118"/>
      <c r="N20" s="116"/>
      <c r="O20" s="111"/>
    </row>
    <row r="21" spans="1:15">
      <c r="A21" s="110"/>
      <c r="B21" s="117" t="s">
        <v>7</v>
      </c>
      <c r="C21" s="118">
        <v>-16584</v>
      </c>
      <c r="D21" s="115"/>
      <c r="E21" s="118">
        <v>-14392</v>
      </c>
      <c r="F21" s="115"/>
      <c r="G21" s="118">
        <v>-14392</v>
      </c>
      <c r="H21" s="115"/>
      <c r="I21" s="118"/>
      <c r="J21" s="115"/>
      <c r="K21" s="118"/>
      <c r="L21" s="115"/>
      <c r="M21" s="118"/>
      <c r="N21" s="116"/>
      <c r="O21" s="111"/>
    </row>
    <row r="22" spans="1:15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>
      <c r="A23" s="110"/>
      <c r="B23" s="114" t="s">
        <v>790</v>
      </c>
      <c r="C23" s="67">
        <f>SUM(C19:C22)</f>
        <v>31979</v>
      </c>
      <c r="D23" s="115"/>
      <c r="E23" s="67">
        <f>SUM(E19:E22)</f>
        <v>32012</v>
      </c>
      <c r="F23" s="115"/>
      <c r="G23" s="67">
        <f>SUM(G19:G22)</f>
        <v>32012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>
      <c r="A25" s="110"/>
      <c r="B25" s="114" t="s">
        <v>787</v>
      </c>
      <c r="C25" s="118">
        <v>23830</v>
      </c>
      <c r="D25" s="115"/>
      <c r="E25" s="118">
        <v>23195</v>
      </c>
      <c r="F25" s="115"/>
      <c r="G25" s="118">
        <v>23195</v>
      </c>
      <c r="H25" s="115"/>
      <c r="I25" s="118"/>
      <c r="J25" s="115"/>
      <c r="K25" s="118"/>
      <c r="L25" s="115"/>
      <c r="M25" s="118"/>
      <c r="N25" s="116"/>
      <c r="O25" s="111"/>
    </row>
    <row r="26" spans="1:15">
      <c r="A26" s="110"/>
      <c r="B26" s="114" t="s">
        <v>792</v>
      </c>
      <c r="C26" s="67">
        <f>SUM(C24:C25)</f>
        <v>23830</v>
      </c>
      <c r="D26" s="115"/>
      <c r="E26" s="67">
        <f>SUM(E24:E25)</f>
        <v>23195</v>
      </c>
      <c r="F26" s="115"/>
      <c r="G26" s="67">
        <f>SUM(G24:G25)</f>
        <v>23195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>
      <c r="A28" s="110"/>
      <c r="B28" s="114" t="s">
        <v>793</v>
      </c>
      <c r="C28" s="67">
        <f>C23-C26</f>
        <v>8149</v>
      </c>
      <c r="D28" s="115"/>
      <c r="E28" s="67">
        <f>E23-E26</f>
        <v>8817</v>
      </c>
      <c r="F28" s="115"/>
      <c r="G28" s="67">
        <f>G23-G26</f>
        <v>8817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" thickBot="1">
      <c r="A30" s="110"/>
      <c r="B30" s="114" t="s">
        <v>794</v>
      </c>
      <c r="C30" s="124">
        <f>C17+C28</f>
        <v>175719</v>
      </c>
      <c r="D30" s="115"/>
      <c r="E30" s="124">
        <f>E17+E28</f>
        <v>169983</v>
      </c>
      <c r="F30" s="115"/>
      <c r="G30" s="124">
        <f>G17+G28</f>
        <v>169983</v>
      </c>
      <c r="H30" s="115"/>
      <c r="I30" s="124">
        <f>I17+I28</f>
        <v>38558</v>
      </c>
      <c r="J30" s="115"/>
      <c r="K30" s="124">
        <f>K17+K28</f>
        <v>37605</v>
      </c>
      <c r="L30" s="115"/>
      <c r="M30" s="124">
        <f>M17+M28</f>
        <v>37540</v>
      </c>
      <c r="N30" s="116"/>
      <c r="O30" s="111"/>
    </row>
    <row r="31" spans="1:15" ht="13" thickTop="1">
      <c r="A31" s="110"/>
      <c r="B31" s="114" t="s">
        <v>795</v>
      </c>
      <c r="C31" s="123">
        <f>IF(C15&lt;&gt;0,ABS(C16)/C15,0)</f>
        <v>3.6261682242990652E-2</v>
      </c>
      <c r="D31" s="115"/>
      <c r="E31" s="123">
        <f>IF(E15&lt;&gt;0,ABS(E16)/E15,0)</f>
        <v>4.1426030892577813E-2</v>
      </c>
      <c r="F31" s="115"/>
      <c r="G31" s="123">
        <f>IF(G15&lt;&gt;0,ABS(G16)/G15,0)</f>
        <v>4.1426030892577813E-2</v>
      </c>
      <c r="H31" s="115"/>
      <c r="I31" s="123">
        <f>IF(I15&lt;&gt;0,ABS(I16)/I15,0)</f>
        <v>1.9778320113890583E-2</v>
      </c>
      <c r="J31" s="115"/>
      <c r="K31" s="123">
        <f>IF(K15&lt;&gt;0,ABS(K16)/K15,0)</f>
        <v>1.8556216724083932E-2</v>
      </c>
      <c r="L31" s="115"/>
      <c r="M31" s="123">
        <f>IF(M15&lt;&gt;0,ABS(M16)/M15,0)</f>
        <v>2.53907264136248E-2</v>
      </c>
      <c r="N31" s="116"/>
      <c r="O31" s="111"/>
    </row>
    <row r="32" spans="1:15" ht="25">
      <c r="A32" s="110"/>
      <c r="B32" s="489" t="s">
        <v>396</v>
      </c>
      <c r="C32" s="120">
        <f>IF(C$26&lt;&gt;0,ABS(C$26)/C$23,0)</f>
        <v>0.74517652209262331</v>
      </c>
      <c r="D32" s="115"/>
      <c r="E32" s="120">
        <f>IF(E$26&lt;&gt;0,ABS(E$26)/E$23,0)</f>
        <v>0.72457203548669247</v>
      </c>
      <c r="F32" s="115"/>
      <c r="G32" s="120">
        <f>IF(G$26&lt;&gt;0,ABS(G$26)/G$23,0)</f>
        <v>0.72457203548669247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>
      <c r="A33" s="110"/>
      <c r="B33" s="489" t="s">
        <v>395</v>
      </c>
      <c r="C33" s="120">
        <f>IF((C19+C20)&lt;&gt;0,ABS(C25)/(C19+C20),0)</f>
        <v>0.49070279842678582</v>
      </c>
      <c r="D33" s="115"/>
      <c r="E33" s="120">
        <f>IF((E19+E20)&lt;&gt;0,ABS(E25)/(E19+E20),0)</f>
        <v>0.49984915093526422</v>
      </c>
      <c r="F33" s="115"/>
      <c r="G33" s="120">
        <f>IF((G19+G20)&lt;&gt;0,ABS(G25)/(G19+G20),0)</f>
        <v>0.49984915093526422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>
      <c r="A34" s="110"/>
      <c r="B34" s="117" t="s">
        <v>397</v>
      </c>
      <c r="C34" s="471">
        <f>IF((C19+C20)&lt;&gt;0,ABS(C26)/(C19+C20),0)</f>
        <v>0.49070279842678582</v>
      </c>
      <c r="D34" s="115"/>
      <c r="E34" s="471">
        <f>IF((E19+E20)&lt;&gt;0,ABS(E26)/(E19+E20),0)</f>
        <v>0.49984915093526422</v>
      </c>
      <c r="F34" s="115"/>
      <c r="G34" s="471">
        <f>IF((G19+G20)&lt;&gt;0,ABS(G26)/(G19+G20),0)</f>
        <v>0.49984915093526422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>
      <c r="A35" s="110"/>
      <c r="B35" s="117" t="s">
        <v>448</v>
      </c>
      <c r="C35" s="120">
        <f>IF((C15+C23)&lt;&gt;0,(C26+C16)/(C23+C15),0)</f>
        <v>0.14639016001632224</v>
      </c>
      <c r="D35" s="115"/>
      <c r="E35" s="120">
        <f>IF((E15+E23)&lt;&gt;0,(E26+E16)/(E23+E15),0)</f>
        <v>0.15069225503764808</v>
      </c>
      <c r="F35" s="115"/>
      <c r="G35" s="120">
        <f>IF((G15+G23)&lt;&gt;0,(G26+G16)/(G23+G15),0)</f>
        <v>0.15069225503764808</v>
      </c>
      <c r="H35" s="115"/>
      <c r="I35" s="120">
        <f>IF((I15+I23)&lt;&gt;0,(I26+I16)/(I23+I15),0)</f>
        <v>1.9778320113890583E-2</v>
      </c>
      <c r="J35" s="115"/>
      <c r="K35" s="120">
        <f>IF((K15+K23)&lt;&gt;0,(K26+K16)/(K23+K15),0)</f>
        <v>1.8556216724083932E-2</v>
      </c>
      <c r="L35" s="115"/>
      <c r="M35" s="120">
        <f>IF((M15+M23)&lt;&gt;0,(M26+M16)/(M23+M15),0)</f>
        <v>2.53907264136248E-2</v>
      </c>
      <c r="N35" s="116"/>
      <c r="O35" s="111"/>
    </row>
    <row r="36" spans="1:15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" thickBot="1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" thickTop="1"/>
    <row r="303" spans="2:13" ht="18">
      <c r="B303" s="644" t="str">
        <f>C1</f>
        <v>עיריית באקה אלגרבייה</v>
      </c>
      <c r="C303" s="644"/>
      <c r="D303" s="644"/>
      <c r="E303" s="644"/>
      <c r="F303" s="644"/>
      <c r="G303" s="644"/>
      <c r="H303" s="644"/>
      <c r="I303" s="644"/>
      <c r="J303" s="644"/>
      <c r="K303" s="644"/>
      <c r="L303" s="644"/>
      <c r="M303" s="644"/>
    </row>
    <row r="304" spans="2:13" ht="18">
      <c r="B304" s="644" t="str">
        <f>C2</f>
        <v>דוח גבייה ויתרת חייבים באלפי ₪</v>
      </c>
      <c r="C304" s="644"/>
      <c r="D304" s="644"/>
      <c r="E304" s="644"/>
      <c r="F304" s="644"/>
      <c r="G304" s="644"/>
      <c r="H304" s="644"/>
      <c r="I304" s="644"/>
      <c r="J304" s="644"/>
      <c r="K304" s="644"/>
      <c r="L304" s="644"/>
      <c r="M304" s="644"/>
    </row>
    <row r="305" spans="2:14" ht="18">
      <c r="B305" s="644" t="str">
        <f>C3</f>
        <v>לתקופה: רבעון 4, שנת 2017</v>
      </c>
      <c r="C305" s="644"/>
      <c r="D305" s="644"/>
      <c r="E305" s="644"/>
      <c r="F305" s="644"/>
      <c r="G305" s="644"/>
      <c r="H305" s="644"/>
      <c r="I305" s="644"/>
      <c r="J305" s="644"/>
      <c r="K305" s="644"/>
      <c r="L305" s="644"/>
      <c r="M305" s="644"/>
    </row>
    <row r="306" spans="2:14" ht="8.25" customHeight="1"/>
    <row r="307" spans="2:14" ht="6" customHeight="1"/>
    <row r="308" spans="2:14" ht="8.25" customHeight="1"/>
    <row r="309" spans="2:14" ht="39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5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>
      <c r="B311" s="132" t="str">
        <f t="shared" si="1"/>
        <v>יתרת פיגורים ריאלית לתחילת השנה</v>
      </c>
      <c r="C311" s="183">
        <f t="shared" si="0"/>
        <v>169983</v>
      </c>
      <c r="D311" s="133">
        <f t="shared" si="0"/>
        <v>0</v>
      </c>
      <c r="E311" s="183">
        <f t="shared" si="0"/>
        <v>164541</v>
      </c>
      <c r="F311" s="133">
        <f t="shared" si="0"/>
        <v>0</v>
      </c>
      <c r="G311" s="183">
        <f t="shared" si="0"/>
        <v>164541</v>
      </c>
      <c r="H311" s="133">
        <f t="shared" si="0"/>
        <v>0</v>
      </c>
      <c r="I311" s="183">
        <f t="shared" si="0"/>
        <v>37540</v>
      </c>
      <c r="J311" s="133">
        <f t="shared" si="0"/>
        <v>0</v>
      </c>
      <c r="K311" s="183">
        <f t="shared" si="0"/>
        <v>36804</v>
      </c>
      <c r="L311" s="133">
        <f t="shared" si="0"/>
        <v>0</v>
      </c>
      <c r="M311" s="183">
        <f t="shared" si="0"/>
        <v>36804</v>
      </c>
      <c r="N311" s="134">
        <f t="shared" si="0"/>
        <v>0</v>
      </c>
    </row>
    <row r="312" spans="2:14">
      <c r="B312" s="132" t="str">
        <f t="shared" si="1"/>
        <v>חיוב / זיכוי נוסף</v>
      </c>
      <c r="C312" s="184">
        <f t="shared" si="0"/>
        <v>-5199</v>
      </c>
      <c r="D312" s="133">
        <f t="shared" si="0"/>
        <v>0</v>
      </c>
      <c r="E312" s="184">
        <f t="shared" si="0"/>
        <v>-4132</v>
      </c>
      <c r="F312" s="133">
        <f t="shared" si="0"/>
        <v>0</v>
      </c>
      <c r="G312" s="184">
        <f t="shared" si="0"/>
        <v>-4132</v>
      </c>
      <c r="H312" s="133">
        <f t="shared" si="0"/>
        <v>0</v>
      </c>
      <c r="I312" s="184">
        <f t="shared" si="0"/>
        <v>-515</v>
      </c>
      <c r="J312" s="133">
        <f t="shared" si="0"/>
        <v>0</v>
      </c>
      <c r="K312" s="184">
        <f t="shared" si="0"/>
        <v>-221</v>
      </c>
      <c r="L312" s="133">
        <f t="shared" si="0"/>
        <v>0</v>
      </c>
      <c r="M312" s="184">
        <f t="shared" si="0"/>
        <v>-285</v>
      </c>
      <c r="N312" s="134">
        <f t="shared" si="0"/>
        <v>0</v>
      </c>
    </row>
    <row r="313" spans="2:14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>
      <c r="B314" s="132" t="str">
        <f t="shared" si="1"/>
        <v>חיובים במהלך התקופה כולל ריבית והצמדה</v>
      </c>
      <c r="C314" s="184">
        <f t="shared" si="0"/>
        <v>10012</v>
      </c>
      <c r="D314" s="133">
        <f t="shared" si="0"/>
        <v>0</v>
      </c>
      <c r="E314" s="184">
        <f t="shared" si="0"/>
        <v>8399</v>
      </c>
      <c r="F314" s="133">
        <f t="shared" si="0"/>
        <v>0</v>
      </c>
      <c r="G314" s="184">
        <f t="shared" si="0"/>
        <v>8399</v>
      </c>
      <c r="H314" s="133">
        <f t="shared" si="0"/>
        <v>0</v>
      </c>
      <c r="I314" s="184">
        <f t="shared" si="0"/>
        <v>2311</v>
      </c>
      <c r="J314" s="133">
        <f t="shared" si="0"/>
        <v>0</v>
      </c>
      <c r="K314" s="184">
        <f t="shared" si="0"/>
        <v>1733</v>
      </c>
      <c r="L314" s="133">
        <f t="shared" si="0"/>
        <v>0</v>
      </c>
      <c r="M314" s="184">
        <f t="shared" si="0"/>
        <v>1999</v>
      </c>
      <c r="N314" s="134">
        <f t="shared" si="0"/>
        <v>0</v>
      </c>
    </row>
    <row r="315" spans="2:14">
      <c r="B315" s="132" t="str">
        <f t="shared" si="1"/>
        <v>הנחות ופטורים (במינוס)</v>
      </c>
      <c r="C315" s="184">
        <f t="shared" si="0"/>
        <v>-921</v>
      </c>
      <c r="D315" s="133">
        <f t="shared" si="0"/>
        <v>0</v>
      </c>
      <c r="E315" s="184">
        <f t="shared" si="0"/>
        <v>-677</v>
      </c>
      <c r="F315" s="133">
        <f t="shared" si="0"/>
        <v>0</v>
      </c>
      <c r="G315" s="184">
        <f t="shared" si="0"/>
        <v>-677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>
      <c r="B317" s="132" t="str">
        <f t="shared" si="1"/>
        <v>סה"כ יתרת פיגורים לגבייה</v>
      </c>
      <c r="C317" s="143">
        <f t="shared" si="0"/>
        <v>173875</v>
      </c>
      <c r="D317" s="133">
        <f t="shared" si="0"/>
        <v>0</v>
      </c>
      <c r="E317" s="143">
        <f t="shared" si="0"/>
        <v>168131</v>
      </c>
      <c r="F317" s="133">
        <f t="shared" si="0"/>
        <v>0</v>
      </c>
      <c r="G317" s="143">
        <f t="shared" si="0"/>
        <v>168131</v>
      </c>
      <c r="H317" s="133">
        <f t="shared" si="0"/>
        <v>0</v>
      </c>
      <c r="I317" s="143">
        <f t="shared" si="0"/>
        <v>39336</v>
      </c>
      <c r="J317" s="133">
        <f t="shared" si="0"/>
        <v>0</v>
      </c>
      <c r="K317" s="143">
        <f t="shared" si="0"/>
        <v>38316</v>
      </c>
      <c r="L317" s="133">
        <f t="shared" si="0"/>
        <v>0</v>
      </c>
      <c r="M317" s="143">
        <f t="shared" si="0"/>
        <v>38518</v>
      </c>
      <c r="N317" s="134">
        <f t="shared" si="0"/>
        <v>0</v>
      </c>
    </row>
    <row r="318" spans="2:14">
      <c r="B318" s="132" t="str">
        <f t="shared" si="1"/>
        <v>גבייה בגין פיגורים</v>
      </c>
      <c r="C318" s="183">
        <f t="shared" si="0"/>
        <v>6305</v>
      </c>
      <c r="D318" s="133">
        <f t="shared" si="0"/>
        <v>0</v>
      </c>
      <c r="E318" s="183">
        <f t="shared" si="0"/>
        <v>6965</v>
      </c>
      <c r="F318" s="133">
        <f t="shared" si="0"/>
        <v>0</v>
      </c>
      <c r="G318" s="183">
        <f t="shared" si="0"/>
        <v>6965</v>
      </c>
      <c r="H318" s="133">
        <f t="shared" si="0"/>
        <v>0</v>
      </c>
      <c r="I318" s="183">
        <f t="shared" si="0"/>
        <v>778</v>
      </c>
      <c r="J318" s="133">
        <f t="shared" si="0"/>
        <v>0</v>
      </c>
      <c r="K318" s="183">
        <f t="shared" si="0"/>
        <v>711</v>
      </c>
      <c r="L318" s="133">
        <f t="shared" si="0"/>
        <v>0</v>
      </c>
      <c r="M318" s="183">
        <f t="shared" si="0"/>
        <v>978</v>
      </c>
      <c r="N318" s="134">
        <f t="shared" si="0"/>
        <v>0</v>
      </c>
    </row>
    <row r="319" spans="2:14">
      <c r="B319" s="132" t="str">
        <f t="shared" si="1"/>
        <v>יתרת פיגורים בגין שנים קודמות</v>
      </c>
      <c r="C319" s="143">
        <f t="shared" si="0"/>
        <v>167570</v>
      </c>
      <c r="D319" s="133">
        <f t="shared" si="0"/>
        <v>0</v>
      </c>
      <c r="E319" s="143">
        <f t="shared" si="0"/>
        <v>161166</v>
      </c>
      <c r="F319" s="133">
        <f t="shared" si="0"/>
        <v>0</v>
      </c>
      <c r="G319" s="143">
        <f t="shared" si="0"/>
        <v>161166</v>
      </c>
      <c r="H319" s="133">
        <f t="shared" si="0"/>
        <v>0</v>
      </c>
      <c r="I319" s="143">
        <f t="shared" si="0"/>
        <v>38558</v>
      </c>
      <c r="J319" s="133">
        <f t="shared" si="0"/>
        <v>0</v>
      </c>
      <c r="K319" s="143">
        <f t="shared" si="0"/>
        <v>37605</v>
      </c>
      <c r="L319" s="133">
        <f t="shared" si="0"/>
        <v>0</v>
      </c>
      <c r="M319" s="143">
        <f t="shared" si="0"/>
        <v>37540</v>
      </c>
      <c r="N319" s="134">
        <f t="shared" si="0"/>
        <v>0</v>
      </c>
    </row>
    <row r="320" spans="2:14" ht="15.5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>
      <c r="B321" s="132" t="str">
        <f t="shared" si="1"/>
        <v>חיוב תקופתי שוטף מצטבר</v>
      </c>
      <c r="C321" s="183">
        <f t="shared" si="0"/>
        <v>29190</v>
      </c>
      <c r="D321" s="133">
        <f t="shared" si="0"/>
        <v>0</v>
      </c>
      <c r="E321" s="183">
        <f t="shared" si="0"/>
        <v>34042</v>
      </c>
      <c r="F321" s="133">
        <f t="shared" si="0"/>
        <v>0</v>
      </c>
      <c r="G321" s="183">
        <f t="shared" si="0"/>
        <v>34042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>
      <c r="B322" s="132" t="str">
        <f t="shared" si="1"/>
        <v>חיוב/זיכוי נוסף כולל ריבית והצמדה</v>
      </c>
      <c r="C322" s="184">
        <f t="shared" si="0"/>
        <v>19373</v>
      </c>
      <c r="D322" s="133">
        <f t="shared" si="0"/>
        <v>0</v>
      </c>
      <c r="E322" s="184">
        <f t="shared" si="0"/>
        <v>12362</v>
      </c>
      <c r="F322" s="133">
        <f t="shared" si="0"/>
        <v>0</v>
      </c>
      <c r="G322" s="184">
        <f t="shared" si="0"/>
        <v>12362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>
      <c r="B323" s="132" t="str">
        <f t="shared" si="1"/>
        <v>הנחות ופטורים (במינוס)</v>
      </c>
      <c r="C323" s="184">
        <f t="shared" si="0"/>
        <v>-16584</v>
      </c>
      <c r="D323" s="133">
        <f t="shared" si="0"/>
        <v>0</v>
      </c>
      <c r="E323" s="184">
        <f t="shared" si="0"/>
        <v>-14392</v>
      </c>
      <c r="F323" s="133">
        <f t="shared" si="0"/>
        <v>0</v>
      </c>
      <c r="G323" s="184">
        <f t="shared" si="0"/>
        <v>-14392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>
      <c r="B325" s="132" t="str">
        <f t="shared" si="1"/>
        <v>סה"כ חיוב תקופתי לגבייה</v>
      </c>
      <c r="C325" s="143">
        <f t="shared" ref="C325:N325" si="2">C23</f>
        <v>31979</v>
      </c>
      <c r="D325" s="133">
        <f t="shared" si="2"/>
        <v>0</v>
      </c>
      <c r="E325" s="143">
        <f t="shared" si="2"/>
        <v>32012</v>
      </c>
      <c r="F325" s="133">
        <f t="shared" si="2"/>
        <v>0</v>
      </c>
      <c r="G325" s="143">
        <f t="shared" si="2"/>
        <v>32012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>
      <c r="B327" s="132" t="str">
        <f t="shared" ref="B327:N327" si="4">B25</f>
        <v>גבייה שוטפת</v>
      </c>
      <c r="C327" s="184">
        <f t="shared" si="4"/>
        <v>23830</v>
      </c>
      <c r="D327" s="133">
        <f t="shared" si="4"/>
        <v>0</v>
      </c>
      <c r="E327" s="184">
        <f t="shared" si="4"/>
        <v>23195</v>
      </c>
      <c r="F327" s="133">
        <f t="shared" si="4"/>
        <v>0</v>
      </c>
      <c r="G327" s="184">
        <f t="shared" si="4"/>
        <v>23195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>
      <c r="B328" s="132" t="str">
        <f t="shared" ref="B328:N328" si="5">B26</f>
        <v>סה"כ גבייה שוטפת</v>
      </c>
      <c r="C328" s="143">
        <f t="shared" si="5"/>
        <v>23830</v>
      </c>
      <c r="D328" s="133">
        <f t="shared" si="5"/>
        <v>0</v>
      </c>
      <c r="E328" s="143">
        <f t="shared" si="5"/>
        <v>23195</v>
      </c>
      <c r="F328" s="133">
        <f t="shared" si="5"/>
        <v>0</v>
      </c>
      <c r="G328" s="143">
        <f t="shared" si="5"/>
        <v>23195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>
      <c r="B330" s="132" t="str">
        <f t="shared" ref="B330:N330" si="7">B28</f>
        <v>יתרת פיגורים לתקופה</v>
      </c>
      <c r="C330" s="143">
        <f t="shared" si="7"/>
        <v>8149</v>
      </c>
      <c r="D330" s="133">
        <f t="shared" si="7"/>
        <v>0</v>
      </c>
      <c r="E330" s="143">
        <f t="shared" si="7"/>
        <v>8817</v>
      </c>
      <c r="F330" s="133">
        <f t="shared" si="7"/>
        <v>0</v>
      </c>
      <c r="G330" s="143">
        <f t="shared" si="7"/>
        <v>8817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" thickBot="1">
      <c r="B332" s="132" t="str">
        <f t="shared" ref="B332:N332" si="9">B30</f>
        <v>יתרת פיגורים כוללת לסוף התקופה</v>
      </c>
      <c r="C332" s="145">
        <f t="shared" si="9"/>
        <v>175719</v>
      </c>
      <c r="D332" s="133">
        <f t="shared" si="9"/>
        <v>0</v>
      </c>
      <c r="E332" s="145">
        <f t="shared" si="9"/>
        <v>169983</v>
      </c>
      <c r="F332" s="133">
        <f t="shared" si="9"/>
        <v>0</v>
      </c>
      <c r="G332" s="145">
        <f t="shared" si="9"/>
        <v>169983</v>
      </c>
      <c r="H332" s="133">
        <f t="shared" si="9"/>
        <v>0</v>
      </c>
      <c r="I332" s="145">
        <f t="shared" si="9"/>
        <v>38558</v>
      </c>
      <c r="J332" s="133">
        <f t="shared" si="9"/>
        <v>0</v>
      </c>
      <c r="K332" s="145">
        <f t="shared" si="9"/>
        <v>37605</v>
      </c>
      <c r="L332" s="133">
        <f t="shared" si="9"/>
        <v>0</v>
      </c>
      <c r="M332" s="145">
        <f t="shared" si="9"/>
        <v>37540</v>
      </c>
      <c r="N332" s="134">
        <f t="shared" si="9"/>
        <v>0</v>
      </c>
    </row>
    <row r="333" spans="2:14" ht="13" thickTop="1">
      <c r="B333" s="132" t="str">
        <f t="shared" ref="B333:N333" si="10">B31</f>
        <v>% גבייה מהפיגורים (בניכוי הנחות)</v>
      </c>
      <c r="C333" s="138">
        <f t="shared" si="10"/>
        <v>3.6261682242990652E-2</v>
      </c>
      <c r="D333" s="133">
        <f t="shared" si="10"/>
        <v>0</v>
      </c>
      <c r="E333" s="138">
        <f t="shared" si="10"/>
        <v>4.1426030892577813E-2</v>
      </c>
      <c r="F333" s="133">
        <f t="shared" si="10"/>
        <v>0</v>
      </c>
      <c r="G333" s="138">
        <f t="shared" si="10"/>
        <v>4.1426030892577813E-2</v>
      </c>
      <c r="H333" s="133">
        <f t="shared" si="10"/>
        <v>0</v>
      </c>
      <c r="I333" s="138">
        <f t="shared" si="10"/>
        <v>1.9778320113890583E-2</v>
      </c>
      <c r="J333" s="133">
        <f t="shared" si="10"/>
        <v>0</v>
      </c>
      <c r="K333" s="138">
        <f t="shared" si="10"/>
        <v>1.8556216724083932E-2</v>
      </c>
      <c r="L333" s="133">
        <f t="shared" si="10"/>
        <v>0</v>
      </c>
      <c r="M333" s="138">
        <f t="shared" si="10"/>
        <v>2.53907264136248E-2</v>
      </c>
      <c r="N333" s="134">
        <f t="shared" si="10"/>
        <v>0</v>
      </c>
    </row>
    <row r="334" spans="2:14" ht="25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0.74517652209262331</v>
      </c>
      <c r="D334" s="133">
        <f t="shared" si="11"/>
        <v>0</v>
      </c>
      <c r="E334" s="141">
        <f t="shared" si="11"/>
        <v>0.72457203548669247</v>
      </c>
      <c r="F334" s="133">
        <f t="shared" si="11"/>
        <v>0</v>
      </c>
      <c r="G334" s="141">
        <f t="shared" si="11"/>
        <v>0.72457203548669247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>
      <c r="B335" s="144" t="str">
        <f t="shared" ref="B335:M335" si="12">B33</f>
        <v>% גבייה שוטפת מסה"כ חיוב תקופתי - כולל הנחות</v>
      </c>
      <c r="C335" s="141">
        <f t="shared" si="12"/>
        <v>0.49070279842678582</v>
      </c>
      <c r="D335" s="133">
        <f t="shared" si="12"/>
        <v>0</v>
      </c>
      <c r="E335" s="141">
        <f t="shared" si="12"/>
        <v>0.49984915093526422</v>
      </c>
      <c r="F335" s="133">
        <f t="shared" si="12"/>
        <v>0</v>
      </c>
      <c r="G335" s="141">
        <f t="shared" si="12"/>
        <v>0.49984915093526422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>
      <c r="B336" s="132" t="str">
        <f t="shared" ref="B336:M336" si="13">B34</f>
        <v>% סה"כ גבייה שוטפת מסה"כ חיוב תקופתי - כולל הנחות</v>
      </c>
      <c r="C336" s="141">
        <f t="shared" si="13"/>
        <v>0.49070279842678582</v>
      </c>
      <c r="D336" s="133">
        <f t="shared" si="13"/>
        <v>0</v>
      </c>
      <c r="E336" s="141">
        <f t="shared" si="13"/>
        <v>0.49984915093526422</v>
      </c>
      <c r="F336" s="133">
        <f t="shared" si="13"/>
        <v>0</v>
      </c>
      <c r="G336" s="141">
        <f t="shared" si="13"/>
        <v>0.49984915093526422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>
      <c r="B337" s="132" t="str">
        <f t="shared" ref="B337:N343" si="14">B35</f>
        <v>% גבייה כוללת מסה"כ חיוב לגביה</v>
      </c>
      <c r="C337" s="141">
        <f t="shared" si="14"/>
        <v>0.14639016001632224</v>
      </c>
      <c r="D337" s="133">
        <f t="shared" si="14"/>
        <v>0</v>
      </c>
      <c r="E337" s="141">
        <f t="shared" si="14"/>
        <v>0.15069225503764808</v>
      </c>
      <c r="F337" s="133">
        <f t="shared" si="14"/>
        <v>0</v>
      </c>
      <c r="G337" s="141">
        <f t="shared" si="14"/>
        <v>0.15069225503764808</v>
      </c>
      <c r="H337" s="133">
        <f t="shared" si="14"/>
        <v>0</v>
      </c>
      <c r="I337" s="141">
        <f t="shared" si="14"/>
        <v>1.9778320113890583E-2</v>
      </c>
      <c r="J337" s="133">
        <f t="shared" si="14"/>
        <v>0</v>
      </c>
      <c r="K337" s="141">
        <f t="shared" si="14"/>
        <v>1.8556216724083932E-2</v>
      </c>
      <c r="L337" s="133">
        <f t="shared" si="14"/>
        <v>0</v>
      </c>
      <c r="M337" s="141">
        <f t="shared" si="14"/>
        <v>2.53907264136248E-2</v>
      </c>
      <c r="N337" s="134">
        <f t="shared" si="14"/>
        <v>0</v>
      </c>
    </row>
    <row r="338" spans="2:14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9:M14 I16:M16">
    <cfRule type="expression" dxfId="4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ColWidth="9.1796875" defaultRowHeight="12.5"/>
  <cols>
    <col min="1" max="1" width="13" style="106" customWidth="1"/>
    <col min="2" max="2" width="30.26953125" style="106" customWidth="1"/>
    <col min="3" max="3" width="10" style="106" customWidth="1"/>
    <col min="4" max="4" width="2.7265625" style="106" customWidth="1"/>
    <col min="5" max="5" width="12.81640625" style="106" customWidth="1"/>
    <col min="6" max="6" width="2.7265625" style="106" customWidth="1"/>
    <col min="7" max="7" width="12.81640625" style="106" customWidth="1"/>
    <col min="8" max="8" width="2.7265625" style="106" customWidth="1"/>
    <col min="9" max="9" width="12.81640625" style="106" customWidth="1"/>
    <col min="10" max="10" width="2.7265625" style="106" customWidth="1"/>
    <col min="11" max="11" width="12.81640625" style="106" customWidth="1"/>
    <col min="12" max="12" width="2.7265625" style="106" customWidth="1"/>
    <col min="13" max="13" width="8.1796875" style="106" customWidth="1"/>
    <col min="14" max="14" width="2.7265625" style="106" customWidth="1"/>
    <col min="15" max="15" width="14.1796875" style="106" customWidth="1"/>
    <col min="16" max="16" width="4.7265625" style="106" customWidth="1"/>
    <col min="17" max="16384" width="9.1796875" style="106"/>
  </cols>
  <sheetData>
    <row r="1" spans="1:17" ht="19" thickTop="1" thickBot="1">
      <c r="A1" s="105"/>
      <c r="B1" s="105"/>
      <c r="C1" s="640" t="str">
        <f>GufMevukar</f>
        <v>עיריית באקה אלגרבייה</v>
      </c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2"/>
      <c r="Q1" s="105"/>
    </row>
    <row r="2" spans="1:17" ht="19" thickTop="1" thickBot="1">
      <c r="A2" s="105"/>
      <c r="B2" s="105"/>
      <c r="C2" s="643" t="s">
        <v>860</v>
      </c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2"/>
      <c r="Q2" s="105"/>
    </row>
    <row r="3" spans="1:17" ht="19" thickTop="1" thickBot="1">
      <c r="A3" s="105"/>
      <c r="B3" s="105"/>
      <c r="C3" s="640" t="str">
        <f>ReportPeriod</f>
        <v>לתקופה: רבעון 4, שנת 2017</v>
      </c>
      <c r="D3" s="641"/>
      <c r="E3" s="641"/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2"/>
      <c r="Q3" s="105"/>
    </row>
    <row r="4" spans="1:17" ht="23.25" customHeight="1" thickTop="1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>
      <c r="A6" s="110"/>
      <c r="B6" s="114" t="s">
        <v>757</v>
      </c>
      <c r="C6" s="118">
        <v>1049967</v>
      </c>
      <c r="D6" s="115"/>
      <c r="E6" s="573">
        <v>117.59</v>
      </c>
      <c r="F6" s="115"/>
      <c r="G6" s="573">
        <v>33.94</v>
      </c>
      <c r="H6" s="115"/>
      <c r="I6" s="575">
        <f t="shared" ref="I6:I18" si="0">IF(C6=0,0,O6*1000/C6)</f>
        <v>35.70874132234632</v>
      </c>
      <c r="J6" s="115"/>
      <c r="K6" s="573">
        <v>35.090000000000003</v>
      </c>
      <c r="L6" s="115"/>
      <c r="M6" s="120">
        <f t="shared" ref="M6:M18" si="1">IF(K6=0,0,(I6-K6)/K6)</f>
        <v>1.7632981543069727E-2</v>
      </c>
      <c r="N6" s="115"/>
      <c r="O6" s="118">
        <v>37493</v>
      </c>
      <c r="P6" s="116"/>
      <c r="Q6" s="111"/>
    </row>
    <row r="7" spans="1:17">
      <c r="A7" s="110"/>
      <c r="B7" s="114" t="s">
        <v>758</v>
      </c>
      <c r="C7" s="118">
        <v>118335</v>
      </c>
      <c r="D7" s="115"/>
      <c r="E7" s="573">
        <v>376.73</v>
      </c>
      <c r="F7" s="115"/>
      <c r="G7" s="573">
        <v>66.63</v>
      </c>
      <c r="H7" s="115"/>
      <c r="I7" s="575">
        <f t="shared" si="0"/>
        <v>75.759496345121903</v>
      </c>
      <c r="J7" s="115"/>
      <c r="K7" s="573">
        <v>75.069999999999993</v>
      </c>
      <c r="L7" s="115"/>
      <c r="M7" s="120">
        <f t="shared" si="1"/>
        <v>9.1847122035688018E-3</v>
      </c>
      <c r="N7" s="115"/>
      <c r="O7" s="118">
        <v>8965</v>
      </c>
      <c r="P7" s="116"/>
      <c r="Q7" s="111"/>
    </row>
    <row r="8" spans="1:17">
      <c r="A8" s="110"/>
      <c r="B8" s="114" t="s">
        <v>759</v>
      </c>
      <c r="C8" s="177">
        <v>973</v>
      </c>
      <c r="D8" s="115"/>
      <c r="E8" s="573">
        <v>1356.82</v>
      </c>
      <c r="F8" s="115"/>
      <c r="G8" s="573">
        <v>453.08</v>
      </c>
      <c r="H8" s="115"/>
      <c r="I8" s="575">
        <f t="shared" si="0"/>
        <v>554.98458376156213</v>
      </c>
      <c r="J8" s="115"/>
      <c r="K8" s="573">
        <v>545.39</v>
      </c>
      <c r="L8" s="115"/>
      <c r="M8" s="120">
        <f t="shared" si="1"/>
        <v>1.7592151967513427E-2</v>
      </c>
      <c r="N8" s="115"/>
      <c r="O8" s="118">
        <v>540</v>
      </c>
      <c r="P8" s="116"/>
      <c r="Q8" s="111"/>
    </row>
    <row r="9" spans="1:17">
      <c r="A9" s="110"/>
      <c r="B9" s="114" t="s">
        <v>760</v>
      </c>
      <c r="C9" s="118">
        <v>8231</v>
      </c>
      <c r="D9" s="115"/>
      <c r="E9" s="573">
        <v>162.36000000000001</v>
      </c>
      <c r="F9" s="115"/>
      <c r="G9" s="573">
        <v>24.29</v>
      </c>
      <c r="H9" s="115"/>
      <c r="I9" s="575">
        <f t="shared" si="0"/>
        <v>60.502976552059287</v>
      </c>
      <c r="J9" s="115"/>
      <c r="K9" s="573">
        <v>59.9</v>
      </c>
      <c r="L9" s="115"/>
      <c r="M9" s="120">
        <f t="shared" si="1"/>
        <v>1.0066386511841217E-2</v>
      </c>
      <c r="N9" s="115"/>
      <c r="O9" s="118">
        <v>498</v>
      </c>
      <c r="P9" s="116"/>
      <c r="Q9" s="111"/>
    </row>
    <row r="10" spans="1:17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>
      <c r="A11" s="110"/>
      <c r="B11" s="114" t="s">
        <v>762</v>
      </c>
      <c r="C11" s="118">
        <v>29775</v>
      </c>
      <c r="D11" s="115"/>
      <c r="E11" s="573">
        <v>219.06</v>
      </c>
      <c r="F11" s="115"/>
      <c r="G11" s="573">
        <v>44.98</v>
      </c>
      <c r="H11" s="115"/>
      <c r="I11" s="575">
        <f t="shared" si="0"/>
        <v>66.80100755667506</v>
      </c>
      <c r="J11" s="115"/>
      <c r="K11" s="573">
        <v>65.94</v>
      </c>
      <c r="L11" s="115"/>
      <c r="M11" s="120">
        <f t="shared" si="1"/>
        <v>1.3057439440022177E-2</v>
      </c>
      <c r="N11" s="115"/>
      <c r="O11" s="118">
        <v>1989</v>
      </c>
      <c r="P11" s="116"/>
      <c r="Q11" s="111"/>
    </row>
    <row r="12" spans="1:17">
      <c r="A12" s="110"/>
      <c r="B12" s="117" t="s">
        <v>568</v>
      </c>
      <c r="C12" s="118">
        <v>14276</v>
      </c>
      <c r="D12" s="115"/>
      <c r="E12" s="574">
        <v>0.66</v>
      </c>
      <c r="F12" s="115"/>
      <c r="G12" s="574">
        <v>9.4230000000000008E-3</v>
      </c>
      <c r="H12" s="115"/>
      <c r="I12" s="576">
        <f t="shared" si="0"/>
        <v>1.0016811431773607E-2</v>
      </c>
      <c r="J12" s="115"/>
      <c r="K12" s="574">
        <v>0.01</v>
      </c>
      <c r="L12" s="115"/>
      <c r="M12" s="120">
        <f t="shared" si="1"/>
        <v>1.6811431773606708E-3</v>
      </c>
      <c r="N12" s="115"/>
      <c r="O12" s="118">
        <v>0.14299999999999999</v>
      </c>
      <c r="P12" s="116"/>
      <c r="Q12" s="111"/>
    </row>
    <row r="13" spans="1:17">
      <c r="A13" s="110"/>
      <c r="B13" s="117" t="s">
        <v>569</v>
      </c>
      <c r="C13" s="118">
        <v>95203</v>
      </c>
      <c r="D13" s="115"/>
      <c r="E13" s="574">
        <v>54.65</v>
      </c>
      <c r="F13" s="115"/>
      <c r="G13" s="574">
        <v>1.0727E-2</v>
      </c>
      <c r="H13" s="115"/>
      <c r="I13" s="576">
        <f t="shared" si="0"/>
        <v>12.762202871758243</v>
      </c>
      <c r="J13" s="115"/>
      <c r="K13" s="574">
        <v>13.97</v>
      </c>
      <c r="L13" s="115"/>
      <c r="M13" s="120">
        <f t="shared" si="1"/>
        <v>-8.6456487347298341E-2</v>
      </c>
      <c r="N13" s="115"/>
      <c r="O13" s="118">
        <v>1215</v>
      </c>
      <c r="P13" s="116"/>
      <c r="Q13" s="111"/>
    </row>
    <row r="14" spans="1:17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>
      <c r="A15" s="110"/>
      <c r="B15" s="114" t="s">
        <v>763</v>
      </c>
      <c r="C15" s="118"/>
      <c r="D15" s="115"/>
      <c r="E15" s="573"/>
      <c r="F15" s="115"/>
      <c r="G15" s="573"/>
      <c r="H15" s="115"/>
      <c r="I15" s="575">
        <f t="shared" si="0"/>
        <v>0</v>
      </c>
      <c r="J15" s="115"/>
      <c r="K15" s="573"/>
      <c r="L15" s="115"/>
      <c r="M15" s="120">
        <f t="shared" si="1"/>
        <v>0</v>
      </c>
      <c r="N15" s="115"/>
      <c r="O15" s="118"/>
      <c r="P15" s="116"/>
      <c r="Q15" s="111"/>
    </row>
    <row r="16" spans="1:17">
      <c r="A16" s="110"/>
      <c r="B16" s="114" t="s">
        <v>764</v>
      </c>
      <c r="C16" s="118">
        <v>65496</v>
      </c>
      <c r="D16" s="115"/>
      <c r="E16" s="573">
        <v>44.8</v>
      </c>
      <c r="F16" s="115"/>
      <c r="G16" s="573">
        <v>0.34200000000000003</v>
      </c>
      <c r="H16" s="115"/>
      <c r="I16" s="575">
        <f t="shared" si="0"/>
        <v>2.2596799804568217</v>
      </c>
      <c r="J16" s="115"/>
      <c r="K16" s="573">
        <v>2.2000000000000002</v>
      </c>
      <c r="L16" s="115"/>
      <c r="M16" s="120">
        <f t="shared" si="1"/>
        <v>2.7127263844009791E-2</v>
      </c>
      <c r="N16" s="115"/>
      <c r="O16" s="118">
        <v>148</v>
      </c>
      <c r="P16" s="116"/>
      <c r="Q16" s="111"/>
    </row>
    <row r="17" spans="1:17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" thickBot="1">
      <c r="A19" s="110"/>
      <c r="B19" s="114" t="s">
        <v>767</v>
      </c>
      <c r="C19" s="124">
        <f>SUM(C6:C18)</f>
        <v>1382256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50848.142999999996</v>
      </c>
      <c r="P19" s="116"/>
      <c r="Q19" s="111"/>
    </row>
    <row r="20" spans="1:17" ht="6.75" customHeight="1" thickTop="1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" thickBot="1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" thickTop="1"/>
    <row r="300" spans="2:16" ht="18">
      <c r="B300" s="206"/>
      <c r="C300" s="638" t="str">
        <f t="shared" ref="C300:N315" si="2">C1</f>
        <v>עיריית באקה אלגרבייה</v>
      </c>
      <c r="D300" s="639"/>
      <c r="E300" s="639"/>
      <c r="F300" s="639"/>
      <c r="G300" s="639"/>
      <c r="H300" s="639"/>
      <c r="I300" s="639"/>
      <c r="J300" s="639"/>
      <c r="K300" s="639"/>
      <c r="L300" s="639"/>
      <c r="M300" s="639"/>
      <c r="N300" s="639"/>
      <c r="O300" s="129">
        <f t="shared" ref="O300:P315" si="3">O1</f>
        <v>0</v>
      </c>
      <c r="P300" s="129">
        <f t="shared" si="3"/>
        <v>0</v>
      </c>
    </row>
    <row r="301" spans="2:16" ht="18">
      <c r="B301" s="206"/>
      <c r="C301" s="638" t="str">
        <f t="shared" si="2"/>
        <v>תעריפי ארנונה וסך חיוב</v>
      </c>
      <c r="D301" s="639"/>
      <c r="E301" s="639"/>
      <c r="F301" s="639"/>
      <c r="G301" s="639"/>
      <c r="H301" s="639"/>
      <c r="I301" s="639"/>
      <c r="J301" s="639"/>
      <c r="K301" s="639"/>
      <c r="L301" s="639"/>
      <c r="M301" s="639"/>
      <c r="N301" s="639"/>
      <c r="O301" s="129">
        <f t="shared" si="3"/>
        <v>0</v>
      </c>
      <c r="P301" s="129">
        <f t="shared" si="3"/>
        <v>0</v>
      </c>
    </row>
    <row r="302" spans="2:16" ht="18">
      <c r="B302" s="206"/>
      <c r="C302" s="638" t="str">
        <f t="shared" si="2"/>
        <v>לתקופה: רבעון 4, שנת 2017</v>
      </c>
      <c r="D302" s="639"/>
      <c r="E302" s="639"/>
      <c r="F302" s="639"/>
      <c r="G302" s="639"/>
      <c r="H302" s="639"/>
      <c r="I302" s="639"/>
      <c r="J302" s="639"/>
      <c r="K302" s="639"/>
      <c r="L302" s="639"/>
      <c r="M302" s="639"/>
      <c r="N302" s="639"/>
      <c r="O302" s="129">
        <f t="shared" si="3"/>
        <v>0</v>
      </c>
      <c r="P302" s="129">
        <f t="shared" si="3"/>
        <v>0</v>
      </c>
    </row>
    <row r="303" spans="2:16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39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>
      <c r="B305" s="132" t="str">
        <f t="shared" si="4"/>
        <v>מבני מגורים</v>
      </c>
      <c r="C305" s="207">
        <f t="shared" si="2"/>
        <v>1049967</v>
      </c>
      <c r="D305" s="208">
        <f t="shared" si="2"/>
        <v>0</v>
      </c>
      <c r="E305" s="207">
        <f t="shared" si="2"/>
        <v>117.59</v>
      </c>
      <c r="F305" s="208">
        <f t="shared" si="2"/>
        <v>0</v>
      </c>
      <c r="G305" s="207">
        <f t="shared" si="2"/>
        <v>33.94</v>
      </c>
      <c r="H305" s="208">
        <f t="shared" si="2"/>
        <v>0</v>
      </c>
      <c r="I305" s="209">
        <f t="shared" si="2"/>
        <v>35.70874132234632</v>
      </c>
      <c r="J305" s="208">
        <f t="shared" si="2"/>
        <v>0</v>
      </c>
      <c r="K305" s="207">
        <f t="shared" si="2"/>
        <v>35.090000000000003</v>
      </c>
      <c r="L305" s="208">
        <f t="shared" si="2"/>
        <v>0</v>
      </c>
      <c r="M305" s="210">
        <f t="shared" si="2"/>
        <v>1.7632981543069727E-2</v>
      </c>
      <c r="N305" s="208">
        <f t="shared" si="2"/>
        <v>0</v>
      </c>
      <c r="O305" s="207">
        <f t="shared" si="3"/>
        <v>37493</v>
      </c>
      <c r="P305" s="211">
        <f t="shared" si="3"/>
        <v>0</v>
      </c>
    </row>
    <row r="306" spans="2:16">
      <c r="B306" s="132" t="str">
        <f t="shared" si="4"/>
        <v>משרדים שרותים ומסחר</v>
      </c>
      <c r="C306" s="212">
        <f t="shared" si="2"/>
        <v>118335</v>
      </c>
      <c r="D306" s="208">
        <f t="shared" si="2"/>
        <v>0</v>
      </c>
      <c r="E306" s="212">
        <f t="shared" si="2"/>
        <v>376.73</v>
      </c>
      <c r="F306" s="208">
        <f t="shared" si="2"/>
        <v>0</v>
      </c>
      <c r="G306" s="212">
        <f t="shared" si="2"/>
        <v>66.63</v>
      </c>
      <c r="H306" s="208">
        <f t="shared" si="2"/>
        <v>0</v>
      </c>
      <c r="I306" s="213">
        <f t="shared" si="2"/>
        <v>75.759496345121903</v>
      </c>
      <c r="J306" s="208">
        <f t="shared" si="2"/>
        <v>0</v>
      </c>
      <c r="K306" s="212">
        <f t="shared" si="2"/>
        <v>75.069999999999993</v>
      </c>
      <c r="L306" s="208">
        <f t="shared" si="2"/>
        <v>0</v>
      </c>
      <c r="M306" s="214">
        <f t="shared" si="2"/>
        <v>9.1847122035688018E-3</v>
      </c>
      <c r="N306" s="208">
        <f t="shared" si="2"/>
        <v>0</v>
      </c>
      <c r="O306" s="212">
        <f t="shared" si="3"/>
        <v>8965</v>
      </c>
      <c r="P306" s="211">
        <f t="shared" si="3"/>
        <v>0</v>
      </c>
    </row>
    <row r="307" spans="2:16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1356.82</v>
      </c>
      <c r="F307" s="208">
        <f t="shared" si="2"/>
        <v>0</v>
      </c>
      <c r="G307" s="212">
        <f t="shared" si="2"/>
        <v>453.08</v>
      </c>
      <c r="H307" s="208">
        <f t="shared" si="2"/>
        <v>0</v>
      </c>
      <c r="I307" s="213">
        <f t="shared" si="2"/>
        <v>554.98458376156213</v>
      </c>
      <c r="J307" s="208">
        <f t="shared" si="2"/>
        <v>0</v>
      </c>
      <c r="K307" s="212">
        <f t="shared" si="2"/>
        <v>545.39</v>
      </c>
      <c r="L307" s="208">
        <f t="shared" si="2"/>
        <v>0</v>
      </c>
      <c r="M307" s="214">
        <f t="shared" si="2"/>
        <v>1.7592151967513427E-2</v>
      </c>
      <c r="N307" s="208">
        <f t="shared" si="2"/>
        <v>0</v>
      </c>
      <c r="O307" s="212">
        <f t="shared" si="3"/>
        <v>540</v>
      </c>
      <c r="P307" s="211">
        <f t="shared" si="3"/>
        <v>0</v>
      </c>
    </row>
    <row r="308" spans="2:16">
      <c r="B308" s="132" t="str">
        <f t="shared" si="4"/>
        <v>תעשיה</v>
      </c>
      <c r="C308" s="212">
        <f t="shared" si="2"/>
        <v>8231</v>
      </c>
      <c r="D308" s="208">
        <f t="shared" si="2"/>
        <v>0</v>
      </c>
      <c r="E308" s="212">
        <f t="shared" si="2"/>
        <v>162.36000000000001</v>
      </c>
      <c r="F308" s="208">
        <f t="shared" si="2"/>
        <v>0</v>
      </c>
      <c r="G308" s="212">
        <f t="shared" si="2"/>
        <v>24.29</v>
      </c>
      <c r="H308" s="208">
        <f t="shared" si="2"/>
        <v>0</v>
      </c>
      <c r="I308" s="213">
        <f t="shared" si="2"/>
        <v>60.502976552059287</v>
      </c>
      <c r="J308" s="208">
        <f t="shared" si="2"/>
        <v>0</v>
      </c>
      <c r="K308" s="212">
        <f t="shared" si="2"/>
        <v>59.9</v>
      </c>
      <c r="L308" s="208">
        <f t="shared" si="2"/>
        <v>0</v>
      </c>
      <c r="M308" s="214">
        <f t="shared" si="2"/>
        <v>1.0066386511841217E-2</v>
      </c>
      <c r="N308" s="208">
        <f t="shared" si="2"/>
        <v>0</v>
      </c>
      <c r="O308" s="212">
        <f t="shared" si="3"/>
        <v>498</v>
      </c>
      <c r="P308" s="211">
        <f t="shared" si="3"/>
        <v>0</v>
      </c>
    </row>
    <row r="309" spans="2:16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>
      <c r="B310" s="132" t="str">
        <f t="shared" si="4"/>
        <v>מלאכה</v>
      </c>
      <c r="C310" s="212">
        <f t="shared" si="2"/>
        <v>29775</v>
      </c>
      <c r="D310" s="208">
        <f t="shared" si="2"/>
        <v>0</v>
      </c>
      <c r="E310" s="212">
        <f t="shared" si="2"/>
        <v>219.06</v>
      </c>
      <c r="F310" s="208">
        <f t="shared" si="2"/>
        <v>0</v>
      </c>
      <c r="G310" s="212">
        <f t="shared" si="2"/>
        <v>44.98</v>
      </c>
      <c r="H310" s="208">
        <f t="shared" si="2"/>
        <v>0</v>
      </c>
      <c r="I310" s="213">
        <f t="shared" si="2"/>
        <v>66.80100755667506</v>
      </c>
      <c r="J310" s="208">
        <f t="shared" si="2"/>
        <v>0</v>
      </c>
      <c r="K310" s="212">
        <f t="shared" si="2"/>
        <v>65.94</v>
      </c>
      <c r="L310" s="208">
        <f t="shared" si="2"/>
        <v>0</v>
      </c>
      <c r="M310" s="214">
        <f t="shared" si="2"/>
        <v>1.3057439440022177E-2</v>
      </c>
      <c r="N310" s="208">
        <f t="shared" si="2"/>
        <v>0</v>
      </c>
      <c r="O310" s="212">
        <f t="shared" si="3"/>
        <v>1989</v>
      </c>
      <c r="P310" s="211">
        <f t="shared" si="3"/>
        <v>0</v>
      </c>
    </row>
    <row r="311" spans="2:16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0.66</v>
      </c>
      <c r="F311" s="208">
        <f t="shared" si="2"/>
        <v>0</v>
      </c>
      <c r="G311" s="212">
        <f t="shared" si="2"/>
        <v>9.4230000000000008E-3</v>
      </c>
      <c r="H311" s="208">
        <f t="shared" si="2"/>
        <v>0</v>
      </c>
      <c r="I311" s="213">
        <f t="shared" si="2"/>
        <v>1.0016811431773607E-2</v>
      </c>
      <c r="J311" s="208">
        <f t="shared" si="2"/>
        <v>0</v>
      </c>
      <c r="K311" s="212">
        <f t="shared" si="2"/>
        <v>0.01</v>
      </c>
      <c r="L311" s="208">
        <f t="shared" si="2"/>
        <v>0</v>
      </c>
      <c r="M311" s="214">
        <f t="shared" si="2"/>
        <v>1.6811431773606708E-3</v>
      </c>
      <c r="N311" s="208">
        <f t="shared" si="2"/>
        <v>0</v>
      </c>
      <c r="O311" s="212">
        <f t="shared" si="3"/>
        <v>0.14299999999999999</v>
      </c>
      <c r="P311" s="211">
        <f t="shared" si="3"/>
        <v>0</v>
      </c>
    </row>
    <row r="312" spans="2:16">
      <c r="B312" s="132" t="str">
        <f t="shared" si="4"/>
        <v>קרקע תפוסה (לדונם)</v>
      </c>
      <c r="C312" s="212">
        <f t="shared" si="2"/>
        <v>95203</v>
      </c>
      <c r="D312" s="208">
        <f t="shared" si="2"/>
        <v>0</v>
      </c>
      <c r="E312" s="212">
        <f t="shared" si="2"/>
        <v>54.65</v>
      </c>
      <c r="F312" s="208">
        <f t="shared" si="2"/>
        <v>0</v>
      </c>
      <c r="G312" s="212">
        <f t="shared" si="2"/>
        <v>1.0727E-2</v>
      </c>
      <c r="H312" s="208">
        <f t="shared" si="2"/>
        <v>0</v>
      </c>
      <c r="I312" s="213">
        <f t="shared" si="2"/>
        <v>12.762202871758243</v>
      </c>
      <c r="J312" s="208">
        <f t="shared" si="2"/>
        <v>0</v>
      </c>
      <c r="K312" s="212">
        <f t="shared" si="2"/>
        <v>13.97</v>
      </c>
      <c r="L312" s="208">
        <f t="shared" si="2"/>
        <v>0</v>
      </c>
      <c r="M312" s="214">
        <f t="shared" si="2"/>
        <v>-8.6456487347298341E-2</v>
      </c>
      <c r="N312" s="208">
        <f t="shared" si="2"/>
        <v>0</v>
      </c>
      <c r="O312" s="212">
        <f t="shared" si="3"/>
        <v>1215</v>
      </c>
      <c r="P312" s="211">
        <f t="shared" si="3"/>
        <v>0</v>
      </c>
    </row>
    <row r="313" spans="2:16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>
      <c r="B314" s="132" t="str">
        <f t="shared" si="4"/>
        <v>חניונים</v>
      </c>
      <c r="C314" s="212">
        <f t="shared" si="2"/>
        <v>0</v>
      </c>
      <c r="D314" s="208">
        <f t="shared" si="2"/>
        <v>0</v>
      </c>
      <c r="E314" s="212">
        <f t="shared" si="2"/>
        <v>0</v>
      </c>
      <c r="F314" s="208">
        <f t="shared" si="2"/>
        <v>0</v>
      </c>
      <c r="G314" s="212">
        <f t="shared" si="2"/>
        <v>0</v>
      </c>
      <c r="H314" s="208">
        <f t="shared" si="2"/>
        <v>0</v>
      </c>
      <c r="I314" s="213">
        <f t="shared" si="2"/>
        <v>0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0</v>
      </c>
      <c r="P314" s="211">
        <f t="shared" si="3"/>
        <v>0</v>
      </c>
    </row>
    <row r="315" spans="2:16">
      <c r="B315" s="132" t="str">
        <f t="shared" si="4"/>
        <v>מבנה חקלאי</v>
      </c>
      <c r="C315" s="212">
        <f t="shared" si="2"/>
        <v>65496</v>
      </c>
      <c r="D315" s="208">
        <f t="shared" si="2"/>
        <v>0</v>
      </c>
      <c r="E315" s="212">
        <f t="shared" si="2"/>
        <v>44.8</v>
      </c>
      <c r="F315" s="208">
        <f t="shared" si="2"/>
        <v>0</v>
      </c>
      <c r="G315" s="212">
        <f t="shared" si="2"/>
        <v>0.34200000000000003</v>
      </c>
      <c r="H315" s="208">
        <f t="shared" si="2"/>
        <v>0</v>
      </c>
      <c r="I315" s="213">
        <f t="shared" si="2"/>
        <v>2.2596799804568217</v>
      </c>
      <c r="J315" s="208">
        <f t="shared" si="2"/>
        <v>0</v>
      </c>
      <c r="K315" s="212">
        <f t="shared" si="2"/>
        <v>2.2000000000000002</v>
      </c>
      <c r="L315" s="208">
        <f t="shared" si="2"/>
        <v>0</v>
      </c>
      <c r="M315" s="214">
        <f t="shared" si="2"/>
        <v>2.7127263844009791E-2</v>
      </c>
      <c r="N315" s="208">
        <f t="shared" si="2"/>
        <v>0</v>
      </c>
      <c r="O315" s="212">
        <f t="shared" si="3"/>
        <v>148</v>
      </c>
      <c r="P315" s="211">
        <f t="shared" si="3"/>
        <v>0</v>
      </c>
    </row>
    <row r="316" spans="2:16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" thickBot="1">
      <c r="B318" s="132" t="str">
        <f t="shared" si="4"/>
        <v>סה"כ</v>
      </c>
      <c r="C318" s="215">
        <f t="shared" ref="C318:P318" si="7">C19</f>
        <v>1382256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50848.142999999996</v>
      </c>
      <c r="P318" s="211">
        <f t="shared" si="7"/>
        <v>0</v>
      </c>
    </row>
    <row r="319" spans="2:16" ht="13" thickTop="1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26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ColWidth="9.1796875" defaultRowHeight="12.5"/>
  <cols>
    <col min="1" max="1" width="9.1796875" style="106"/>
    <col min="2" max="2" width="4.54296875" style="106" customWidth="1"/>
    <col min="3" max="3" width="25.7265625" style="106" customWidth="1"/>
    <col min="4" max="4" width="11.453125" style="106" customWidth="1"/>
    <col min="5" max="5" width="2.26953125" style="106" customWidth="1"/>
    <col min="6" max="6" width="12" style="106" customWidth="1"/>
    <col min="7" max="7" width="2.453125" style="106" customWidth="1"/>
    <col min="8" max="8" width="11.54296875" style="106" customWidth="1"/>
    <col min="9" max="9" width="2.453125" style="106" customWidth="1"/>
    <col min="10" max="10" width="11.54296875" style="106" customWidth="1"/>
    <col min="11" max="11" width="2.26953125" style="106" customWidth="1"/>
    <col min="12" max="12" width="11.453125" style="106" customWidth="1"/>
    <col min="13" max="13" width="2.26953125" style="106" customWidth="1"/>
    <col min="14" max="14" width="11.453125" style="106" customWidth="1"/>
    <col min="15" max="15" width="2.26953125" style="106" customWidth="1"/>
    <col min="16" max="16" width="11.453125" style="106" customWidth="1"/>
    <col min="17" max="17" width="4.1796875" style="106" customWidth="1"/>
    <col min="18" max="16384" width="9.1796875" style="106"/>
  </cols>
  <sheetData>
    <row r="1" spans="1:18" ht="21" customHeight="1" thickTop="1" thickBot="1">
      <c r="A1" s="105"/>
      <c r="B1" s="105"/>
      <c r="C1" s="105"/>
      <c r="D1" s="640" t="str">
        <f>GufMevukar</f>
        <v>עיריית באקה אלגרבייה</v>
      </c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2"/>
      <c r="R1" s="105"/>
    </row>
    <row r="2" spans="1:18" ht="19" thickTop="1" thickBot="1">
      <c r="A2" s="105"/>
      <c r="B2" s="105"/>
      <c r="C2" s="105"/>
      <c r="D2" s="643" t="s">
        <v>699</v>
      </c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6"/>
      <c r="R2" s="105"/>
    </row>
    <row r="3" spans="1:18" ht="19" thickTop="1" thickBot="1">
      <c r="A3" s="105"/>
      <c r="B3" s="105"/>
      <c r="C3" s="105"/>
      <c r="D3" s="640" t="str">
        <f>ReportPeriod</f>
        <v>לתקופה: רבעון 4, שנת 2017</v>
      </c>
      <c r="E3" s="641"/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1"/>
      <c r="Q3" s="642"/>
      <c r="R3" s="105"/>
    </row>
    <row r="4" spans="1:18" ht="13.5" thickTop="1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>
      <c r="A5" s="110"/>
      <c r="B5" s="110"/>
      <c r="C5" s="649"/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110"/>
      <c r="R5" s="111"/>
    </row>
    <row r="6" spans="1:18" ht="12.75" customHeight="1">
      <c r="A6" s="110"/>
      <c r="B6" s="112"/>
      <c r="C6" s="112"/>
      <c r="D6" s="650" t="str">
        <f>CONCATENATE("תקציב ",Shana)</f>
        <v>תקציב 2017</v>
      </c>
      <c r="E6" s="651"/>
      <c r="F6" s="651"/>
      <c r="G6" s="112"/>
      <c r="H6" s="112"/>
      <c r="I6" s="112"/>
      <c r="J6" s="650" t="str">
        <f>CONCATENATE("ביצוע בפועל"," ",Shana)</f>
        <v>ביצוע בפועל 2017</v>
      </c>
      <c r="K6" s="651"/>
      <c r="L6" s="651"/>
      <c r="M6" s="112"/>
      <c r="N6" s="651" t="s">
        <v>700</v>
      </c>
      <c r="O6" s="651"/>
      <c r="P6" s="651"/>
      <c r="Q6" s="112"/>
      <c r="R6" s="111"/>
    </row>
    <row r="7" spans="1:18" ht="26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ht="13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>
      <c r="A10" s="110"/>
      <c r="B10" s="114">
        <v>61</v>
      </c>
      <c r="C10" s="115" t="s">
        <v>707</v>
      </c>
      <c r="D10" s="118">
        <v>3</v>
      </c>
      <c r="E10" s="115"/>
      <c r="F10" s="118">
        <v>1982.991</v>
      </c>
      <c r="G10" s="115"/>
      <c r="H10" s="119">
        <f>(F10*'הגדרות כלליות'!$D$20/4)</f>
        <v>1982.991</v>
      </c>
      <c r="I10" s="115"/>
      <c r="J10" s="118">
        <v>2.5099999999999998</v>
      </c>
      <c r="K10" s="115"/>
      <c r="L10" s="118">
        <v>1906.213</v>
      </c>
      <c r="M10" s="115"/>
      <c r="N10" s="119">
        <f>D10-J10</f>
        <v>0.49000000000000021</v>
      </c>
      <c r="O10" s="115"/>
      <c r="P10" s="119">
        <f>H10-L10</f>
        <v>76.77800000000002</v>
      </c>
      <c r="Q10" s="116"/>
      <c r="R10" s="111"/>
    </row>
    <row r="11" spans="1:18">
      <c r="A11" s="110"/>
      <c r="B11" s="114">
        <v>61</v>
      </c>
      <c r="C11" s="115" t="s">
        <v>708</v>
      </c>
      <c r="D11" s="118">
        <v>18</v>
      </c>
      <c r="E11" s="115"/>
      <c r="F11" s="118">
        <v>4073.5050000000001</v>
      </c>
      <c r="G11" s="115"/>
      <c r="H11" s="119">
        <f>(F11*'הגדרות כלליות'!$D$20/4)</f>
        <v>4073.5050000000001</v>
      </c>
      <c r="I11" s="115"/>
      <c r="J11" s="118">
        <v>14.2</v>
      </c>
      <c r="K11" s="115"/>
      <c r="L11" s="118">
        <v>3929.241</v>
      </c>
      <c r="M11" s="115"/>
      <c r="N11" s="119">
        <f>D11-J11</f>
        <v>3.8000000000000007</v>
      </c>
      <c r="O11" s="115"/>
      <c r="P11" s="119">
        <f>H11-L11</f>
        <v>144.26400000000012</v>
      </c>
      <c r="Q11" s="116"/>
      <c r="R11" s="111"/>
    </row>
    <row r="12" spans="1:18">
      <c r="A12" s="110"/>
      <c r="B12" s="114">
        <v>62</v>
      </c>
      <c r="C12" s="115" t="s">
        <v>709</v>
      </c>
      <c r="D12" s="118">
        <v>16</v>
      </c>
      <c r="E12" s="115"/>
      <c r="F12" s="118">
        <v>2679.5920000000001</v>
      </c>
      <c r="G12" s="115"/>
      <c r="H12" s="119">
        <f>(F12*'הגדרות כלליות'!$D$20/4)</f>
        <v>2679.5920000000001</v>
      </c>
      <c r="I12" s="115"/>
      <c r="J12" s="118">
        <v>11.08</v>
      </c>
      <c r="K12" s="115"/>
      <c r="L12" s="177">
        <v>2706.567</v>
      </c>
      <c r="M12" s="115"/>
      <c r="N12" s="119">
        <f>D12-J12</f>
        <v>4.92</v>
      </c>
      <c r="O12" s="115"/>
      <c r="P12" s="119">
        <f>H12-L12</f>
        <v>-26.974999999999909</v>
      </c>
      <c r="Q12" s="116"/>
      <c r="R12" s="111"/>
    </row>
    <row r="13" spans="1:18">
      <c r="A13" s="110"/>
      <c r="B13" s="114"/>
      <c r="C13" s="191" t="s">
        <v>710</v>
      </c>
      <c r="D13" s="192">
        <f>SUM(D10:D12)</f>
        <v>37</v>
      </c>
      <c r="E13" s="115"/>
      <c r="F13" s="192">
        <f>SUM(F10:F12)</f>
        <v>8736.0879999999997</v>
      </c>
      <c r="G13" s="115"/>
      <c r="H13" s="192">
        <f>SUM(H10:H12)</f>
        <v>8736.0879999999997</v>
      </c>
      <c r="I13" s="115"/>
      <c r="J13" s="192">
        <f>SUM(J10:J12)</f>
        <v>27.79</v>
      </c>
      <c r="K13" s="115"/>
      <c r="L13" s="192">
        <f>SUM(L10:L12)</f>
        <v>8542.0210000000006</v>
      </c>
      <c r="M13" s="115"/>
      <c r="N13" s="192">
        <f>SUM(N10:N12)</f>
        <v>9.2100000000000009</v>
      </c>
      <c r="O13" s="115"/>
      <c r="P13" s="192">
        <f>SUM(P10:P12)</f>
        <v>194.06700000000023</v>
      </c>
      <c r="Q13" s="116"/>
      <c r="R13" s="111"/>
    </row>
    <row r="14" spans="1:18" ht="13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>
      <c r="A15" s="110"/>
      <c r="B15" s="114">
        <v>71</v>
      </c>
      <c r="C15" s="115" t="s">
        <v>712</v>
      </c>
      <c r="D15" s="118">
        <v>5</v>
      </c>
      <c r="E15" s="115"/>
      <c r="F15" s="118">
        <v>803.90300000000002</v>
      </c>
      <c r="G15" s="115"/>
      <c r="H15" s="119">
        <f>(F15*'הגדרות כלליות'!$D$20/4)</f>
        <v>803.90300000000002</v>
      </c>
      <c r="I15" s="115"/>
      <c r="J15" s="118">
        <v>7.53</v>
      </c>
      <c r="K15" s="115"/>
      <c r="L15" s="118">
        <v>1131.8030000000001</v>
      </c>
      <c r="M15" s="115"/>
      <c r="N15" s="119">
        <f t="shared" ref="N15:N21" si="0">D15-J15</f>
        <v>-2.5300000000000002</v>
      </c>
      <c r="O15" s="115"/>
      <c r="P15" s="119">
        <f t="shared" ref="P15:P21" si="1">H15-L15</f>
        <v>-327.90000000000009</v>
      </c>
      <c r="Q15" s="116"/>
      <c r="R15" s="111"/>
    </row>
    <row r="16" spans="1:18">
      <c r="A16" s="110"/>
      <c r="B16" s="114">
        <v>72</v>
      </c>
      <c r="C16" s="115" t="s">
        <v>713</v>
      </c>
      <c r="D16" s="118">
        <v>9.91</v>
      </c>
      <c r="E16" s="115"/>
      <c r="F16" s="118">
        <v>1258.8119999999999</v>
      </c>
      <c r="G16" s="115"/>
      <c r="H16" s="119">
        <f>(F16*'הגדרות כלליות'!$D$20/4)</f>
        <v>1258.8119999999999</v>
      </c>
      <c r="I16" s="115"/>
      <c r="J16" s="118">
        <v>8.3800000000000008</v>
      </c>
      <c r="K16" s="115"/>
      <c r="L16" s="118">
        <v>1122.7760000000001</v>
      </c>
      <c r="M16" s="115"/>
      <c r="N16" s="119">
        <f t="shared" si="0"/>
        <v>1.5299999999999994</v>
      </c>
      <c r="O16" s="115"/>
      <c r="P16" s="119">
        <f t="shared" si="1"/>
        <v>136.03599999999983</v>
      </c>
      <c r="Q16" s="116"/>
      <c r="R16" s="111"/>
    </row>
    <row r="17" spans="1:18">
      <c r="A17" s="110"/>
      <c r="B17" s="114">
        <v>73</v>
      </c>
      <c r="C17" s="115" t="s">
        <v>714</v>
      </c>
      <c r="D17" s="118">
        <v>7</v>
      </c>
      <c r="E17" s="115"/>
      <c r="F17" s="118">
        <v>1238.5540000000001</v>
      </c>
      <c r="G17" s="115"/>
      <c r="H17" s="119">
        <f>(F17*'הגדרות כלליות'!$D$20/4)</f>
        <v>1238.5540000000001</v>
      </c>
      <c r="I17" s="115"/>
      <c r="J17" s="118">
        <v>4.99</v>
      </c>
      <c r="K17" s="115"/>
      <c r="L17" s="118">
        <v>1183.952</v>
      </c>
      <c r="M17" s="115"/>
      <c r="N17" s="119">
        <f t="shared" si="0"/>
        <v>2.0099999999999998</v>
      </c>
      <c r="O17" s="115"/>
      <c r="P17" s="119">
        <f t="shared" si="1"/>
        <v>54.602000000000089</v>
      </c>
      <c r="Q17" s="116"/>
      <c r="R17" s="111"/>
    </row>
    <row r="18" spans="1:18">
      <c r="A18" s="110"/>
      <c r="B18" s="114">
        <v>74</v>
      </c>
      <c r="C18" s="193" t="s">
        <v>715</v>
      </c>
      <c r="D18" s="118">
        <v>5</v>
      </c>
      <c r="E18" s="115"/>
      <c r="F18" s="118">
        <v>681.87400000000002</v>
      </c>
      <c r="G18" s="115"/>
      <c r="H18" s="119">
        <f>(F18*'הגדרות כלליות'!$D$20/4)</f>
        <v>681.87400000000002</v>
      </c>
      <c r="I18" s="115"/>
      <c r="J18" s="118">
        <v>0.5</v>
      </c>
      <c r="K18" s="115"/>
      <c r="L18" s="118">
        <v>123.28100000000001</v>
      </c>
      <c r="M18" s="115"/>
      <c r="N18" s="119">
        <f t="shared" si="0"/>
        <v>4.5</v>
      </c>
      <c r="O18" s="115"/>
      <c r="P18" s="119">
        <f t="shared" si="1"/>
        <v>558.59300000000007</v>
      </c>
      <c r="Q18" s="116"/>
      <c r="R18" s="111"/>
    </row>
    <row r="19" spans="1:18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>
      <c r="A20" s="110"/>
      <c r="B20" s="114">
        <v>78</v>
      </c>
      <c r="C20" s="115" t="s">
        <v>717</v>
      </c>
      <c r="D20" s="118">
        <v>7</v>
      </c>
      <c r="E20" s="115"/>
      <c r="F20" s="118">
        <v>994.77099999999996</v>
      </c>
      <c r="G20" s="115"/>
      <c r="H20" s="119">
        <f>(F20*'הגדרות כלליות'!$D$20/4)</f>
        <v>994.77099999999996</v>
      </c>
      <c r="I20" s="115"/>
      <c r="J20" s="118">
        <v>6.21</v>
      </c>
      <c r="K20" s="115"/>
      <c r="L20" s="118">
        <v>890.39599999999996</v>
      </c>
      <c r="M20" s="115"/>
      <c r="N20" s="119">
        <f t="shared" si="0"/>
        <v>0.79</v>
      </c>
      <c r="O20" s="115"/>
      <c r="P20" s="119">
        <f t="shared" si="1"/>
        <v>104.375</v>
      </c>
      <c r="Q20" s="116"/>
      <c r="R20" s="111"/>
    </row>
    <row r="21" spans="1:18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>
      <c r="A22" s="110"/>
      <c r="B22" s="114"/>
      <c r="C22" s="191" t="s">
        <v>719</v>
      </c>
      <c r="D22" s="192">
        <f>SUM(D15:D21)</f>
        <v>33.909999999999997</v>
      </c>
      <c r="E22" s="194"/>
      <c r="F22" s="192">
        <f>SUM(F15:F21)</f>
        <v>4977.9139999999998</v>
      </c>
      <c r="G22" s="115"/>
      <c r="H22" s="192">
        <f>(F22*'הגדרות כלליות'!$D$20/4)</f>
        <v>4977.9139999999998</v>
      </c>
      <c r="I22" s="194"/>
      <c r="J22" s="192">
        <f>SUM(J15:J21)</f>
        <v>27.61</v>
      </c>
      <c r="K22" s="194"/>
      <c r="L22" s="192">
        <f>SUM(L15:L21)</f>
        <v>4452.2079999999996</v>
      </c>
      <c r="M22" s="194"/>
      <c r="N22" s="192">
        <f>SUM(N15:N21)</f>
        <v>6.2999999999999989</v>
      </c>
      <c r="O22" s="194"/>
      <c r="P22" s="192">
        <f>SUM(P15:P21)</f>
        <v>525.7059999999999</v>
      </c>
      <c r="Q22" s="116"/>
      <c r="R22" s="111"/>
    </row>
    <row r="23" spans="1:18" ht="13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>
      <c r="A24" s="110"/>
      <c r="B24" s="114">
        <v>81</v>
      </c>
      <c r="C24" s="115" t="s">
        <v>721</v>
      </c>
      <c r="D24" s="118">
        <v>357.74</v>
      </c>
      <c r="E24" s="115"/>
      <c r="F24" s="118">
        <v>47004.201999999997</v>
      </c>
      <c r="G24" s="115"/>
      <c r="H24" s="119">
        <f>(F24*'הגדרות כלליות'!$D$20/4)</f>
        <v>47004.201999999997</v>
      </c>
      <c r="I24" s="115"/>
      <c r="J24" s="118">
        <v>350.05</v>
      </c>
      <c r="K24" s="115"/>
      <c r="L24" s="118">
        <v>50058.673000000003</v>
      </c>
      <c r="M24" s="115"/>
      <c r="N24" s="119">
        <f t="shared" ref="N24:N30" si="2">D24-J24</f>
        <v>7.6899999999999977</v>
      </c>
      <c r="O24" s="115"/>
      <c r="P24" s="119">
        <f t="shared" ref="P24:P30" si="3">H24-L24</f>
        <v>-3054.471000000005</v>
      </c>
      <c r="Q24" s="116"/>
      <c r="R24" s="111"/>
    </row>
    <row r="25" spans="1:18">
      <c r="A25" s="110"/>
      <c r="B25" s="114">
        <v>82</v>
      </c>
      <c r="C25" s="115" t="s">
        <v>722</v>
      </c>
      <c r="D25" s="118">
        <v>18.559999999999999</v>
      </c>
      <c r="E25" s="115"/>
      <c r="F25" s="118">
        <v>2357.8519999999999</v>
      </c>
      <c r="G25" s="115"/>
      <c r="H25" s="119">
        <f>(F25*'הגדרות כלליות'!$D$20/4)</f>
        <v>2357.8519999999999</v>
      </c>
      <c r="I25" s="115"/>
      <c r="J25" s="118">
        <v>14.52</v>
      </c>
      <c r="K25" s="115"/>
      <c r="L25" s="118">
        <v>2134.3809999999999</v>
      </c>
      <c r="M25" s="115"/>
      <c r="N25" s="119">
        <f t="shared" si="2"/>
        <v>4.0399999999999991</v>
      </c>
      <c r="O25" s="115"/>
      <c r="P25" s="119">
        <f t="shared" si="3"/>
        <v>223.471</v>
      </c>
      <c r="Q25" s="116"/>
      <c r="R25" s="111"/>
    </row>
    <row r="26" spans="1:18">
      <c r="A26" s="110"/>
      <c r="B26" s="114">
        <v>83</v>
      </c>
      <c r="C26" s="115" t="s">
        <v>723</v>
      </c>
      <c r="D26" s="177">
        <v>2.75</v>
      </c>
      <c r="E26" s="115"/>
      <c r="F26" s="118">
        <v>516.10400000000004</v>
      </c>
      <c r="G26" s="115"/>
      <c r="H26" s="119">
        <f>(F26*'הגדרות כלליות'!$D$20/4)</f>
        <v>516.10400000000004</v>
      </c>
      <c r="I26" s="115"/>
      <c r="J26" s="177">
        <v>2.74</v>
      </c>
      <c r="K26" s="115"/>
      <c r="L26" s="118">
        <v>549.16399999999999</v>
      </c>
      <c r="M26" s="115"/>
      <c r="N26" s="119">
        <f t="shared" si="2"/>
        <v>9.9999999999997868E-3</v>
      </c>
      <c r="O26" s="115"/>
      <c r="P26" s="119">
        <f t="shared" si="3"/>
        <v>-33.059999999999945</v>
      </c>
      <c r="Q26" s="116"/>
      <c r="R26" s="111"/>
    </row>
    <row r="27" spans="1:18">
      <c r="A27" s="110"/>
      <c r="B27" s="114">
        <v>84</v>
      </c>
      <c r="C27" s="115" t="s">
        <v>724</v>
      </c>
      <c r="D27" s="118">
        <v>50.14</v>
      </c>
      <c r="E27" s="115"/>
      <c r="F27" s="118">
        <v>6379.3440000000001</v>
      </c>
      <c r="G27" s="115"/>
      <c r="H27" s="119">
        <f>(F27*'הגדרות כלליות'!$D$20/4)</f>
        <v>6379.3440000000001</v>
      </c>
      <c r="I27" s="115"/>
      <c r="J27" s="118">
        <v>39.76</v>
      </c>
      <c r="K27" s="115"/>
      <c r="L27" s="118">
        <v>5850</v>
      </c>
      <c r="M27" s="115"/>
      <c r="N27" s="119">
        <f t="shared" si="2"/>
        <v>10.380000000000003</v>
      </c>
      <c r="O27" s="115"/>
      <c r="P27" s="119">
        <f t="shared" si="3"/>
        <v>529.34400000000005</v>
      </c>
      <c r="Q27" s="116"/>
      <c r="R27" s="111"/>
    </row>
    <row r="28" spans="1:18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>
      <c r="A31" s="110"/>
      <c r="B31" s="114"/>
      <c r="C31" s="115" t="s">
        <v>728</v>
      </c>
      <c r="D31" s="192">
        <f>SUM(D24:D30)</f>
        <v>429.19</v>
      </c>
      <c r="E31" s="194"/>
      <c r="F31" s="192">
        <f>SUM(F24:F30)</f>
        <v>56257.501999999993</v>
      </c>
      <c r="G31" s="115"/>
      <c r="H31" s="192">
        <f>(F31*'הגדרות כלליות'!$D$20/4)</f>
        <v>56257.501999999993</v>
      </c>
      <c r="I31" s="194"/>
      <c r="J31" s="192">
        <f>SUM(J24:J30)</f>
        <v>407.07</v>
      </c>
      <c r="K31" s="194"/>
      <c r="L31" s="192">
        <f>SUM(L24:L30)</f>
        <v>58592.218000000001</v>
      </c>
      <c r="M31" s="194"/>
      <c r="N31" s="192">
        <f>SUM(N24:N30)</f>
        <v>22.119999999999997</v>
      </c>
      <c r="O31" s="115"/>
      <c r="P31" s="192">
        <f>SUM(P24:P30)</f>
        <v>-2334.7160000000049</v>
      </c>
      <c r="Q31" s="116"/>
      <c r="R31" s="111"/>
    </row>
    <row r="32" spans="1:18" ht="13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>
      <c r="A33" s="110"/>
      <c r="B33" s="114">
        <v>91</v>
      </c>
      <c r="C33" s="115" t="s">
        <v>730</v>
      </c>
      <c r="D33" s="118">
        <v>1</v>
      </c>
      <c r="E33" s="115"/>
      <c r="F33" s="118">
        <v>0</v>
      </c>
      <c r="G33" s="115"/>
      <c r="H33" s="119">
        <f>(F33*'הגדרות כלליות'!$D$20/4)</f>
        <v>0</v>
      </c>
      <c r="I33" s="115"/>
      <c r="J33" s="118">
        <v>1</v>
      </c>
      <c r="K33" s="115"/>
      <c r="L33" s="118">
        <v>207.71199999999999</v>
      </c>
      <c r="M33" s="115"/>
      <c r="N33" s="119">
        <f>D33-J33</f>
        <v>0</v>
      </c>
      <c r="O33" s="115"/>
      <c r="P33" s="119">
        <f>H33-L33</f>
        <v>-207.71199999999999</v>
      </c>
      <c r="Q33" s="116"/>
      <c r="R33" s="111"/>
    </row>
    <row r="34" spans="1:18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>
      <c r="A35" s="110"/>
      <c r="B35" s="114">
        <v>93</v>
      </c>
      <c r="C35" s="191" t="s">
        <v>591</v>
      </c>
      <c r="D35" s="118">
        <v>3</v>
      </c>
      <c r="E35" s="115"/>
      <c r="F35" s="118">
        <v>398.298</v>
      </c>
      <c r="G35" s="115"/>
      <c r="H35" s="119">
        <f>(F35*'הגדרות כלליות'!$D$20/4)</f>
        <v>398.298</v>
      </c>
      <c r="I35" s="115"/>
      <c r="J35" s="118">
        <v>3</v>
      </c>
      <c r="K35" s="115"/>
      <c r="L35" s="118">
        <v>400.202</v>
      </c>
      <c r="M35" s="115"/>
      <c r="N35" s="119">
        <f>D35-J35</f>
        <v>0</v>
      </c>
      <c r="O35" s="115"/>
      <c r="P35" s="119">
        <f>H35-L35</f>
        <v>-1.9039999999999964</v>
      </c>
      <c r="Q35" s="116"/>
      <c r="R35" s="111"/>
    </row>
    <row r="36" spans="1:18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398.298</v>
      </c>
      <c r="G39" s="115"/>
      <c r="H39" s="192">
        <f>(F39*'הגדרות כלליות'!$D$20/4)</f>
        <v>398.298</v>
      </c>
      <c r="I39" s="194"/>
      <c r="J39" s="192">
        <f>SUM(J33:J38)</f>
        <v>4</v>
      </c>
      <c r="K39" s="194"/>
      <c r="L39" s="192">
        <f>SUM(L33:L38)</f>
        <v>607.91399999999999</v>
      </c>
      <c r="M39" s="194"/>
      <c r="N39" s="192">
        <f>SUM(N33:N38)</f>
        <v>0</v>
      </c>
      <c r="O39" s="115"/>
      <c r="P39" s="192">
        <f>SUM(P33:P38)</f>
        <v>-209.61599999999999</v>
      </c>
      <c r="Q39" s="116"/>
      <c r="R39" s="111"/>
    </row>
    <row r="40" spans="1:18" ht="6.75" customHeight="1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>
      <c r="A41" s="110"/>
      <c r="B41" s="114"/>
      <c r="C41" s="191" t="s">
        <v>736</v>
      </c>
      <c r="D41" s="118">
        <v>22.7</v>
      </c>
      <c r="E41" s="115"/>
      <c r="F41" s="118">
        <v>3517</v>
      </c>
      <c r="G41" s="115"/>
      <c r="H41" s="119">
        <f>(F41*'הגדרות כלליות'!$D$20/4)</f>
        <v>3517</v>
      </c>
      <c r="I41" s="115"/>
      <c r="J41" s="118">
        <v>22.46</v>
      </c>
      <c r="K41" s="115"/>
      <c r="L41" s="118">
        <v>3537.0439999999999</v>
      </c>
      <c r="M41" s="115"/>
      <c r="N41" s="119">
        <f>D41-J41</f>
        <v>0.23999999999999844</v>
      </c>
      <c r="O41" s="115"/>
      <c r="P41" s="119">
        <f>H41-L41</f>
        <v>-20.043999999999869</v>
      </c>
      <c r="Q41" s="116"/>
      <c r="R41" s="111"/>
    </row>
    <row r="42" spans="1:18" ht="6" customHeight="1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" thickBot="1">
      <c r="A43" s="110"/>
      <c r="B43" s="114"/>
      <c r="C43" s="195" t="s">
        <v>735</v>
      </c>
      <c r="D43" s="196">
        <f>D13+D22+D31+D39+D41</f>
        <v>526.80000000000007</v>
      </c>
      <c r="E43" s="194"/>
      <c r="F43" s="196">
        <f>F13+F22+F31+F39+F41</f>
        <v>73886.801999999981</v>
      </c>
      <c r="G43" s="115"/>
      <c r="H43" s="196">
        <f>(F43*'הגדרות כלליות'!$D$20/4)</f>
        <v>73886.801999999981</v>
      </c>
      <c r="I43" s="115"/>
      <c r="J43" s="196">
        <f>J13+J22+J31+J39+J41</f>
        <v>488.92999999999995</v>
      </c>
      <c r="K43" s="115"/>
      <c r="L43" s="196">
        <f>L13+L22+L31+L39+L41</f>
        <v>75731.404999999999</v>
      </c>
      <c r="M43" s="115"/>
      <c r="N43" s="196">
        <f>D43-J43</f>
        <v>37.870000000000118</v>
      </c>
      <c r="O43" s="115"/>
      <c r="P43" s="196">
        <f>H43-L43</f>
        <v>-1844.6030000000173</v>
      </c>
      <c r="Q43" s="116"/>
      <c r="R43" s="111"/>
    </row>
    <row r="44" spans="1:18" ht="27" customHeight="1" thickTop="1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4">
      <c r="A45" s="110"/>
      <c r="B45" s="114"/>
      <c r="C45" s="496" t="s">
        <v>181</v>
      </c>
      <c r="D45" s="647" t="str">
        <f>CONCATENATE("תקציב ",Shana)</f>
        <v>תקציב 2017</v>
      </c>
      <c r="E45" s="647"/>
      <c r="F45" s="647"/>
      <c r="G45" s="647"/>
      <c r="H45" s="647"/>
      <c r="I45" s="495"/>
      <c r="J45" s="647" t="str">
        <f>CONCATENATE(" ביצוע בפועל ",Shana)</f>
        <v xml:space="preserve"> ביצוע בפועל 2017</v>
      </c>
      <c r="K45" s="647"/>
      <c r="L45" s="647"/>
      <c r="M45" s="647"/>
      <c r="N45" s="647"/>
      <c r="O45" s="495"/>
      <c r="P45" s="505" t="s">
        <v>182</v>
      </c>
      <c r="Q45" s="116"/>
      <c r="R45" s="111"/>
    </row>
    <row r="46" spans="1:18" ht="25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" thickBot="1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" thickBot="1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" thickTop="1"/>
    <row r="305" spans="2:17" ht="15.75" customHeight="1">
      <c r="B305" s="638" t="str">
        <f>D1</f>
        <v>עיריית באקה אלגרבייה</v>
      </c>
      <c r="C305" s="638"/>
      <c r="D305" s="638"/>
      <c r="E305" s="638"/>
      <c r="F305" s="638"/>
      <c r="G305" s="638"/>
      <c r="H305" s="638"/>
      <c r="I305" s="638"/>
      <c r="J305" s="638"/>
      <c r="K305" s="638"/>
      <c r="L305" s="638"/>
      <c r="M305" s="638"/>
      <c r="N305" s="638"/>
      <c r="O305" s="638"/>
      <c r="P305" s="638"/>
      <c r="Q305" s="129"/>
    </row>
    <row r="306" spans="2:17" ht="15.75" customHeight="1">
      <c r="B306" s="638" t="str">
        <f>D2</f>
        <v>שכר ומשרות לפי פרקי תקציב</v>
      </c>
      <c r="C306" s="638"/>
      <c r="D306" s="638"/>
      <c r="E306" s="638"/>
      <c r="F306" s="638"/>
      <c r="G306" s="638"/>
      <c r="H306" s="638"/>
      <c r="I306" s="638"/>
      <c r="J306" s="638"/>
      <c r="K306" s="638"/>
      <c r="L306" s="638"/>
      <c r="M306" s="638"/>
      <c r="N306" s="638"/>
      <c r="O306" s="638"/>
      <c r="P306" s="638"/>
      <c r="Q306" s="129"/>
    </row>
    <row r="307" spans="2:17" ht="18">
      <c r="B307" s="638" t="str">
        <f>D3</f>
        <v>לתקופה: רבעון 4, שנת 2017</v>
      </c>
      <c r="C307" s="638"/>
      <c r="D307" s="638"/>
      <c r="E307" s="638"/>
      <c r="F307" s="638"/>
      <c r="G307" s="638"/>
      <c r="H307" s="638"/>
      <c r="I307" s="638"/>
      <c r="J307" s="638"/>
      <c r="K307" s="638"/>
      <c r="L307" s="638"/>
      <c r="M307" s="638"/>
      <c r="N307" s="638"/>
      <c r="O307" s="638"/>
      <c r="P307" s="638"/>
      <c r="Q307" s="197"/>
    </row>
    <row r="308" spans="2:17" ht="3" customHeight="1"/>
    <row r="309" spans="2:17" ht="4.5" customHeight="1"/>
    <row r="310" spans="2:17" ht="4.5" customHeight="1"/>
    <row r="311" spans="2:17" ht="13">
      <c r="B311" s="131">
        <f t="shared" ref="B311:F326" si="4">B6</f>
        <v>0</v>
      </c>
      <c r="C311" s="131">
        <f t="shared" si="4"/>
        <v>0</v>
      </c>
      <c r="D311" s="648" t="str">
        <f t="shared" si="4"/>
        <v>תקציב 2017</v>
      </c>
      <c r="E311" s="648">
        <f t="shared" si="4"/>
        <v>0</v>
      </c>
      <c r="F311" s="648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8" t="str">
        <f t="shared" si="5"/>
        <v>ביצוע בפועל 2017</v>
      </c>
      <c r="K311" s="648">
        <f t="shared" si="5"/>
        <v>0</v>
      </c>
      <c r="L311" s="648">
        <f t="shared" si="5"/>
        <v>0</v>
      </c>
      <c r="M311" s="131">
        <f t="shared" si="5"/>
        <v>0</v>
      </c>
      <c r="N311" s="648" t="str">
        <f t="shared" si="5"/>
        <v>הפרש</v>
      </c>
      <c r="O311" s="648">
        <f t="shared" si="5"/>
        <v>0</v>
      </c>
      <c r="P311" s="648">
        <f t="shared" si="5"/>
        <v>0</v>
      </c>
      <c r="Q311" s="131">
        <f t="shared" si="5"/>
        <v>0</v>
      </c>
    </row>
    <row r="312" spans="2:17" ht="39" customHeight="1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ht="13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1982.991</v>
      </c>
      <c r="G315" s="136"/>
      <c r="H315" s="136">
        <f t="shared" si="5"/>
        <v>1982.991</v>
      </c>
      <c r="I315" s="133">
        <f t="shared" si="5"/>
        <v>0</v>
      </c>
      <c r="J315" s="136">
        <f t="shared" si="5"/>
        <v>2.5099999999999998</v>
      </c>
      <c r="K315" s="133">
        <f t="shared" si="5"/>
        <v>0</v>
      </c>
      <c r="L315" s="136">
        <f t="shared" si="5"/>
        <v>1906.213</v>
      </c>
      <c r="M315" s="133">
        <f t="shared" si="5"/>
        <v>0</v>
      </c>
      <c r="N315" s="137">
        <f t="shared" si="5"/>
        <v>0.49000000000000021</v>
      </c>
      <c r="O315" s="133">
        <f t="shared" si="5"/>
        <v>0</v>
      </c>
      <c r="P315" s="137">
        <f t="shared" si="5"/>
        <v>76.77800000000002</v>
      </c>
      <c r="Q315" s="134">
        <f t="shared" si="5"/>
        <v>0</v>
      </c>
    </row>
    <row r="316" spans="2:17">
      <c r="B316" s="132">
        <f t="shared" si="4"/>
        <v>61</v>
      </c>
      <c r="C316" s="133" t="str">
        <f t="shared" si="4"/>
        <v>מנהל כללי</v>
      </c>
      <c r="D316" s="139">
        <f t="shared" si="4"/>
        <v>18</v>
      </c>
      <c r="E316" s="133">
        <f t="shared" si="4"/>
        <v>0</v>
      </c>
      <c r="F316" s="139">
        <f t="shared" si="4"/>
        <v>4073.5050000000001</v>
      </c>
      <c r="G316" s="136"/>
      <c r="H316" s="139">
        <f t="shared" si="5"/>
        <v>4073.5050000000001</v>
      </c>
      <c r="I316" s="133">
        <f t="shared" si="5"/>
        <v>0</v>
      </c>
      <c r="J316" s="139">
        <f t="shared" si="5"/>
        <v>14.2</v>
      </c>
      <c r="K316" s="133">
        <f t="shared" si="5"/>
        <v>0</v>
      </c>
      <c r="L316" s="139">
        <f t="shared" si="5"/>
        <v>3929.241</v>
      </c>
      <c r="M316" s="133">
        <f t="shared" si="5"/>
        <v>0</v>
      </c>
      <c r="N316" s="140">
        <f t="shared" si="5"/>
        <v>3.8000000000000007</v>
      </c>
      <c r="O316" s="133">
        <f t="shared" si="5"/>
        <v>0</v>
      </c>
      <c r="P316" s="140">
        <f t="shared" si="5"/>
        <v>144.26400000000012</v>
      </c>
      <c r="Q316" s="134">
        <f t="shared" si="5"/>
        <v>0</v>
      </c>
    </row>
    <row r="317" spans="2:17">
      <c r="B317" s="132">
        <f t="shared" si="4"/>
        <v>62</v>
      </c>
      <c r="C317" s="133" t="str">
        <f t="shared" si="4"/>
        <v>מנהל כספי</v>
      </c>
      <c r="D317" s="226">
        <f t="shared" si="4"/>
        <v>16</v>
      </c>
      <c r="E317" s="133">
        <f t="shared" si="4"/>
        <v>0</v>
      </c>
      <c r="F317" s="226">
        <f t="shared" si="4"/>
        <v>2679.5920000000001</v>
      </c>
      <c r="G317" s="136"/>
      <c r="H317" s="226">
        <f t="shared" si="5"/>
        <v>2679.5920000000001</v>
      </c>
      <c r="I317" s="133">
        <f t="shared" si="5"/>
        <v>0</v>
      </c>
      <c r="J317" s="226">
        <f t="shared" si="5"/>
        <v>11.08</v>
      </c>
      <c r="K317" s="133">
        <f t="shared" si="5"/>
        <v>0</v>
      </c>
      <c r="L317" s="226">
        <f t="shared" si="5"/>
        <v>2706.567</v>
      </c>
      <c r="M317" s="133">
        <f t="shared" si="5"/>
        <v>0</v>
      </c>
      <c r="N317" s="186">
        <f t="shared" si="5"/>
        <v>4.92</v>
      </c>
      <c r="O317" s="133">
        <f t="shared" si="5"/>
        <v>0</v>
      </c>
      <c r="P317" s="186">
        <f t="shared" si="5"/>
        <v>-26.974999999999909</v>
      </c>
      <c r="Q317" s="134">
        <f t="shared" si="5"/>
        <v>0</v>
      </c>
    </row>
    <row r="318" spans="2:17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37</v>
      </c>
      <c r="E318" s="200">
        <f t="shared" si="4"/>
        <v>0</v>
      </c>
      <c r="F318" s="199">
        <f t="shared" si="4"/>
        <v>8736.0879999999997</v>
      </c>
      <c r="G318" s="201"/>
      <c r="H318" s="199">
        <f t="shared" si="5"/>
        <v>8736.0879999999997</v>
      </c>
      <c r="I318" s="200">
        <f t="shared" si="5"/>
        <v>0</v>
      </c>
      <c r="J318" s="199">
        <f t="shared" si="5"/>
        <v>27.79</v>
      </c>
      <c r="K318" s="200">
        <f t="shared" si="5"/>
        <v>0</v>
      </c>
      <c r="L318" s="199">
        <f t="shared" si="5"/>
        <v>8542.0210000000006</v>
      </c>
      <c r="M318" s="200">
        <f t="shared" si="5"/>
        <v>0</v>
      </c>
      <c r="N318" s="199">
        <f t="shared" si="5"/>
        <v>9.2100000000000009</v>
      </c>
      <c r="O318" s="200">
        <f t="shared" si="5"/>
        <v>0</v>
      </c>
      <c r="P318" s="199">
        <f t="shared" si="5"/>
        <v>194.06700000000023</v>
      </c>
      <c r="Q318" s="134"/>
    </row>
    <row r="319" spans="2:17" ht="13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>
      <c r="B320" s="132">
        <f t="shared" si="4"/>
        <v>71</v>
      </c>
      <c r="C320" s="133" t="str">
        <f t="shared" si="4"/>
        <v>תברואה</v>
      </c>
      <c r="D320" s="136">
        <f t="shared" si="4"/>
        <v>5</v>
      </c>
      <c r="E320" s="133">
        <f t="shared" si="4"/>
        <v>0</v>
      </c>
      <c r="F320" s="136">
        <f t="shared" si="4"/>
        <v>803.90300000000002</v>
      </c>
      <c r="G320" s="136"/>
      <c r="H320" s="136">
        <f t="shared" si="5"/>
        <v>803.90300000000002</v>
      </c>
      <c r="I320" s="133">
        <f t="shared" si="5"/>
        <v>0</v>
      </c>
      <c r="J320" s="136">
        <f t="shared" si="5"/>
        <v>7.53</v>
      </c>
      <c r="K320" s="133">
        <f t="shared" si="5"/>
        <v>0</v>
      </c>
      <c r="L320" s="136">
        <f t="shared" si="5"/>
        <v>1131.8030000000001</v>
      </c>
      <c r="M320" s="133">
        <f t="shared" si="5"/>
        <v>0</v>
      </c>
      <c r="N320" s="137">
        <f t="shared" si="5"/>
        <v>-2.5300000000000002</v>
      </c>
      <c r="O320" s="133">
        <f t="shared" si="5"/>
        <v>0</v>
      </c>
      <c r="P320" s="137">
        <f t="shared" si="5"/>
        <v>-327.90000000000009</v>
      </c>
      <c r="Q320" s="134">
        <f>Q15</f>
        <v>0</v>
      </c>
    </row>
    <row r="321" spans="2:17">
      <c r="B321" s="132">
        <f t="shared" si="4"/>
        <v>72</v>
      </c>
      <c r="C321" s="133" t="str">
        <f t="shared" si="4"/>
        <v>שמירה ובטחון</v>
      </c>
      <c r="D321" s="139">
        <f t="shared" si="4"/>
        <v>9.91</v>
      </c>
      <c r="E321" s="133">
        <f t="shared" si="4"/>
        <v>0</v>
      </c>
      <c r="F321" s="139">
        <f t="shared" si="4"/>
        <v>1258.8119999999999</v>
      </c>
      <c r="G321" s="136"/>
      <c r="H321" s="139">
        <f t="shared" si="5"/>
        <v>1258.8119999999999</v>
      </c>
      <c r="I321" s="133">
        <f t="shared" si="5"/>
        <v>0</v>
      </c>
      <c r="J321" s="139">
        <f t="shared" si="5"/>
        <v>8.3800000000000008</v>
      </c>
      <c r="K321" s="133">
        <f t="shared" si="5"/>
        <v>0</v>
      </c>
      <c r="L321" s="139">
        <f t="shared" si="5"/>
        <v>1122.7760000000001</v>
      </c>
      <c r="M321" s="133">
        <f t="shared" si="5"/>
        <v>0</v>
      </c>
      <c r="N321" s="140">
        <f t="shared" si="5"/>
        <v>1.5299999999999994</v>
      </c>
      <c r="O321" s="133">
        <f t="shared" si="5"/>
        <v>0</v>
      </c>
      <c r="P321" s="140">
        <f t="shared" si="5"/>
        <v>136.03599999999983</v>
      </c>
      <c r="Q321" s="134">
        <f>Q16</f>
        <v>0</v>
      </c>
    </row>
    <row r="322" spans="2:17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7</v>
      </c>
      <c r="E322" s="133">
        <f t="shared" si="4"/>
        <v>0</v>
      </c>
      <c r="F322" s="139">
        <f t="shared" si="4"/>
        <v>1238.5540000000001</v>
      </c>
      <c r="G322" s="136"/>
      <c r="H322" s="139">
        <f t="shared" si="5"/>
        <v>1238.5540000000001</v>
      </c>
      <c r="I322" s="133">
        <f t="shared" si="5"/>
        <v>0</v>
      </c>
      <c r="J322" s="139">
        <f t="shared" si="5"/>
        <v>4.99</v>
      </c>
      <c r="K322" s="133">
        <f t="shared" si="5"/>
        <v>0</v>
      </c>
      <c r="L322" s="139">
        <f t="shared" si="5"/>
        <v>1183.952</v>
      </c>
      <c r="M322" s="133">
        <f t="shared" si="5"/>
        <v>0</v>
      </c>
      <c r="N322" s="140">
        <f t="shared" si="5"/>
        <v>2.0099999999999998</v>
      </c>
      <c r="O322" s="133">
        <f t="shared" si="5"/>
        <v>0</v>
      </c>
      <c r="P322" s="140">
        <f t="shared" si="5"/>
        <v>54.602000000000089</v>
      </c>
      <c r="Q322" s="134">
        <f>Q17</f>
        <v>0</v>
      </c>
    </row>
    <row r="323" spans="2:17">
      <c r="B323" s="132">
        <f t="shared" si="4"/>
        <v>74</v>
      </c>
      <c r="C323" s="133" t="str">
        <f t="shared" si="4"/>
        <v>נכסים ציבוריים</v>
      </c>
      <c r="D323" s="139">
        <f t="shared" si="4"/>
        <v>5</v>
      </c>
      <c r="E323" s="133">
        <f t="shared" si="4"/>
        <v>0</v>
      </c>
      <c r="F323" s="139">
        <f t="shared" si="4"/>
        <v>681.87400000000002</v>
      </c>
      <c r="G323" s="136"/>
      <c r="H323" s="139">
        <f t="shared" si="5"/>
        <v>681.87400000000002</v>
      </c>
      <c r="I323" s="133">
        <f t="shared" si="5"/>
        <v>0</v>
      </c>
      <c r="J323" s="139">
        <f t="shared" si="5"/>
        <v>0.5</v>
      </c>
      <c r="K323" s="133">
        <f t="shared" si="5"/>
        <v>0</v>
      </c>
      <c r="L323" s="139">
        <f t="shared" si="5"/>
        <v>123.28100000000001</v>
      </c>
      <c r="M323" s="133">
        <f t="shared" si="5"/>
        <v>0</v>
      </c>
      <c r="N323" s="140">
        <f t="shared" si="5"/>
        <v>4.5</v>
      </c>
      <c r="O323" s="133">
        <f t="shared" si="5"/>
        <v>0</v>
      </c>
      <c r="P323" s="140">
        <f t="shared" si="5"/>
        <v>558.59300000000007</v>
      </c>
      <c r="Q323" s="134">
        <f>Q18</f>
        <v>0</v>
      </c>
    </row>
    <row r="324" spans="2:17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994.77099999999996</v>
      </c>
      <c r="G325" s="136"/>
      <c r="H325" s="139">
        <f t="shared" si="5"/>
        <v>994.77099999999996</v>
      </c>
      <c r="I325" s="133">
        <f t="shared" si="5"/>
        <v>0</v>
      </c>
      <c r="J325" s="139">
        <f t="shared" si="5"/>
        <v>6.21</v>
      </c>
      <c r="K325" s="133">
        <f t="shared" si="5"/>
        <v>0</v>
      </c>
      <c r="L325" s="139">
        <f t="shared" si="5"/>
        <v>890.39599999999996</v>
      </c>
      <c r="M325" s="133">
        <f t="shared" si="5"/>
        <v>0</v>
      </c>
      <c r="N325" s="140">
        <f t="shared" si="5"/>
        <v>0.79</v>
      </c>
      <c r="O325" s="133">
        <f t="shared" si="5"/>
        <v>0</v>
      </c>
      <c r="P325" s="140">
        <f t="shared" si="5"/>
        <v>104.375</v>
      </c>
      <c r="Q325" s="134">
        <f t="shared" si="5"/>
        <v>0</v>
      </c>
    </row>
    <row r="326" spans="2:17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33.909999999999997</v>
      </c>
      <c r="E327" s="200">
        <f t="shared" si="6"/>
        <v>0</v>
      </c>
      <c r="F327" s="199">
        <f t="shared" si="6"/>
        <v>4977.9139999999998</v>
      </c>
      <c r="G327" s="201"/>
      <c r="H327" s="199">
        <f t="shared" ref="H327:Q343" si="7">H22</f>
        <v>4977.9139999999998</v>
      </c>
      <c r="I327" s="200">
        <f t="shared" si="7"/>
        <v>0</v>
      </c>
      <c r="J327" s="199">
        <f t="shared" si="7"/>
        <v>27.61</v>
      </c>
      <c r="K327" s="200">
        <f t="shared" si="7"/>
        <v>0</v>
      </c>
      <c r="L327" s="199">
        <f t="shared" si="7"/>
        <v>4452.2079999999996</v>
      </c>
      <c r="M327" s="200">
        <f t="shared" si="7"/>
        <v>0</v>
      </c>
      <c r="N327" s="199">
        <f t="shared" si="7"/>
        <v>6.2999999999999989</v>
      </c>
      <c r="O327" s="200">
        <f t="shared" si="7"/>
        <v>0</v>
      </c>
      <c r="P327" s="199">
        <f t="shared" si="7"/>
        <v>525.7059999999999</v>
      </c>
      <c r="Q327" s="134">
        <f t="shared" si="7"/>
        <v>0</v>
      </c>
    </row>
    <row r="328" spans="2:17" ht="13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>
      <c r="B329" s="132">
        <f t="shared" si="6"/>
        <v>81</v>
      </c>
      <c r="C329" s="133" t="str">
        <f t="shared" si="6"/>
        <v>חינוך</v>
      </c>
      <c r="D329" s="136">
        <f t="shared" si="6"/>
        <v>357.74</v>
      </c>
      <c r="E329" s="133">
        <f t="shared" si="6"/>
        <v>0</v>
      </c>
      <c r="F329" s="136">
        <f t="shared" si="6"/>
        <v>47004.201999999997</v>
      </c>
      <c r="G329" s="136"/>
      <c r="H329" s="136">
        <f t="shared" si="7"/>
        <v>47004.201999999997</v>
      </c>
      <c r="I329" s="133">
        <f t="shared" si="7"/>
        <v>0</v>
      </c>
      <c r="J329" s="136">
        <f t="shared" si="7"/>
        <v>350.05</v>
      </c>
      <c r="K329" s="133">
        <f t="shared" si="7"/>
        <v>0</v>
      </c>
      <c r="L329" s="136">
        <f t="shared" si="7"/>
        <v>50058.673000000003</v>
      </c>
      <c r="M329" s="133">
        <f t="shared" si="7"/>
        <v>0</v>
      </c>
      <c r="N329" s="137">
        <f t="shared" si="7"/>
        <v>7.6899999999999977</v>
      </c>
      <c r="O329" s="133">
        <f t="shared" si="7"/>
        <v>0</v>
      </c>
      <c r="P329" s="137">
        <f t="shared" si="7"/>
        <v>-3054.471000000005</v>
      </c>
      <c r="Q329" s="134">
        <f t="shared" si="7"/>
        <v>0</v>
      </c>
    </row>
    <row r="330" spans="2:17">
      <c r="B330" s="132">
        <f t="shared" si="6"/>
        <v>82</v>
      </c>
      <c r="C330" s="133" t="str">
        <f t="shared" si="6"/>
        <v>תרבות</v>
      </c>
      <c r="D330" s="139">
        <f t="shared" si="6"/>
        <v>18.559999999999999</v>
      </c>
      <c r="E330" s="133">
        <f t="shared" si="6"/>
        <v>0</v>
      </c>
      <c r="F330" s="139">
        <f t="shared" si="6"/>
        <v>2357.8519999999999</v>
      </c>
      <c r="G330" s="136"/>
      <c r="H330" s="139">
        <f t="shared" si="7"/>
        <v>2357.8519999999999</v>
      </c>
      <c r="I330" s="133">
        <f t="shared" si="7"/>
        <v>0</v>
      </c>
      <c r="J330" s="139">
        <f t="shared" si="7"/>
        <v>14.52</v>
      </c>
      <c r="K330" s="133">
        <f t="shared" si="7"/>
        <v>0</v>
      </c>
      <c r="L330" s="139">
        <f t="shared" si="7"/>
        <v>2134.3809999999999</v>
      </c>
      <c r="M330" s="133">
        <f t="shared" si="7"/>
        <v>0</v>
      </c>
      <c r="N330" s="140">
        <f t="shared" si="7"/>
        <v>4.0399999999999991</v>
      </c>
      <c r="O330" s="133">
        <f t="shared" si="7"/>
        <v>0</v>
      </c>
      <c r="P330" s="140">
        <f t="shared" si="7"/>
        <v>223.471</v>
      </c>
      <c r="Q330" s="134">
        <f t="shared" si="7"/>
        <v>0</v>
      </c>
    </row>
    <row r="331" spans="2:17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516.10400000000004</v>
      </c>
      <c r="G331" s="136"/>
      <c r="H331" s="139">
        <f t="shared" si="7"/>
        <v>516.10400000000004</v>
      </c>
      <c r="I331" s="133">
        <f t="shared" si="7"/>
        <v>0</v>
      </c>
      <c r="J331" s="139">
        <f t="shared" si="7"/>
        <v>2.74</v>
      </c>
      <c r="K331" s="133">
        <f t="shared" si="7"/>
        <v>0</v>
      </c>
      <c r="L331" s="139">
        <f t="shared" si="7"/>
        <v>549.16399999999999</v>
      </c>
      <c r="M331" s="133">
        <f t="shared" si="7"/>
        <v>0</v>
      </c>
      <c r="N331" s="140">
        <f t="shared" si="7"/>
        <v>9.9999999999997868E-3</v>
      </c>
      <c r="O331" s="133">
        <f t="shared" si="7"/>
        <v>0</v>
      </c>
      <c r="P331" s="140">
        <f t="shared" si="7"/>
        <v>-33.059999999999945</v>
      </c>
      <c r="Q331" s="134">
        <f t="shared" si="7"/>
        <v>0</v>
      </c>
    </row>
    <row r="332" spans="2:17">
      <c r="B332" s="132">
        <f t="shared" si="6"/>
        <v>84</v>
      </c>
      <c r="C332" s="133" t="str">
        <f t="shared" si="6"/>
        <v>רווחה</v>
      </c>
      <c r="D332" s="139">
        <f t="shared" si="6"/>
        <v>50.14</v>
      </c>
      <c r="E332" s="133">
        <f t="shared" si="6"/>
        <v>0</v>
      </c>
      <c r="F332" s="139">
        <f t="shared" si="6"/>
        <v>6379.3440000000001</v>
      </c>
      <c r="G332" s="136"/>
      <c r="H332" s="139">
        <f t="shared" si="7"/>
        <v>6379.3440000000001</v>
      </c>
      <c r="I332" s="133">
        <f t="shared" si="7"/>
        <v>0</v>
      </c>
      <c r="J332" s="139">
        <f t="shared" si="7"/>
        <v>39.76</v>
      </c>
      <c r="K332" s="133">
        <f t="shared" si="7"/>
        <v>0</v>
      </c>
      <c r="L332" s="139">
        <f t="shared" si="7"/>
        <v>5850</v>
      </c>
      <c r="M332" s="133">
        <f t="shared" si="7"/>
        <v>0</v>
      </c>
      <c r="N332" s="140">
        <f t="shared" si="7"/>
        <v>10.380000000000003</v>
      </c>
      <c r="O332" s="133">
        <f t="shared" si="7"/>
        <v>0</v>
      </c>
      <c r="P332" s="140">
        <f t="shared" si="7"/>
        <v>529.34400000000005</v>
      </c>
      <c r="Q332" s="134">
        <f t="shared" si="7"/>
        <v>0</v>
      </c>
    </row>
    <row r="333" spans="2:17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429.19</v>
      </c>
      <c r="E336" s="200">
        <f t="shared" si="6"/>
        <v>0</v>
      </c>
      <c r="F336" s="199">
        <f t="shared" si="6"/>
        <v>56257.501999999993</v>
      </c>
      <c r="G336" s="201"/>
      <c r="H336" s="199">
        <f t="shared" si="7"/>
        <v>56257.501999999993</v>
      </c>
      <c r="I336" s="200">
        <f t="shared" si="7"/>
        <v>0</v>
      </c>
      <c r="J336" s="199">
        <f t="shared" si="7"/>
        <v>407.07</v>
      </c>
      <c r="K336" s="200">
        <f t="shared" si="7"/>
        <v>0</v>
      </c>
      <c r="L336" s="199">
        <f t="shared" si="7"/>
        <v>58592.218000000001</v>
      </c>
      <c r="M336" s="200">
        <f t="shared" si="7"/>
        <v>0</v>
      </c>
      <c r="N336" s="199">
        <f t="shared" si="7"/>
        <v>22.119999999999997</v>
      </c>
      <c r="O336" s="133">
        <f t="shared" si="7"/>
        <v>0</v>
      </c>
      <c r="P336" s="199">
        <f t="shared" si="7"/>
        <v>-2334.7160000000049</v>
      </c>
      <c r="Q336" s="134">
        <f t="shared" si="7"/>
        <v>0</v>
      </c>
    </row>
    <row r="337" spans="2:17" ht="13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0</v>
      </c>
      <c r="G338" s="136"/>
      <c r="H338" s="136">
        <f t="shared" si="7"/>
        <v>0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207.71199999999999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-207.71199999999999</v>
      </c>
      <c r="Q338" s="134">
        <f t="shared" si="7"/>
        <v>0</v>
      </c>
    </row>
    <row r="339" spans="2:17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398.298</v>
      </c>
      <c r="G340" s="136"/>
      <c r="H340" s="139">
        <f t="shared" si="7"/>
        <v>398.298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400.202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-1.9039999999999964</v>
      </c>
      <c r="Q340" s="134"/>
    </row>
    <row r="341" spans="2:17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398.298</v>
      </c>
      <c r="G344" s="201"/>
      <c r="H344" s="199">
        <f t="shared" ref="H344:Q344" si="9">H39</f>
        <v>398.298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607.91399999999999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-209.61599999999999</v>
      </c>
      <c r="Q344" s="134">
        <f t="shared" si="9"/>
        <v>0</v>
      </c>
    </row>
    <row r="345" spans="2:17" ht="2.25" customHeight="1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>
      <c r="B346" s="132">
        <f t="shared" si="8"/>
        <v>0</v>
      </c>
      <c r="C346" s="133" t="str">
        <f t="shared" si="8"/>
        <v>גימלאים</v>
      </c>
      <c r="D346" s="136">
        <f t="shared" si="8"/>
        <v>22.7</v>
      </c>
      <c r="E346" s="133">
        <f t="shared" si="8"/>
        <v>0</v>
      </c>
      <c r="F346" s="136">
        <f t="shared" si="8"/>
        <v>3517</v>
      </c>
      <c r="G346" s="136"/>
      <c r="H346" s="136">
        <f t="shared" ref="H346:Q346" si="11">H41</f>
        <v>3517</v>
      </c>
      <c r="I346" s="133">
        <f t="shared" si="11"/>
        <v>0</v>
      </c>
      <c r="J346" s="136">
        <f t="shared" si="11"/>
        <v>22.46</v>
      </c>
      <c r="K346" s="133">
        <f t="shared" si="11"/>
        <v>0</v>
      </c>
      <c r="L346" s="136">
        <f t="shared" si="11"/>
        <v>3537.0439999999999</v>
      </c>
      <c r="M346" s="133">
        <f t="shared" si="11"/>
        <v>0</v>
      </c>
      <c r="N346" s="137">
        <f t="shared" si="11"/>
        <v>0.23999999999999844</v>
      </c>
      <c r="O346" s="133">
        <f t="shared" si="11"/>
        <v>0</v>
      </c>
      <c r="P346" s="137">
        <f t="shared" si="11"/>
        <v>-20.043999999999869</v>
      </c>
      <c r="Q346" s="134">
        <f t="shared" si="11"/>
        <v>0</v>
      </c>
    </row>
    <row r="347" spans="2:17" ht="2.25" customHeight="1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" thickBot="1">
      <c r="B348" s="132">
        <f t="shared" si="8"/>
        <v>0</v>
      </c>
      <c r="C348" s="202" t="str">
        <f t="shared" si="8"/>
        <v>סה"כ כללי</v>
      </c>
      <c r="D348" s="203">
        <f t="shared" si="8"/>
        <v>526.80000000000007</v>
      </c>
      <c r="E348" s="200">
        <f t="shared" si="8"/>
        <v>0</v>
      </c>
      <c r="F348" s="203">
        <f t="shared" si="8"/>
        <v>73886.801999999981</v>
      </c>
      <c r="G348" s="204"/>
      <c r="H348" s="203">
        <f t="shared" ref="H348:Q348" si="13">H43</f>
        <v>73886.801999999981</v>
      </c>
      <c r="I348" s="133">
        <f t="shared" si="13"/>
        <v>0</v>
      </c>
      <c r="J348" s="203">
        <f t="shared" si="13"/>
        <v>488.92999999999995</v>
      </c>
      <c r="K348" s="133">
        <f t="shared" si="13"/>
        <v>0</v>
      </c>
      <c r="L348" s="203">
        <f t="shared" si="13"/>
        <v>75731.404999999999</v>
      </c>
      <c r="M348" s="133">
        <f t="shared" si="13"/>
        <v>0</v>
      </c>
      <c r="N348" s="203">
        <f t="shared" si="13"/>
        <v>37.870000000000118</v>
      </c>
      <c r="O348" s="133">
        <f t="shared" si="13"/>
        <v>0</v>
      </c>
      <c r="P348" s="203">
        <f t="shared" si="13"/>
        <v>-1844.6030000000173</v>
      </c>
      <c r="Q348" s="134">
        <f t="shared" si="13"/>
        <v>0</v>
      </c>
    </row>
    <row r="349" spans="2:17" ht="19.5" customHeight="1" thickTop="1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4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2017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2017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" thickBot="1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/>
    <row r="360" spans="2:17" ht="10.5" customHeight="1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D1:Q1"/>
    <mergeCell ref="D2:Q2"/>
    <mergeCell ref="D3:Q3"/>
    <mergeCell ref="C5:P5"/>
    <mergeCell ref="D6:F6"/>
    <mergeCell ref="J6:L6"/>
    <mergeCell ref="N6:P6"/>
    <mergeCell ref="B305:P305"/>
    <mergeCell ref="D45:H45"/>
    <mergeCell ref="B306:P306"/>
    <mergeCell ref="B307:P307"/>
    <mergeCell ref="D311:F311"/>
    <mergeCell ref="J311:L311"/>
    <mergeCell ref="N311:P311"/>
    <mergeCell ref="J45:N4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ColWidth="9.1796875" defaultRowHeight="12.5"/>
  <cols>
    <col min="1" max="1" width="9.1796875" style="106"/>
    <col min="2" max="2" width="18.453125" style="106" customWidth="1"/>
    <col min="3" max="3" width="1.7265625" style="106" customWidth="1"/>
    <col min="4" max="4" width="12" style="106" bestFit="1" customWidth="1"/>
    <col min="5" max="5" width="1.7265625" style="106" customWidth="1"/>
    <col min="6" max="6" width="9.1796875" style="106"/>
    <col min="7" max="7" width="1.7265625" style="106" customWidth="1"/>
    <col min="8" max="8" width="9.1796875" style="106"/>
    <col min="9" max="9" width="1.7265625" style="106" customWidth="1"/>
    <col min="10" max="10" width="11.7265625" style="106" customWidth="1"/>
    <col min="11" max="11" width="1.7265625" style="106" customWidth="1"/>
    <col min="12" max="12" width="11.81640625" style="106" customWidth="1"/>
    <col min="13" max="13" width="1.7265625" style="106" customWidth="1"/>
    <col min="14" max="14" width="11.7265625" style="106" customWidth="1"/>
    <col min="15" max="15" width="1.7265625" style="106" customWidth="1"/>
    <col min="16" max="16" width="11.7265625" style="106" customWidth="1"/>
    <col min="17" max="17" width="1.7265625" style="106" customWidth="1"/>
    <col min="18" max="18" width="11.7265625" style="106" customWidth="1"/>
    <col min="19" max="19" width="1.7265625" style="106" customWidth="1"/>
    <col min="20" max="20" width="11.81640625" style="106" customWidth="1"/>
    <col min="21" max="21" width="1.7265625" style="106" customWidth="1"/>
    <col min="22" max="22" width="11.7265625" style="106" customWidth="1"/>
    <col min="23" max="23" width="1.7265625" style="106" customWidth="1"/>
    <col min="24" max="24" width="11.7265625" style="106" customWidth="1"/>
    <col min="25" max="26" width="0" style="106" hidden="1" customWidth="1"/>
    <col min="27" max="27" width="2.1796875" style="106" customWidth="1"/>
    <col min="28" max="28" width="9.26953125" style="106" customWidth="1"/>
    <col min="29" max="16384" width="9.1796875" style="106"/>
  </cols>
  <sheetData>
    <row r="1" spans="1:28" ht="19" thickTop="1" thickBot="1">
      <c r="A1" s="105"/>
      <c r="B1" s="105"/>
      <c r="C1" s="105"/>
      <c r="D1" s="105"/>
      <c r="E1" s="105"/>
      <c r="F1" s="105"/>
      <c r="G1" s="105"/>
      <c r="H1" s="105"/>
      <c r="I1" s="105"/>
      <c r="J1" s="640" t="str">
        <f>GufMevukar</f>
        <v>עיריית באקה אלגרבייה</v>
      </c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2"/>
      <c r="Y1" s="105"/>
      <c r="Z1" s="105"/>
      <c r="AA1" s="105"/>
      <c r="AB1" s="105"/>
    </row>
    <row r="2" spans="1:28" ht="19" thickTop="1" thickBot="1">
      <c r="A2" s="105"/>
      <c r="B2" s="105"/>
      <c r="C2" s="105"/>
      <c r="D2" s="105"/>
      <c r="E2" s="105"/>
      <c r="F2" s="105"/>
      <c r="G2" s="105"/>
      <c r="H2" s="105"/>
      <c r="I2" s="105"/>
      <c r="J2" s="643" t="s">
        <v>686</v>
      </c>
      <c r="K2" s="645"/>
      <c r="L2" s="645"/>
      <c r="M2" s="645"/>
      <c r="N2" s="645"/>
      <c r="O2" s="645"/>
      <c r="P2" s="645"/>
      <c r="Q2" s="645"/>
      <c r="R2" s="645"/>
      <c r="S2" s="645"/>
      <c r="T2" s="645"/>
      <c r="U2" s="645"/>
      <c r="V2" s="645"/>
      <c r="W2" s="645"/>
      <c r="X2" s="646"/>
      <c r="Y2" s="105"/>
      <c r="Z2" s="105"/>
      <c r="AA2" s="105"/>
      <c r="AB2" s="105"/>
    </row>
    <row r="3" spans="1:28" ht="19" thickTop="1" thickBot="1">
      <c r="A3" s="105"/>
      <c r="B3" s="105"/>
      <c r="C3" s="105"/>
      <c r="D3" s="105"/>
      <c r="E3" s="105"/>
      <c r="F3" s="105"/>
      <c r="G3" s="105"/>
      <c r="H3" s="105"/>
      <c r="I3" s="105"/>
      <c r="J3" s="640" t="str">
        <f>ReportPeriod</f>
        <v>לתקופה: רבעון 4, שנת 2017</v>
      </c>
      <c r="K3" s="641"/>
      <c r="L3" s="641"/>
      <c r="M3" s="641"/>
      <c r="N3" s="641"/>
      <c r="O3" s="641"/>
      <c r="P3" s="641"/>
      <c r="Q3" s="641"/>
      <c r="R3" s="641"/>
      <c r="S3" s="641"/>
      <c r="T3" s="641"/>
      <c r="U3" s="641"/>
      <c r="V3" s="641"/>
      <c r="W3" s="641"/>
      <c r="X3" s="642"/>
      <c r="Y3" s="105"/>
      <c r="Z3" s="105"/>
      <c r="AA3" s="105"/>
      <c r="AB3" s="105"/>
    </row>
    <row r="4" spans="1:28" ht="13.5" thickTop="1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ht="13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>
      <c r="A6" s="110"/>
      <c r="B6" s="176" t="str">
        <f>IF(Y38&lt;&gt;0,"חסר ערך בעמודה תיאור תפקיד","")</f>
        <v/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/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>
      <c r="A8" s="110"/>
      <c r="B8" s="150" t="s">
        <v>976</v>
      </c>
      <c r="C8" s="115"/>
      <c r="D8" s="588" t="s">
        <v>980</v>
      </c>
      <c r="E8" s="115"/>
      <c r="F8" s="118">
        <v>37</v>
      </c>
      <c r="G8" s="115"/>
      <c r="H8" s="118">
        <v>6</v>
      </c>
      <c r="I8" s="115"/>
      <c r="J8" s="118">
        <v>424775</v>
      </c>
      <c r="K8" s="115"/>
      <c r="L8" s="118"/>
      <c r="M8" s="115"/>
      <c r="N8" s="118"/>
      <c r="O8" s="115"/>
      <c r="P8" s="118">
        <v>44307</v>
      </c>
      <c r="Q8" s="115"/>
      <c r="R8" s="118">
        <v>28020</v>
      </c>
      <c r="S8" s="115"/>
      <c r="T8" s="119">
        <f t="shared" ref="T8:T37" si="0">J8+L8+N8+P8+R8</f>
        <v>497102</v>
      </c>
      <c r="U8" s="115"/>
      <c r="V8" s="118">
        <v>178379</v>
      </c>
      <c r="W8" s="115"/>
      <c r="X8" s="119">
        <f t="shared" ref="X8:X37" si="1">V8+T8</f>
        <v>675481</v>
      </c>
      <c r="Y8" s="107">
        <f t="shared" ref="Y8:Y37" si="2">IF(AND($B8=0,OR($J8&lt;&gt;0,$L8&lt;&gt;0,$N8&lt;&gt;0,$P8&lt;&gt;0,$R8&lt;&gt;0,$V8&lt;&gt;0)),1,0)</f>
        <v>0</v>
      </c>
      <c r="Z8" s="107">
        <f t="shared" ref="Z8:Z36" si="3">IF(X8 &lt;&gt;0,X8,"")</f>
        <v>675481</v>
      </c>
      <c r="AA8" s="116"/>
      <c r="AB8" s="111"/>
    </row>
    <row r="9" spans="1:28">
      <c r="A9" s="110"/>
      <c r="B9" s="150" t="s">
        <v>977</v>
      </c>
      <c r="C9" s="115"/>
      <c r="D9" s="588" t="s">
        <v>981</v>
      </c>
      <c r="E9" s="115"/>
      <c r="F9" s="118">
        <v>37</v>
      </c>
      <c r="G9" s="115"/>
      <c r="H9" s="118">
        <v>6</v>
      </c>
      <c r="I9" s="115"/>
      <c r="J9" s="118">
        <v>424775</v>
      </c>
      <c r="K9" s="115"/>
      <c r="L9" s="118"/>
      <c r="M9" s="115"/>
      <c r="N9" s="118"/>
      <c r="O9" s="115"/>
      <c r="P9" s="118">
        <v>46421</v>
      </c>
      <c r="Q9" s="115"/>
      <c r="R9" s="118">
        <v>22323</v>
      </c>
      <c r="S9" s="115"/>
      <c r="T9" s="119">
        <f t="shared" si="0"/>
        <v>493519</v>
      </c>
      <c r="U9" s="115"/>
      <c r="V9" s="118">
        <v>176919</v>
      </c>
      <c r="W9" s="115"/>
      <c r="X9" s="119">
        <f t="shared" si="1"/>
        <v>670438</v>
      </c>
      <c r="Y9" s="107">
        <f t="shared" si="2"/>
        <v>0</v>
      </c>
      <c r="Z9" s="107">
        <f t="shared" si="3"/>
        <v>670438</v>
      </c>
      <c r="AA9" s="116"/>
      <c r="AB9" s="111"/>
    </row>
    <row r="10" spans="1:28">
      <c r="A10" s="110"/>
      <c r="B10" s="150" t="s">
        <v>708</v>
      </c>
      <c r="C10" s="115"/>
      <c r="D10" s="588" t="s">
        <v>983</v>
      </c>
      <c r="E10" s="115"/>
      <c r="F10" s="118">
        <v>39</v>
      </c>
      <c r="G10" s="115"/>
      <c r="H10" s="118">
        <v>4</v>
      </c>
      <c r="I10" s="115"/>
      <c r="J10" s="118">
        <v>365136</v>
      </c>
      <c r="K10" s="115"/>
      <c r="L10" s="118"/>
      <c r="M10" s="115"/>
      <c r="N10" s="118"/>
      <c r="O10" s="115"/>
      <c r="P10" s="118">
        <v>46741</v>
      </c>
      <c r="Q10" s="115"/>
      <c r="R10" s="118">
        <v>21009</v>
      </c>
      <c r="S10" s="115"/>
      <c r="T10" s="119">
        <f t="shared" si="0"/>
        <v>432886</v>
      </c>
      <c r="U10" s="115"/>
      <c r="V10" s="118">
        <v>151179</v>
      </c>
      <c r="W10" s="115"/>
      <c r="X10" s="119">
        <f t="shared" si="1"/>
        <v>584065</v>
      </c>
      <c r="Y10" s="107">
        <f t="shared" si="2"/>
        <v>0</v>
      </c>
      <c r="Z10" s="107">
        <f t="shared" si="3"/>
        <v>584065</v>
      </c>
      <c r="AA10" s="116"/>
      <c r="AB10" s="111"/>
    </row>
    <row r="11" spans="1:28">
      <c r="A11" s="110"/>
      <c r="B11" s="152" t="s">
        <v>987</v>
      </c>
      <c r="C11" s="115"/>
      <c r="D11" s="588" t="s">
        <v>986</v>
      </c>
      <c r="E11" s="115"/>
      <c r="F11" s="118">
        <v>39</v>
      </c>
      <c r="G11" s="115"/>
      <c r="H11" s="589">
        <v>4</v>
      </c>
      <c r="I11" s="115"/>
      <c r="J11" s="177">
        <v>325382</v>
      </c>
      <c r="K11" s="115"/>
      <c r="L11" s="177"/>
      <c r="M11" s="115"/>
      <c r="N11" s="177"/>
      <c r="O11" s="115"/>
      <c r="P11" s="177">
        <v>37068</v>
      </c>
      <c r="Q11" s="115"/>
      <c r="R11" s="177">
        <v>12392</v>
      </c>
      <c r="S11" s="115"/>
      <c r="T11" s="119">
        <f t="shared" si="0"/>
        <v>374842</v>
      </c>
      <c r="U11" s="115"/>
      <c r="V11" s="118">
        <v>105097</v>
      </c>
      <c r="W11" s="115"/>
      <c r="X11" s="119">
        <f t="shared" si="1"/>
        <v>479939</v>
      </c>
      <c r="Y11" s="107">
        <f t="shared" si="2"/>
        <v>0</v>
      </c>
      <c r="Z11" s="107">
        <f t="shared" si="3"/>
        <v>479939</v>
      </c>
      <c r="AA11" s="116"/>
      <c r="AB11" s="111"/>
    </row>
    <row r="12" spans="1:28">
      <c r="A12" s="110"/>
      <c r="B12" s="152" t="s">
        <v>978</v>
      </c>
      <c r="C12" s="115"/>
      <c r="D12" s="588" t="s">
        <v>982</v>
      </c>
      <c r="E12" s="115"/>
      <c r="F12" s="118">
        <v>39</v>
      </c>
      <c r="G12" s="115"/>
      <c r="H12" s="118">
        <v>4</v>
      </c>
      <c r="I12" s="115"/>
      <c r="J12" s="118">
        <v>251149</v>
      </c>
      <c r="K12" s="115"/>
      <c r="L12" s="118"/>
      <c r="M12" s="115"/>
      <c r="N12" s="118">
        <v>1110</v>
      </c>
      <c r="O12" s="115"/>
      <c r="P12" s="118">
        <v>43853</v>
      </c>
      <c r="Q12" s="115"/>
      <c r="R12" s="118">
        <v>17642</v>
      </c>
      <c r="S12" s="115"/>
      <c r="T12" s="119">
        <f t="shared" si="0"/>
        <v>313754</v>
      </c>
      <c r="U12" s="115"/>
      <c r="V12" s="118">
        <v>107702</v>
      </c>
      <c r="W12" s="115"/>
      <c r="X12" s="119">
        <f t="shared" si="1"/>
        <v>421456</v>
      </c>
      <c r="Y12" s="107">
        <f t="shared" si="2"/>
        <v>0</v>
      </c>
      <c r="Z12" s="107">
        <f t="shared" si="3"/>
        <v>421456</v>
      </c>
      <c r="AA12" s="116"/>
      <c r="AB12" s="111"/>
    </row>
    <row r="13" spans="1:28">
      <c r="A13" s="110"/>
      <c r="B13" s="152" t="s">
        <v>979</v>
      </c>
      <c r="C13" s="115"/>
      <c r="D13" s="588" t="s">
        <v>984</v>
      </c>
      <c r="E13" s="115"/>
      <c r="F13" s="118">
        <v>93</v>
      </c>
      <c r="G13" s="115"/>
      <c r="H13" s="118">
        <v>1</v>
      </c>
      <c r="I13" s="115"/>
      <c r="J13" s="118">
        <v>286892</v>
      </c>
      <c r="K13" s="115"/>
      <c r="L13" s="118"/>
      <c r="M13" s="115"/>
      <c r="N13" s="118"/>
      <c r="O13" s="115"/>
      <c r="P13" s="118"/>
      <c r="Q13" s="115"/>
      <c r="R13" s="118">
        <v>11975</v>
      </c>
      <c r="S13" s="115"/>
      <c r="T13" s="119">
        <f t="shared" si="0"/>
        <v>298867</v>
      </c>
      <c r="U13" s="115"/>
      <c r="V13" s="118">
        <v>110599</v>
      </c>
      <c r="W13" s="115"/>
      <c r="X13" s="119">
        <f t="shared" si="1"/>
        <v>409466</v>
      </c>
      <c r="Y13" s="107">
        <f t="shared" si="2"/>
        <v>0</v>
      </c>
      <c r="Z13" s="107">
        <f t="shared" si="3"/>
        <v>409466</v>
      </c>
      <c r="AA13" s="116"/>
      <c r="AB13" s="111"/>
    </row>
    <row r="14" spans="1:28">
      <c r="A14" s="110"/>
      <c r="B14" s="152" t="s">
        <v>989</v>
      </c>
      <c r="C14" s="115"/>
      <c r="D14" s="588" t="s">
        <v>990</v>
      </c>
      <c r="E14" s="115"/>
      <c r="F14" s="118">
        <v>39</v>
      </c>
      <c r="G14" s="115"/>
      <c r="H14" s="118">
        <v>4</v>
      </c>
      <c r="I14" s="115"/>
      <c r="J14" s="118">
        <v>240381</v>
      </c>
      <c r="K14" s="115"/>
      <c r="L14" s="118"/>
      <c r="M14" s="115"/>
      <c r="N14" s="118"/>
      <c r="O14" s="115"/>
      <c r="P14" s="118">
        <v>50858</v>
      </c>
      <c r="Q14" s="115"/>
      <c r="R14" s="118">
        <v>23862</v>
      </c>
      <c r="S14" s="115"/>
      <c r="T14" s="119">
        <f t="shared" si="0"/>
        <v>315101</v>
      </c>
      <c r="U14" s="115"/>
      <c r="V14" s="118">
        <v>69006</v>
      </c>
      <c r="W14" s="115"/>
      <c r="X14" s="119">
        <f t="shared" si="1"/>
        <v>384107</v>
      </c>
      <c r="Y14" s="107">
        <f t="shared" si="2"/>
        <v>0</v>
      </c>
      <c r="Z14" s="107">
        <f t="shared" si="3"/>
        <v>384107</v>
      </c>
      <c r="AA14" s="116"/>
      <c r="AB14" s="111"/>
    </row>
    <row r="15" spans="1:28">
      <c r="A15" s="110"/>
      <c r="B15" s="152" t="s">
        <v>979</v>
      </c>
      <c r="C15" s="115"/>
      <c r="D15" s="588" t="s">
        <v>988</v>
      </c>
      <c r="E15" s="115"/>
      <c r="F15" s="118">
        <v>93</v>
      </c>
      <c r="G15" s="115"/>
      <c r="H15" s="118">
        <v>1</v>
      </c>
      <c r="I15" s="115"/>
      <c r="J15" s="118">
        <v>255917</v>
      </c>
      <c r="K15" s="115"/>
      <c r="L15" s="118"/>
      <c r="M15" s="115"/>
      <c r="N15" s="118"/>
      <c r="O15" s="115"/>
      <c r="P15" s="118"/>
      <c r="Q15" s="115"/>
      <c r="R15" s="118">
        <v>10605</v>
      </c>
      <c r="S15" s="115"/>
      <c r="T15" s="119">
        <f t="shared" si="0"/>
        <v>266522</v>
      </c>
      <c r="U15" s="115"/>
      <c r="V15" s="118">
        <v>95202</v>
      </c>
      <c r="W15" s="115"/>
      <c r="X15" s="119">
        <f t="shared" si="1"/>
        <v>361724</v>
      </c>
      <c r="Y15" s="107">
        <f t="shared" si="2"/>
        <v>0</v>
      </c>
      <c r="Z15" s="107">
        <f t="shared" si="3"/>
        <v>361724</v>
      </c>
      <c r="AA15" s="116"/>
      <c r="AB15" s="111"/>
    </row>
    <row r="16" spans="1:28">
      <c r="A16" s="110"/>
      <c r="B16" s="152" t="s">
        <v>979</v>
      </c>
      <c r="C16" s="115"/>
      <c r="D16" s="588" t="s">
        <v>985</v>
      </c>
      <c r="E16" s="115"/>
      <c r="F16" s="118">
        <v>93</v>
      </c>
      <c r="G16" s="115"/>
      <c r="H16" s="118">
        <v>1</v>
      </c>
      <c r="I16" s="115"/>
      <c r="J16" s="118">
        <v>245310</v>
      </c>
      <c r="K16" s="115"/>
      <c r="L16" s="177"/>
      <c r="M16" s="115"/>
      <c r="N16" s="118"/>
      <c r="O16" s="115"/>
      <c r="P16" s="118"/>
      <c r="Q16" s="115"/>
      <c r="R16" s="118">
        <v>19186</v>
      </c>
      <c r="S16" s="115"/>
      <c r="T16" s="119">
        <f t="shared" si="0"/>
        <v>264496</v>
      </c>
      <c r="U16" s="115"/>
      <c r="V16" s="118">
        <v>92406</v>
      </c>
      <c r="W16" s="115"/>
      <c r="X16" s="119">
        <f t="shared" si="1"/>
        <v>356902</v>
      </c>
      <c r="Y16" s="107">
        <f t="shared" si="2"/>
        <v>0</v>
      </c>
      <c r="Z16" s="107">
        <f t="shared" si="3"/>
        <v>356902</v>
      </c>
      <c r="AA16" s="116"/>
      <c r="AB16" s="111"/>
    </row>
    <row r="17" spans="1:28">
      <c r="A17" s="110"/>
      <c r="B17" s="152" t="s">
        <v>996</v>
      </c>
      <c r="C17" s="115"/>
      <c r="D17" s="588" t="s">
        <v>997</v>
      </c>
      <c r="E17" s="115"/>
      <c r="F17" s="118">
        <v>93</v>
      </c>
      <c r="G17" s="115"/>
      <c r="H17" s="118">
        <v>1</v>
      </c>
      <c r="I17" s="115"/>
      <c r="J17" s="118">
        <v>240271</v>
      </c>
      <c r="K17" s="115"/>
      <c r="L17" s="118"/>
      <c r="M17" s="115"/>
      <c r="N17" s="118"/>
      <c r="O17" s="115"/>
      <c r="P17" s="118">
        <v>14930</v>
      </c>
      <c r="Q17" s="115"/>
      <c r="R17" s="118">
        <v>8341</v>
      </c>
      <c r="S17" s="115"/>
      <c r="T17" s="119">
        <f t="shared" si="0"/>
        <v>263542</v>
      </c>
      <c r="U17" s="115"/>
      <c r="V17" s="118">
        <v>89928</v>
      </c>
      <c r="W17" s="115"/>
      <c r="X17" s="119">
        <f t="shared" si="1"/>
        <v>353470</v>
      </c>
      <c r="Y17" s="107">
        <f t="shared" si="2"/>
        <v>0</v>
      </c>
      <c r="Z17" s="107">
        <f t="shared" si="3"/>
        <v>353470</v>
      </c>
      <c r="AA17" s="116"/>
      <c r="AB17" s="111"/>
    </row>
    <row r="18" spans="1:28">
      <c r="A18" s="110"/>
      <c r="B18" s="152"/>
      <c r="C18" s="115"/>
      <c r="D18" s="520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>
      <c r="A19" s="110"/>
      <c r="B19" s="152"/>
      <c r="C19" s="115"/>
      <c r="D19" s="520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>
        <f t="shared" si="2"/>
        <v>0</v>
      </c>
      <c r="Z19" s="107" t="str">
        <f t="shared" si="3"/>
        <v/>
      </c>
      <c r="AA19" s="116"/>
      <c r="AB19" s="111"/>
    </row>
    <row r="20" spans="1:28">
      <c r="A20" s="110"/>
      <c r="B20" s="152"/>
      <c r="C20" s="115"/>
      <c r="D20" s="520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>
        <f t="shared" si="2"/>
        <v>0</v>
      </c>
      <c r="Z20" s="107" t="str">
        <f t="shared" si="3"/>
        <v/>
      </c>
      <c r="AA20" s="116"/>
      <c r="AB20" s="111"/>
    </row>
    <row r="21" spans="1:28">
      <c r="A21" s="110"/>
      <c r="B21" s="152"/>
      <c r="C21" s="115"/>
      <c r="D21" s="520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>
        <f t="shared" si="2"/>
        <v>0</v>
      </c>
      <c r="Z21" s="107" t="str">
        <f t="shared" si="3"/>
        <v/>
      </c>
      <c r="AA21" s="116"/>
      <c r="AB21" s="111"/>
    </row>
    <row r="22" spans="1:28">
      <c r="A22" s="110"/>
      <c r="B22" s="152"/>
      <c r="C22" s="115"/>
      <c r="D22" s="520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>
        <f>SUM(Y7:Y37)</f>
        <v>0</v>
      </c>
      <c r="Z38" s="107"/>
      <c r="AA38" s="116"/>
      <c r="AB38" s="111"/>
    </row>
    <row r="39" spans="1:28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10</v>
      </c>
      <c r="AA39" s="116"/>
      <c r="AB39" s="111"/>
    </row>
    <row r="40" spans="1:28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" thickBo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" thickTop="1"/>
    <row r="299" spans="2:24" ht="15" customHeight="1">
      <c r="B299" s="644" t="str">
        <f>J1</f>
        <v>עיריית באקה אלגרבייה</v>
      </c>
      <c r="C299" s="644"/>
      <c r="D299" s="644"/>
      <c r="E299" s="644"/>
      <c r="F299" s="644"/>
      <c r="G299" s="644"/>
      <c r="H299" s="644"/>
      <c r="I299" s="644"/>
      <c r="J299" s="644"/>
      <c r="K299" s="644"/>
      <c r="L299" s="644"/>
      <c r="M299" s="644"/>
      <c r="N299" s="644"/>
      <c r="O299" s="644"/>
      <c r="P299" s="644"/>
      <c r="Q299" s="644"/>
      <c r="R299" s="644"/>
      <c r="S299" s="644"/>
      <c r="T299" s="644"/>
      <c r="U299" s="644"/>
      <c r="V299" s="644"/>
      <c r="W299" s="644"/>
      <c r="X299" s="644"/>
    </row>
    <row r="300" spans="2:24" ht="12.75" customHeight="1">
      <c r="B300" s="644" t="str">
        <f>J2</f>
        <v>דוח בעלי השכר הגבוה</v>
      </c>
      <c r="C300" s="644"/>
      <c r="D300" s="644"/>
      <c r="E300" s="644"/>
      <c r="F300" s="644"/>
      <c r="G300" s="644"/>
      <c r="H300" s="644"/>
      <c r="I300" s="644"/>
      <c r="J300" s="644"/>
      <c r="K300" s="644"/>
      <c r="L300" s="644"/>
      <c r="M300" s="644"/>
      <c r="N300" s="644"/>
      <c r="O300" s="644"/>
      <c r="P300" s="644"/>
      <c r="Q300" s="644"/>
      <c r="R300" s="644"/>
      <c r="S300" s="644"/>
      <c r="T300" s="644"/>
      <c r="U300" s="644"/>
      <c r="V300" s="644"/>
      <c r="W300" s="644"/>
      <c r="X300" s="644"/>
    </row>
    <row r="301" spans="2:24" ht="18">
      <c r="B301" s="644" t="str">
        <f>J3</f>
        <v>לתקופה: רבעון 4, שנת 2017</v>
      </c>
      <c r="C301" s="644"/>
      <c r="D301" s="644"/>
      <c r="E301" s="644"/>
      <c r="F301" s="644"/>
      <c r="G301" s="644"/>
      <c r="H301" s="644"/>
      <c r="I301" s="644"/>
      <c r="J301" s="644"/>
      <c r="K301" s="644"/>
      <c r="L301" s="644"/>
      <c r="M301" s="644"/>
      <c r="N301" s="644"/>
      <c r="O301" s="644"/>
      <c r="P301" s="644"/>
      <c r="Q301" s="644"/>
      <c r="R301" s="644"/>
      <c r="S301" s="644"/>
      <c r="T301" s="644"/>
      <c r="U301" s="644"/>
      <c r="V301" s="644"/>
      <c r="W301" s="644"/>
      <c r="X301" s="644"/>
    </row>
    <row r="302" spans="2:24" ht="0.75" customHeight="1"/>
    <row r="303" spans="2:24" ht="6" customHeight="1"/>
    <row r="304" spans="2:24" ht="8.25" customHeight="1"/>
    <row r="305" spans="2:27" ht="3.75" customHeight="1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26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>
        <f t="shared" si="4"/>
        <v>675481</v>
      </c>
      <c r="AA306" s="134">
        <f t="shared" si="4"/>
        <v>0</v>
      </c>
    </row>
    <row r="307" spans="2:27" s="488" customFormat="1">
      <c r="B307" s="142" t="str">
        <f t="shared" si="5"/>
        <v>יועץ משפטי</v>
      </c>
      <c r="C307" s="133">
        <f t="shared" si="5"/>
        <v>0</v>
      </c>
      <c r="D307" s="183" t="str">
        <f t="shared" si="6"/>
        <v>23382369</v>
      </c>
      <c r="E307" s="133">
        <f t="shared" si="6"/>
        <v>0</v>
      </c>
      <c r="F307" s="183">
        <f t="shared" si="5"/>
        <v>37</v>
      </c>
      <c r="G307" s="133">
        <f t="shared" si="5"/>
        <v>0</v>
      </c>
      <c r="H307" s="183">
        <f t="shared" si="5"/>
        <v>6</v>
      </c>
      <c r="I307" s="133">
        <f t="shared" si="5"/>
        <v>0</v>
      </c>
      <c r="J307" s="183">
        <f t="shared" si="5"/>
        <v>424775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44307</v>
      </c>
      <c r="Q307" s="133">
        <f t="shared" si="5"/>
        <v>0</v>
      </c>
      <c r="R307" s="183">
        <f t="shared" si="5"/>
        <v>28020</v>
      </c>
      <c r="S307" s="133">
        <f t="shared" si="5"/>
        <v>0</v>
      </c>
      <c r="T307" s="137">
        <f t="shared" si="5"/>
        <v>497102</v>
      </c>
      <c r="U307" s="133">
        <f t="shared" si="5"/>
        <v>0</v>
      </c>
      <c r="V307" s="183">
        <f t="shared" si="5"/>
        <v>178379</v>
      </c>
      <c r="W307" s="133">
        <f t="shared" si="5"/>
        <v>0</v>
      </c>
      <c r="X307" s="137">
        <f t="shared" si="5"/>
        <v>675481</v>
      </c>
      <c r="Y307" s="182">
        <f t="shared" si="4"/>
        <v>0</v>
      </c>
      <c r="Z307" s="182">
        <f t="shared" si="4"/>
        <v>670438</v>
      </c>
      <c r="AA307" s="134">
        <f t="shared" si="4"/>
        <v>0</v>
      </c>
    </row>
    <row r="308" spans="2:27">
      <c r="B308" s="142" t="str">
        <f t="shared" si="5"/>
        <v>גזבר</v>
      </c>
      <c r="C308" s="133">
        <f t="shared" si="5"/>
        <v>0</v>
      </c>
      <c r="D308" s="184" t="str">
        <f t="shared" si="6"/>
        <v>23126360</v>
      </c>
      <c r="E308" s="133">
        <f t="shared" si="6"/>
        <v>0</v>
      </c>
      <c r="F308" s="184">
        <f t="shared" si="5"/>
        <v>37</v>
      </c>
      <c r="G308" s="133">
        <f t="shared" si="5"/>
        <v>0</v>
      </c>
      <c r="H308" s="184">
        <f t="shared" si="5"/>
        <v>6</v>
      </c>
      <c r="I308" s="133">
        <f t="shared" si="5"/>
        <v>0</v>
      </c>
      <c r="J308" s="184">
        <f t="shared" si="5"/>
        <v>424775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46421</v>
      </c>
      <c r="Q308" s="133">
        <f t="shared" si="5"/>
        <v>0</v>
      </c>
      <c r="R308" s="184">
        <f t="shared" si="5"/>
        <v>22323</v>
      </c>
      <c r="S308" s="133">
        <f t="shared" si="5"/>
        <v>0</v>
      </c>
      <c r="T308" s="140">
        <f t="shared" si="5"/>
        <v>493519</v>
      </c>
      <c r="U308" s="133">
        <f t="shared" si="5"/>
        <v>0</v>
      </c>
      <c r="V308" s="184">
        <f t="shared" si="5"/>
        <v>176919</v>
      </c>
      <c r="W308" s="133">
        <f t="shared" si="5"/>
        <v>0</v>
      </c>
      <c r="X308" s="140">
        <f t="shared" si="5"/>
        <v>670438</v>
      </c>
      <c r="Y308" s="182">
        <f t="shared" si="4"/>
        <v>0</v>
      </c>
      <c r="Z308" s="182">
        <f t="shared" si="4"/>
        <v>584065</v>
      </c>
      <c r="AA308" s="134">
        <f t="shared" si="4"/>
        <v>0</v>
      </c>
    </row>
    <row r="309" spans="2:27">
      <c r="B309" s="142" t="str">
        <f t="shared" si="5"/>
        <v>מנהל כללי</v>
      </c>
      <c r="C309" s="133">
        <f t="shared" si="5"/>
        <v>0</v>
      </c>
      <c r="D309" s="184" t="str">
        <f t="shared" si="6"/>
        <v>28373256</v>
      </c>
      <c r="E309" s="133">
        <f t="shared" si="6"/>
        <v>0</v>
      </c>
      <c r="F309" s="184">
        <f t="shared" si="5"/>
        <v>39</v>
      </c>
      <c r="G309" s="133">
        <f t="shared" si="5"/>
        <v>0</v>
      </c>
      <c r="H309" s="184">
        <f t="shared" si="5"/>
        <v>4</v>
      </c>
      <c r="I309" s="133">
        <f t="shared" si="5"/>
        <v>0</v>
      </c>
      <c r="J309" s="184">
        <f t="shared" si="5"/>
        <v>365136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46741</v>
      </c>
      <c r="Q309" s="133">
        <f t="shared" si="5"/>
        <v>0</v>
      </c>
      <c r="R309" s="184">
        <f t="shared" si="5"/>
        <v>21009</v>
      </c>
      <c r="S309" s="133">
        <f t="shared" si="5"/>
        <v>0</v>
      </c>
      <c r="T309" s="140">
        <f t="shared" si="5"/>
        <v>432886</v>
      </c>
      <c r="U309" s="133">
        <f t="shared" si="5"/>
        <v>0</v>
      </c>
      <c r="V309" s="184">
        <f t="shared" si="5"/>
        <v>151179</v>
      </c>
      <c r="W309" s="133">
        <f t="shared" si="5"/>
        <v>0</v>
      </c>
      <c r="X309" s="140">
        <f t="shared" si="5"/>
        <v>584065</v>
      </c>
      <c r="Y309" s="182">
        <f t="shared" si="4"/>
        <v>0</v>
      </c>
      <c r="Z309" s="182">
        <f t="shared" si="4"/>
        <v>479939</v>
      </c>
      <c r="AA309" s="134">
        <f t="shared" si="4"/>
        <v>0</v>
      </c>
    </row>
    <row r="310" spans="2:27">
      <c r="B310" s="132" t="str">
        <f t="shared" si="5"/>
        <v>מהנדס</v>
      </c>
      <c r="C310" s="133">
        <f t="shared" si="5"/>
        <v>0</v>
      </c>
      <c r="D310" s="184" t="str">
        <f t="shared" si="6"/>
        <v>23423411</v>
      </c>
      <c r="E310" s="133">
        <f t="shared" si="6"/>
        <v>0</v>
      </c>
      <c r="F310" s="184">
        <f t="shared" si="5"/>
        <v>39</v>
      </c>
      <c r="G310" s="133">
        <f t="shared" si="5"/>
        <v>0</v>
      </c>
      <c r="H310" s="184">
        <f t="shared" si="5"/>
        <v>4</v>
      </c>
      <c r="I310" s="133">
        <f t="shared" si="5"/>
        <v>0</v>
      </c>
      <c r="J310" s="184">
        <f t="shared" si="5"/>
        <v>325382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37068</v>
      </c>
      <c r="Q310" s="133">
        <f t="shared" si="5"/>
        <v>0</v>
      </c>
      <c r="R310" s="184">
        <f t="shared" si="5"/>
        <v>12392</v>
      </c>
      <c r="S310" s="133">
        <f t="shared" si="5"/>
        <v>0</v>
      </c>
      <c r="T310" s="140">
        <f t="shared" si="5"/>
        <v>374842</v>
      </c>
      <c r="U310" s="133">
        <f t="shared" si="5"/>
        <v>0</v>
      </c>
      <c r="V310" s="184">
        <f t="shared" si="5"/>
        <v>105097</v>
      </c>
      <c r="W310" s="133">
        <f t="shared" si="5"/>
        <v>0</v>
      </c>
      <c r="X310" s="140">
        <f t="shared" si="5"/>
        <v>479939</v>
      </c>
      <c r="Y310" s="182">
        <f t="shared" si="4"/>
        <v>0</v>
      </c>
      <c r="Z310" s="182">
        <f t="shared" si="4"/>
        <v>421456</v>
      </c>
      <c r="AA310" s="134">
        <f t="shared" si="4"/>
        <v>0</v>
      </c>
    </row>
    <row r="311" spans="2:27">
      <c r="B311" s="132" t="str">
        <f t="shared" si="5"/>
        <v>מנהל מחלקת חינוך</v>
      </c>
      <c r="C311" s="133">
        <f t="shared" si="5"/>
        <v>0</v>
      </c>
      <c r="D311" s="184" t="str">
        <f t="shared" si="6"/>
        <v>23173107</v>
      </c>
      <c r="E311" s="133">
        <f t="shared" si="6"/>
        <v>0</v>
      </c>
      <c r="F311" s="184">
        <f t="shared" si="5"/>
        <v>39</v>
      </c>
      <c r="G311" s="133">
        <f t="shared" si="5"/>
        <v>0</v>
      </c>
      <c r="H311" s="184">
        <f t="shared" si="5"/>
        <v>4</v>
      </c>
      <c r="I311" s="133">
        <f t="shared" si="5"/>
        <v>0</v>
      </c>
      <c r="J311" s="184">
        <f t="shared" si="5"/>
        <v>251149</v>
      </c>
      <c r="K311" s="133">
        <f t="shared" si="5"/>
        <v>0</v>
      </c>
      <c r="L311" s="184">
        <f t="shared" si="5"/>
        <v>0</v>
      </c>
      <c r="M311" s="133">
        <f t="shared" si="5"/>
        <v>0</v>
      </c>
      <c r="N311" s="184">
        <f t="shared" si="5"/>
        <v>1110</v>
      </c>
      <c r="O311" s="133">
        <f t="shared" si="5"/>
        <v>0</v>
      </c>
      <c r="P311" s="184">
        <f t="shared" si="5"/>
        <v>43853</v>
      </c>
      <c r="Q311" s="133">
        <f t="shared" si="5"/>
        <v>0</v>
      </c>
      <c r="R311" s="184">
        <f t="shared" si="5"/>
        <v>17642</v>
      </c>
      <c r="S311" s="133">
        <f t="shared" si="5"/>
        <v>0</v>
      </c>
      <c r="T311" s="140">
        <f t="shared" si="5"/>
        <v>313754</v>
      </c>
      <c r="U311" s="133">
        <f t="shared" si="5"/>
        <v>0</v>
      </c>
      <c r="V311" s="184">
        <f t="shared" si="5"/>
        <v>107702</v>
      </c>
      <c r="W311" s="133">
        <f t="shared" si="5"/>
        <v>0</v>
      </c>
      <c r="X311" s="140">
        <f t="shared" si="5"/>
        <v>421456</v>
      </c>
      <c r="Y311" s="182">
        <f t="shared" si="4"/>
        <v>0</v>
      </c>
      <c r="Z311" s="182">
        <f t="shared" si="4"/>
        <v>409466</v>
      </c>
      <c r="AA311" s="134">
        <f t="shared" si="4"/>
        <v>0</v>
      </c>
    </row>
    <row r="312" spans="2:27">
      <c r="B312" s="132" t="str">
        <f t="shared" si="5"/>
        <v>מורה תיכון</v>
      </c>
      <c r="C312" s="133">
        <f t="shared" si="5"/>
        <v>0</v>
      </c>
      <c r="D312" s="184" t="str">
        <f t="shared" si="6"/>
        <v>27596469</v>
      </c>
      <c r="E312" s="133">
        <f t="shared" si="6"/>
        <v>0</v>
      </c>
      <c r="F312" s="184">
        <f t="shared" si="5"/>
        <v>93</v>
      </c>
      <c r="G312" s="133">
        <f t="shared" si="5"/>
        <v>0</v>
      </c>
      <c r="H312" s="184">
        <f t="shared" si="5"/>
        <v>1</v>
      </c>
      <c r="I312" s="133">
        <f t="shared" si="5"/>
        <v>0</v>
      </c>
      <c r="J312" s="184">
        <f t="shared" si="5"/>
        <v>286892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0</v>
      </c>
      <c r="Q312" s="133">
        <f t="shared" si="5"/>
        <v>0</v>
      </c>
      <c r="R312" s="184">
        <f t="shared" si="5"/>
        <v>11975</v>
      </c>
      <c r="S312" s="133">
        <f t="shared" si="5"/>
        <v>0</v>
      </c>
      <c r="T312" s="140">
        <f t="shared" si="5"/>
        <v>298867</v>
      </c>
      <c r="U312" s="133">
        <f t="shared" si="5"/>
        <v>0</v>
      </c>
      <c r="V312" s="184">
        <f t="shared" si="5"/>
        <v>110599</v>
      </c>
      <c r="W312" s="133">
        <f t="shared" si="5"/>
        <v>0</v>
      </c>
      <c r="X312" s="140">
        <f t="shared" si="5"/>
        <v>409466</v>
      </c>
      <c r="Y312" s="182">
        <f t="shared" si="4"/>
        <v>0</v>
      </c>
      <c r="Z312" s="182">
        <f t="shared" si="4"/>
        <v>384107</v>
      </c>
      <c r="AA312" s="134">
        <f t="shared" si="4"/>
        <v>0</v>
      </c>
    </row>
    <row r="313" spans="2:27">
      <c r="B313" s="132" t="str">
        <f t="shared" si="5"/>
        <v>סמנכ"ל</v>
      </c>
      <c r="C313" s="133">
        <f t="shared" si="5"/>
        <v>0</v>
      </c>
      <c r="D313" s="184" t="str">
        <f t="shared" si="6"/>
        <v>24788341</v>
      </c>
      <c r="E313" s="133">
        <f t="shared" si="6"/>
        <v>0</v>
      </c>
      <c r="F313" s="184">
        <f t="shared" si="5"/>
        <v>39</v>
      </c>
      <c r="G313" s="133">
        <f t="shared" si="5"/>
        <v>0</v>
      </c>
      <c r="H313" s="184">
        <f t="shared" si="5"/>
        <v>4</v>
      </c>
      <c r="I313" s="133">
        <f t="shared" si="5"/>
        <v>0</v>
      </c>
      <c r="J313" s="184">
        <f t="shared" si="5"/>
        <v>240381</v>
      </c>
      <c r="K313" s="133">
        <f t="shared" si="5"/>
        <v>0</v>
      </c>
      <c r="L313" s="184">
        <f t="shared" si="5"/>
        <v>0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50858</v>
      </c>
      <c r="Q313" s="133">
        <f t="shared" si="5"/>
        <v>0</v>
      </c>
      <c r="R313" s="184">
        <f t="shared" si="5"/>
        <v>23862</v>
      </c>
      <c r="S313" s="133">
        <f t="shared" si="5"/>
        <v>0</v>
      </c>
      <c r="T313" s="140">
        <f t="shared" si="5"/>
        <v>315101</v>
      </c>
      <c r="U313" s="133">
        <f t="shared" si="5"/>
        <v>0</v>
      </c>
      <c r="V313" s="184">
        <f t="shared" si="5"/>
        <v>69006</v>
      </c>
      <c r="W313" s="133">
        <f t="shared" si="5"/>
        <v>0</v>
      </c>
      <c r="X313" s="140">
        <f t="shared" si="5"/>
        <v>384107</v>
      </c>
      <c r="Y313" s="182">
        <f t="shared" si="4"/>
        <v>0</v>
      </c>
      <c r="Z313" s="182">
        <f t="shared" si="4"/>
        <v>361724</v>
      </c>
      <c r="AA313" s="134">
        <f t="shared" si="4"/>
        <v>0</v>
      </c>
    </row>
    <row r="314" spans="2:27">
      <c r="B314" s="132" t="str">
        <f t="shared" si="5"/>
        <v>מורה תיכון</v>
      </c>
      <c r="C314" s="133">
        <f t="shared" si="5"/>
        <v>0</v>
      </c>
      <c r="D314" s="184" t="str">
        <f t="shared" si="6"/>
        <v>23173487</v>
      </c>
      <c r="E314" s="133">
        <f t="shared" si="6"/>
        <v>0</v>
      </c>
      <c r="F314" s="184">
        <f t="shared" si="5"/>
        <v>93</v>
      </c>
      <c r="G314" s="133">
        <f t="shared" si="5"/>
        <v>0</v>
      </c>
      <c r="H314" s="184">
        <f t="shared" si="5"/>
        <v>1</v>
      </c>
      <c r="I314" s="133">
        <f t="shared" si="5"/>
        <v>0</v>
      </c>
      <c r="J314" s="184">
        <f t="shared" si="5"/>
        <v>255917</v>
      </c>
      <c r="K314" s="133">
        <f t="shared" si="5"/>
        <v>0</v>
      </c>
      <c r="L314" s="184">
        <f t="shared" si="5"/>
        <v>0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0</v>
      </c>
      <c r="Q314" s="133">
        <f t="shared" si="5"/>
        <v>0</v>
      </c>
      <c r="R314" s="184">
        <f t="shared" si="5"/>
        <v>10605</v>
      </c>
      <c r="S314" s="133">
        <f t="shared" si="5"/>
        <v>0</v>
      </c>
      <c r="T314" s="140">
        <f t="shared" si="5"/>
        <v>266522</v>
      </c>
      <c r="U314" s="133">
        <f t="shared" si="5"/>
        <v>0</v>
      </c>
      <c r="V314" s="184">
        <f t="shared" si="5"/>
        <v>95202</v>
      </c>
      <c r="W314" s="133">
        <f t="shared" si="5"/>
        <v>0</v>
      </c>
      <c r="X314" s="140">
        <f t="shared" si="5"/>
        <v>361724</v>
      </c>
      <c r="Y314" s="182">
        <f t="shared" si="4"/>
        <v>0</v>
      </c>
      <c r="Z314" s="182">
        <f t="shared" si="4"/>
        <v>356902</v>
      </c>
      <c r="AA314" s="134">
        <f t="shared" si="4"/>
        <v>0</v>
      </c>
    </row>
    <row r="315" spans="2:27">
      <c r="B315" s="132" t="str">
        <f t="shared" si="5"/>
        <v>מורה תיכון</v>
      </c>
      <c r="C315" s="133">
        <f t="shared" si="5"/>
        <v>0</v>
      </c>
      <c r="D315" s="184" t="str">
        <f t="shared" si="6"/>
        <v>53731147</v>
      </c>
      <c r="E315" s="133">
        <f t="shared" si="6"/>
        <v>0</v>
      </c>
      <c r="F315" s="184">
        <f t="shared" si="5"/>
        <v>93</v>
      </c>
      <c r="G315" s="133">
        <f t="shared" si="5"/>
        <v>0</v>
      </c>
      <c r="H315" s="184">
        <f t="shared" si="5"/>
        <v>1</v>
      </c>
      <c r="I315" s="133">
        <f t="shared" si="5"/>
        <v>0</v>
      </c>
      <c r="J315" s="184">
        <f t="shared" si="5"/>
        <v>245310</v>
      </c>
      <c r="K315" s="133">
        <f t="shared" si="5"/>
        <v>0</v>
      </c>
      <c r="L315" s="184">
        <f t="shared" si="5"/>
        <v>0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0</v>
      </c>
      <c r="Q315" s="133">
        <f t="shared" si="5"/>
        <v>0</v>
      </c>
      <c r="R315" s="184">
        <f t="shared" si="5"/>
        <v>19186</v>
      </c>
      <c r="S315" s="133">
        <f t="shared" si="5"/>
        <v>0</v>
      </c>
      <c r="T315" s="140">
        <f t="shared" si="5"/>
        <v>264496</v>
      </c>
      <c r="U315" s="133">
        <f t="shared" si="5"/>
        <v>0</v>
      </c>
      <c r="V315" s="184">
        <f t="shared" si="5"/>
        <v>92406</v>
      </c>
      <c r="W315" s="133">
        <f t="shared" si="5"/>
        <v>0</v>
      </c>
      <c r="X315" s="140">
        <f t="shared" si="5"/>
        <v>356902</v>
      </c>
      <c r="Y315" s="182">
        <f t="shared" si="4"/>
        <v>0</v>
      </c>
      <c r="Z315" s="182">
        <f t="shared" si="4"/>
        <v>353470</v>
      </c>
      <c r="AA315" s="134">
        <f t="shared" si="4"/>
        <v>0</v>
      </c>
    </row>
    <row r="316" spans="2:27">
      <c r="B316" s="132" t="str">
        <f t="shared" si="5"/>
        <v>מנהל בית ספר</v>
      </c>
      <c r="C316" s="133">
        <f t="shared" si="5"/>
        <v>0</v>
      </c>
      <c r="D316" s="184" t="str">
        <f t="shared" si="6"/>
        <v>33428896</v>
      </c>
      <c r="E316" s="133">
        <f t="shared" si="6"/>
        <v>0</v>
      </c>
      <c r="F316" s="184">
        <f t="shared" si="5"/>
        <v>93</v>
      </c>
      <c r="G316" s="133">
        <f t="shared" si="5"/>
        <v>0</v>
      </c>
      <c r="H316" s="184">
        <f t="shared" si="5"/>
        <v>1</v>
      </c>
      <c r="I316" s="133">
        <f t="shared" si="5"/>
        <v>0</v>
      </c>
      <c r="J316" s="184">
        <f t="shared" si="5"/>
        <v>240271</v>
      </c>
      <c r="K316" s="133">
        <f t="shared" si="5"/>
        <v>0</v>
      </c>
      <c r="L316" s="184">
        <f t="shared" si="5"/>
        <v>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14930</v>
      </c>
      <c r="Q316" s="133">
        <f t="shared" si="5"/>
        <v>0</v>
      </c>
      <c r="R316" s="184">
        <f t="shared" si="5"/>
        <v>8341</v>
      </c>
      <c r="S316" s="133">
        <f t="shared" si="5"/>
        <v>0</v>
      </c>
      <c r="T316" s="140">
        <f t="shared" si="5"/>
        <v>263542</v>
      </c>
      <c r="U316" s="133">
        <f t="shared" si="5"/>
        <v>0</v>
      </c>
      <c r="V316" s="184">
        <f t="shared" si="5"/>
        <v>89928</v>
      </c>
      <c r="W316" s="133">
        <f t="shared" si="5"/>
        <v>0</v>
      </c>
      <c r="X316" s="140">
        <f t="shared" si="5"/>
        <v>353470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>
      <c r="B317" s="132">
        <f t="shared" si="5"/>
        <v>0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>
        <f t="shared" si="4"/>
        <v>0</v>
      </c>
      <c r="Z317" s="182" t="str">
        <f t="shared" si="4"/>
        <v/>
      </c>
      <c r="AA317" s="134">
        <f t="shared" si="4"/>
        <v>0</v>
      </c>
    </row>
    <row r="318" spans="2:27">
      <c r="B318" s="132">
        <f t="shared" si="5"/>
        <v>0</v>
      </c>
      <c r="C318" s="133">
        <f t="shared" si="5"/>
        <v>0</v>
      </c>
      <c r="D318" s="184">
        <f t="shared" ref="D318:E330" si="7">D19</f>
        <v>0</v>
      </c>
      <c r="E318" s="133">
        <f t="shared" si="7"/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>
        <f t="shared" si="4"/>
        <v>0</v>
      </c>
      <c r="Z318" s="182" t="str">
        <f t="shared" si="4"/>
        <v/>
      </c>
      <c r="AA318" s="134">
        <f t="shared" si="4"/>
        <v>0</v>
      </c>
    </row>
    <row r="319" spans="2:27">
      <c r="B319" s="132">
        <f t="shared" ref="B319:X331" si="9">B20</f>
        <v>0</v>
      </c>
      <c r="C319" s="133">
        <f t="shared" si="9"/>
        <v>0</v>
      </c>
      <c r="D319" s="184">
        <f t="shared" si="7"/>
        <v>0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>
        <f t="shared" si="4"/>
        <v>0</v>
      </c>
      <c r="Z319" s="182" t="str">
        <f t="shared" si="4"/>
        <v/>
      </c>
      <c r="AA319" s="134">
        <f t="shared" si="4"/>
        <v>0</v>
      </c>
    </row>
    <row r="320" spans="2:27">
      <c r="B320" s="132">
        <f t="shared" si="9"/>
        <v>0</v>
      </c>
      <c r="C320" s="133">
        <f t="shared" si="9"/>
        <v>0</v>
      </c>
      <c r="D320" s="184">
        <f t="shared" si="7"/>
        <v>0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>
        <f t="shared" si="10"/>
        <v>0</v>
      </c>
      <c r="Z336" s="182">
        <f t="shared" si="10"/>
        <v>0</v>
      </c>
      <c r="AA336" s="134">
        <f t="shared" si="10"/>
        <v>0</v>
      </c>
    </row>
    <row r="337" spans="2:27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10</v>
      </c>
      <c r="AA337" s="134">
        <f t="shared" si="14"/>
        <v>0</v>
      </c>
    </row>
    <row r="338" spans="2:27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3" priority="4" stopIfTrue="1">
      <formula>Y38&lt;&gt;0</formula>
    </cfRule>
  </conditionalFormatting>
  <conditionalFormatting sqref="B18:B37 B307:B336">
    <cfRule type="expression" dxfId="2" priority="5" stopIfTrue="1">
      <formula>AND($B18=0,OR($J18&lt;&gt;0,$L18&lt;&gt;0,$N18&lt;&gt;0,$P18&lt;&gt;0,$R18&lt;&gt;0,$V18&lt;&gt;0))</formula>
    </cfRule>
  </conditionalFormatting>
  <conditionalFormatting sqref="B17">
    <cfRule type="expression" dxfId="1" priority="2" stopIfTrue="1">
      <formula>AND($B17=0,OR($J17&lt;&gt;0,$L17&lt;&gt;0,$N17&lt;&gt;0,$P17&lt;&gt;0,$R17&lt;&gt;0,$V17&lt;&gt;0))</formula>
    </cfRule>
  </conditionalFormatting>
  <conditionalFormatting sqref="B8:B16">
    <cfRule type="expression" dxfId="0" priority="1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ColWidth="9.1796875" defaultRowHeight="12.5"/>
  <cols>
    <col min="1" max="16384" width="9.1796875" style="148"/>
  </cols>
  <sheetData>
    <row r="1" spans="1:1" ht="13">
      <c r="A1" s="147" t="s">
        <v>584</v>
      </c>
    </row>
    <row r="2" spans="1:1" ht="13">
      <c r="A2" s="147"/>
    </row>
    <row r="3" spans="1:1" ht="13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ColWidth="9.1796875" defaultRowHeight="12.5"/>
  <cols>
    <col min="1" max="1" width="2.7265625" style="1" customWidth="1"/>
    <col min="2" max="3" width="3.453125" style="1" customWidth="1"/>
    <col min="4" max="4" width="9.1796875" style="1"/>
    <col min="5" max="5" width="10.453125" style="1" customWidth="1"/>
    <col min="6" max="6" width="17.1796875" style="1" customWidth="1"/>
    <col min="7" max="9" width="12.26953125" style="1" customWidth="1"/>
    <col min="10" max="10" width="9.7265625" style="1" customWidth="1"/>
    <col min="11" max="11" width="29" style="1" customWidth="1"/>
    <col min="12" max="16384" width="9.1796875" style="1"/>
  </cols>
  <sheetData>
    <row r="1" spans="1:11" ht="15.5">
      <c r="A1" s="2" t="s">
        <v>574</v>
      </c>
      <c r="B1" s="3"/>
      <c r="C1" s="3"/>
      <c r="D1" s="3"/>
      <c r="E1" s="3"/>
      <c r="F1" s="653" t="e">
        <f>#REF!</f>
        <v>#REF!</v>
      </c>
      <c r="G1" s="655"/>
      <c r="H1" s="655"/>
      <c r="I1" s="655"/>
      <c r="J1" s="655"/>
      <c r="K1" s="4"/>
    </row>
    <row r="2" spans="1:11" ht="15.75" customHeight="1">
      <c r="A2" s="3"/>
      <c r="B2" s="3"/>
      <c r="C2" s="3"/>
      <c r="D2" s="3"/>
      <c r="E2" s="3"/>
      <c r="F2" s="653" t="s">
        <v>514</v>
      </c>
      <c r="G2" s="654"/>
      <c r="H2" s="654"/>
      <c r="I2" s="654"/>
      <c r="J2" s="654"/>
      <c r="K2" s="4"/>
    </row>
    <row r="3" spans="1:11" ht="15.75" customHeight="1">
      <c r="A3" s="3"/>
      <c r="B3" s="3"/>
      <c r="C3" s="3"/>
      <c r="D3" s="3"/>
      <c r="E3" s="3"/>
      <c r="F3" s="653" t="e">
        <f>CONCATENATE("לשנה שנסתיימה ביום 31 בדצמבר ",#REF!, " (אלפי ש''ח) ")</f>
        <v>#REF!</v>
      </c>
      <c r="G3" s="657"/>
      <c r="H3" s="657"/>
      <c r="I3" s="657"/>
      <c r="J3" s="658"/>
      <c r="K3" s="4"/>
    </row>
    <row r="4" spans="1:11" ht="15.75" customHeight="1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>
      <c r="A5" s="656" t="e">
        <f>F1</f>
        <v>#REF!</v>
      </c>
      <c r="B5" s="656"/>
      <c r="C5" s="656"/>
      <c r="D5" s="656"/>
      <c r="E5" s="656"/>
      <c r="F5" s="656"/>
      <c r="G5" s="656"/>
      <c r="H5" s="656"/>
      <c r="I5" s="656"/>
      <c r="J5" s="9"/>
      <c r="K5" s="4"/>
    </row>
    <row r="6" spans="1:11" ht="15.75" customHeight="1">
      <c r="A6" s="656" t="str">
        <f>F2</f>
        <v>באורים לדוחות הכספיים</v>
      </c>
      <c r="B6" s="656"/>
      <c r="C6" s="656"/>
      <c r="D6" s="656"/>
      <c r="E6" s="656"/>
      <c r="F6" s="656"/>
      <c r="G6" s="656"/>
      <c r="H6" s="656"/>
      <c r="I6" s="656"/>
      <c r="J6" s="9"/>
      <c r="K6" s="4"/>
    </row>
    <row r="7" spans="1:11" ht="15.75" customHeight="1">
      <c r="A7" s="10"/>
      <c r="B7" s="656" t="e">
        <f>F3</f>
        <v>#REF!</v>
      </c>
      <c r="C7" s="656"/>
      <c r="D7" s="656"/>
      <c r="E7" s="656"/>
      <c r="F7" s="656"/>
      <c r="G7" s="656"/>
      <c r="H7" s="656"/>
      <c r="I7" s="656"/>
      <c r="J7" s="9"/>
      <c r="K7" s="4"/>
    </row>
    <row r="8" spans="1:11" ht="24" customHeight="1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10" customHeight="1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10" customHeight="1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10" customHeight="1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10" customHeight="1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ht="13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10" customHeight="1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ht="13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10" customHeight="1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10" customHeight="1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ht="13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10" customHeight="1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>
      <c r="A45" s="11"/>
      <c r="B45" s="12"/>
      <c r="C45" s="652" t="s">
        <v>542</v>
      </c>
      <c r="D45" s="652"/>
      <c r="E45" s="652"/>
      <c r="F45" s="652"/>
      <c r="G45" s="652"/>
      <c r="H45" s="652"/>
      <c r="I45" s="652"/>
      <c r="J45" s="11"/>
      <c r="K45" s="4"/>
    </row>
    <row r="46" spans="1:11" ht="10" customHeight="1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ht="13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10" customHeight="1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10" customHeight="1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10" customHeight="1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10" customHeight="1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10" customHeight="1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3" customHeight="1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3" customHeight="1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3" customHeight="1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3" customHeight="1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3" customHeight="1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3" customHeight="1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" thickBot="1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" thickTop="1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Majdi</cp:lastModifiedBy>
  <cp:lastPrinted>2018-04-03T15:41:17Z</cp:lastPrinted>
  <dcterms:created xsi:type="dcterms:W3CDTF">2003-12-01T13:23:06Z</dcterms:created>
  <dcterms:modified xsi:type="dcterms:W3CDTF">2018-04-11T07:00:39Z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